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FC65C4E-DD0D-46AB-9D7A-A531FAEE05C9}"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E27" i="108"/>
  <c r="G27" i="108"/>
  <c r="F31" i="108"/>
  <c r="F36" i="108"/>
  <c r="G28" i="108"/>
  <c r="D31"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E38" i="108" l="1"/>
  <c r="D36" i="108"/>
  <c r="E33" i="108"/>
  <c r="D68" i="36"/>
  <c r="B1274" i="106"/>
  <c r="D1274" i="106" s="1"/>
  <c r="F52" i="34"/>
  <c r="G35" i="108"/>
  <c r="F38" i="34"/>
  <c r="E35" i="108"/>
  <c r="B7076" i="106"/>
  <c r="D7076" i="106" s="1"/>
  <c r="B6289" i="106"/>
  <c r="D6289" i="106" s="1"/>
  <c r="F72" i="34"/>
  <c r="G30" i="108"/>
  <c r="I129" i="29"/>
  <c r="B7037" i="106" s="1"/>
  <c r="D7037" i="106" s="1"/>
  <c r="F71" i="34"/>
  <c r="B2724" i="106"/>
  <c r="D2724" i="106" s="1"/>
  <c r="J22" i="37"/>
  <c r="H33" i="118"/>
  <c r="H112" i="29"/>
  <c r="B7018" i="106" s="1"/>
  <c r="D7018" i="106" s="1"/>
  <c r="B281" i="106"/>
  <c r="D281" i="106" s="1"/>
  <c r="F37" i="34"/>
  <c r="D69" i="36"/>
  <c r="J41" i="3"/>
  <c r="B3647" i="106"/>
  <c r="D3647" i="106" s="1"/>
  <c r="G14" i="4"/>
  <c r="B2609" i="106" s="1"/>
  <c r="D2609" i="106" s="1"/>
  <c r="H76" i="4"/>
  <c r="B3298" i="106" s="1"/>
  <c r="D3298" i="106" s="1"/>
  <c r="F34" i="34"/>
  <c r="G29" i="108"/>
  <c r="J210" i="29"/>
  <c r="B7072" i="106" s="1"/>
  <c r="D7072" i="106" s="1"/>
  <c r="F77" i="4"/>
  <c r="B3255" i="106" s="1"/>
  <c r="D3255" i="106" s="1"/>
  <c r="L13" i="11"/>
  <c r="B2060" i="106" s="1"/>
  <c r="D2060" i="106" s="1"/>
  <c r="C342" i="29"/>
  <c r="B7216" i="106" s="1"/>
  <c r="D7216" i="106" s="1"/>
  <c r="J129" i="29"/>
  <c r="B7038" i="106" s="1"/>
  <c r="D7038" i="106" s="1"/>
  <c r="C352" i="29"/>
  <c r="C367" i="29" s="1"/>
  <c r="B3622" i="106" s="1"/>
  <c r="D3622" i="106" s="1"/>
  <c r="K76" i="4"/>
  <c r="B3586" i="106" s="1"/>
  <c r="D3586" i="106" s="1"/>
  <c r="E34" i="108"/>
  <c r="H342" i="29"/>
  <c r="B7221" i="106" s="1"/>
  <c r="D7221" i="106" s="1"/>
  <c r="F36" i="34"/>
  <c r="F42" i="34"/>
  <c r="D24" i="37"/>
  <c r="B4270" i="106" s="1"/>
  <c r="D4270" i="106" s="1"/>
  <c r="F19" i="7"/>
  <c r="B1807" i="106" s="1"/>
  <c r="D1807" i="106" s="1"/>
  <c r="F28" i="108"/>
  <c r="G26" i="108"/>
  <c r="G15" i="145"/>
  <c r="B6995" i="106"/>
  <c r="D6995" i="106" s="1"/>
  <c r="F27" i="108"/>
  <c r="B1124" i="106"/>
  <c r="D1124" i="106" s="1"/>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B4435" i="106"/>
  <c r="D4435" i="106" s="1"/>
  <c r="K77" i="4"/>
  <c r="B3587" i="106" s="1"/>
  <c r="D3587" i="106" s="1"/>
  <c r="B1328" i="106"/>
  <c r="D1328" i="106" s="1"/>
  <c r="B3621" i="106"/>
  <c r="D3621" i="106" s="1"/>
  <c r="K365" i="29"/>
  <c r="B7243" i="106" s="1"/>
  <c r="D7243" i="106" s="1"/>
  <c r="L114" i="29"/>
  <c r="D7250" i="106"/>
  <c r="D7256" i="106"/>
  <c r="B7235" i="106"/>
  <c r="D7235" i="106" s="1"/>
  <c r="J16" i="4"/>
  <c r="B6226" i="106" s="1"/>
  <c r="D6226" i="106" s="1"/>
  <c r="D7251" i="106"/>
  <c r="B1225" i="106"/>
  <c r="D1225" i="106" s="1"/>
  <c r="D7254" i="106"/>
  <c r="L16" i="11"/>
  <c r="B2061" i="106" s="1"/>
  <c r="D2061" i="106" s="1"/>
  <c r="N23" i="3"/>
  <c r="B284" i="106" s="1"/>
  <c r="D284" i="106" s="1"/>
  <c r="F41" i="108"/>
  <c r="G43" i="108" s="1"/>
  <c r="B1381" i="106"/>
  <c r="D1381" i="106" s="1"/>
  <c r="H151" i="29"/>
  <c r="B1273" i="106" s="1"/>
  <c r="D1273" i="106" s="1"/>
  <c r="D41" i="108"/>
  <c r="E43" i="108" s="1"/>
  <c r="C114" i="29"/>
  <c r="B757" i="106" s="1"/>
  <c r="D757" i="106" s="1"/>
  <c r="B5527" i="106"/>
  <c r="D5527" i="106" s="1"/>
  <c r="D44" i="36"/>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B6227" i="106"/>
  <c r="D6227"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<sst xmlns="http://schemas.openxmlformats.org/spreadsheetml/2006/main" count="5127" uniqueCount="2130">
  <si>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</si>
  <si>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</si>
  <si>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</si>
  <si>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</si>
  <si>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</si>
  <si>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</si>
  <si>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</si>
  <si>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</si>
  <si>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</si>
  <si>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</si>
  <si>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</si>
  <si>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</si>
  <si>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</si>
  <si>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</si>
  <si>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</si>
  <si>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</si>
  <si>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</si>
  <si>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</si>
  <si>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</si>
  <si>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</si>
  <si>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</si>
  <si>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</si>
  <si>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</si>
  <si>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</si>
  <si>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</si>
  <si>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</si>
  <si>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</si>
  <si>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</si>
  <si>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</si>
  <si>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</si>
  <si>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</si>
  <si>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</si>
  <si>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</si>
  <si>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</si>
  <si>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</si>
  <si>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</si>
  <si>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</si>
  <si>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</si>
  <si>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</si>
  <si>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</si>
  <si>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</si>
  <si>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</si>
  <si>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</si>
  <si>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</si>
  <si>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</si>
  <si>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</si>
  <si>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</si>
  <si>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</si>
  <si>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</si>
  <si>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</si>
  <si>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</si>
  <si>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</si>
  <si>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</si>
  <si>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</si>
  <si>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</si>
  <si>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</si>
  <si>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</si>
  <si>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</si>
  <si>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</si>
  <si>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</si>
  <si>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</si>
  <si>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</si>
  <si>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</si>
  <si>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</si>
  <si>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</si>
  <si>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</si>
  <si>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</si>
  <si>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</si>
  <si>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</si>
  <si>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</si>
  <si>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</si>
  <si>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</si>
  <si>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</si>
  <si>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</si>
  <si>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</si>
  <si>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</si>
  <si>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</si>
  <si>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</si>
  <si>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</si>
  <si>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</si>
  <si>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</si>
  <si>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</si>
  <si>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</si>
  <si>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</si>
  <si>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</si>
  <si>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</si>
  <si>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</si>
  <si>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</si>
  <si>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</si>
  <si>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</si>
  <si>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</si>
  <si>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</si>
  <si>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</si>
  <si>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</si>
  <si>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</si>
  <si>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</si>
  <si>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</si>
  <si>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</si>
  <si>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</si>
  <si>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</si>
  <si>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</si>
  <si>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</si>
  <si>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</si>
  <si>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</si>
  <si>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</si>
  <si>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</si>
  <si>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</si>
  <si>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</si>
  <si>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</si>
  <si>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</si>
  <si>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</si>
  <si>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</si>
  <si>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</si>
  <si>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</si>
  <si>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</si>
  <si>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</si>
  <si>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</si>
  <si>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</si>
  <si>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</si>
  <si>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</si>
  <si>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</si>
  <si>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</si>
  <si>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</si>
  <si>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</si>
  <si>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</si>
  <si>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</si>
  <si>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</si>
  <si>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</si>
  <si>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</si>
  <si>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</si>
  <si>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</si>
  <si>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</si>
  <si>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</si>
  <si>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</si>
  <si>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</si>
  <si>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</si>
  <si>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</si>
  <si>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</si>
  <si>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</si>
  <si>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</si>
  <si>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</si>
  <si>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</si>
  <si>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</si>
  <si>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</si>
  <si>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</si>
  <si>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</si>
  <si>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</si>
  <si>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</si>
  <si>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</si>
  <si>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</si>
  <si>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</si>
  <si>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</si>
  <si>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</si>
  <si>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</si>
  <si>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</si>
  <si>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</si>
  <si>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</si>
  <si>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</si>
  <si>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</si>
  <si>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</si>
  <si>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</si>
  <si>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</si>
  <si>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</si>
  <si>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</si>
  <si>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</si>
  <si>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</si>
  <si>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</si>
  <si>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</si>
  <si>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</si>
  <si>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</si>
  <si>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</si>
  <si>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</si>
  <si>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</si>
  <si>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</si>
  <si>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</si>
  <si>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</si>
  <si>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</si>
  <si>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</si>
  <si>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</si>
  <si>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</si>
  <si>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</si>
  <si>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</si>
  <si>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</si>
  <si>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</si>
  <si>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</si>
  <si>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</si>
  <si>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</si>
  <si>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</si>
  <si>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</si>
  <si>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</si>
  <si>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</si>
  <si>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</si>
  <si>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</si>
  <si>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</si>
  <si>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</si>
  <si>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</si>
  <si>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</si>
  <si>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</si>
  <si>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</si>
  <si>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</si>
  <si>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</si>
  <si>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</si>
  <si>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</si>
  <si>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</si>
  <si>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</si>
  <si>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</si>
  <si>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</si>
  <si>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</si>
  <si>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</si>
  <si>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</si>
  <si>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</si>
  <si>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</si>
  <si>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</si>
  <si>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</si>
  <si>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</si>
  <si>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</si>
  <si>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</si>
  <si>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</si>
  <si>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</si>
  <si>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</si>
  <si>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</si>
  <si>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</si>
  <si>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</si>
  <si>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</si>
  <si>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</si>
  <si>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</si>
  <si>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</si>
  <si>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</si>
  <si>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</si>
  <si>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</si>
  <si>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</si>
  <si>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</si>
  <si>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</si>
  <si>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</si>
  <si>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</si>
  <si>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</si>
  <si>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</si>
  <si>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</si>
  <si>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</si>
  <si>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</si>
  <si>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</si>
  <si>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</si>
  <si>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</si>
  <si>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</si>
  <si>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</si>
  <si>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</si>
  <si>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</si>
  <si>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</si>
  <si>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</si>
  <si>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</si>
  <si>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</si>
  <si>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</si>
  <si>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</si>
  <si>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</si>
  <si>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</si>
  <si>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</si>
  <si>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</si>
  <si>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</si>
  <si>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</si>
  <si>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</si>
  <si>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</si>
  <si>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</si>
  <si>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</si>
  <si>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</si>
  <si>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</si>
  <si>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</si>
  <si>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</si>
  <si>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</si>
  <si>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</si>
  <si>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</si>
  <si>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</si>
  <si>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</si>
  <si>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</si>
  <si>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</si>
  <si>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</si>
  <si>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</si>
  <si>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</si>
  <si>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</si>
  <si>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</si>
  <si>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</si>
  <si>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</si>
  <si>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</si>
  <si>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</si>
  <si>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</si>
  <si>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</si>
  <si>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</si>
  <si>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</si>
  <si>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</si>
  <si>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</si>
  <si>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</si>
  <si>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</si>
  <si>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</si>
  <si>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</si>
  <si>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</si>
  <si>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</si>
  <si>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</si>
  <si>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</si>
  <si>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</si>
  <si>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</si>
  <si>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</si>
  <si>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</si>
  <si>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</si>
  <si>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</si>
  <si>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</si>
  <si>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</si>
  <si>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</si>
  <si>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</si>
  <si>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</si>
  <si>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</si>
  <si>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</si>
  <si>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</si>
  <si>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</si>
  <si>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</si>
  <si>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</si>
  <si>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</si>
  <si>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</si>
  <si>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</si>
  <si>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</si>
  <si>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</si>
  <si>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</si>
  <si>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</si>
  <si>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</si>
  <si>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</si>
  <si>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</si>
  <si>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</si>
  <si>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</si>
  <si>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</si>
  <si>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</si>
  <si>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</si>
  <si>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</si>
  <si>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</si>
  <si>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</si>
  <si>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</si>
  <si>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</si>
  <si>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</si>
  <si>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</si>
  <si>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</si>
  <si>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</si>
  <si>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</si>
  <si>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</si>
  <si>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</si>
  <si>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</si>
  <si>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</si>
  <si>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</si>
  <si>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</si>
  <si>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</si>
  <si>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</si>
  <si>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</si>
  <si>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</si>
  <si>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</si>
  <si>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</si>
  <si>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</si>
  <si>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</si>
  <si>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</si>
  <si>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</si>
  <si>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</si>
  <si>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</si>
  <si>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</si>
  <si>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</si>
  <si>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</si>
  <si>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</si>
  <si>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</si>
  <si>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</si>
  <si>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</si>
  <si>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</si>
  <si>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</si>
  <si>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</si>
  <si>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</si>
  <si>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</si>
  <si>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</si>
  <si>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</si>
  <si>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</si>
  <si>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</si>
  <si>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</si>
  <si>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</si>
  <si>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</si>
  <si>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</si>
  <si>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</si>
  <si>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</si>
  <si>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</si>
  <si>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</si>
  <si>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</si>
  <si>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</si>
  <si>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</si>
  <si>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</si>
  <si>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</si>
  <si>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</si>
  <si>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</si>
  <si>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</si>
  <si>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</si>
  <si>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</si>
  <si>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</si>
  <si>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</si>
  <si>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</si>
  <si>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</si>
  <si>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</si>
  <si>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</si>
  <si>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</si>
  <si>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</si>
  <si>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</si>
  <si>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</si>
  <si>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</si>
  <si>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</si>
  <si>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</si>
  <si>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</si>
  <si>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</si>
  <si>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</si>
  <si>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</si>
  <si>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</si>
  <si>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</si>
  <si>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</si>
  <si>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</si>
  <si>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</si>
  <si>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</si>
  <si>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</si>
  <si>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</si>
  <si>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</si>
  <si>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</si>
  <si>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</si>
  <si>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</si>
  <si>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</si>
  <si>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</si>
  <si>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</si>
  <si>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</si>
  <si>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</si>
  <si>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</si>
  <si>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</si>
  <si>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</si>
  <si>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</si>
  <si>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</si>
  <si>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</si>
  <si>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</si>
  <si>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</si>
  <si>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</si>
  <si>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</si>
  <si>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</si>
  <si>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</si>
  <si>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</si>
  <si>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</si>
  <si>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</si>
  <si>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</si>
  <si>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</si>
  <si>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</si>
  <si>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</si>
  <si>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</si>
  <si>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</si>
  <si>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</si>
  <si>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</si>
  <si>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</si>
  <si>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</si>
  <si>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</si>
  <si>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</si>
  <si>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</si>
  <si>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</si>
  <si>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</si>
  <si>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</si>
  <si>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</si>
  <si>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</si>
  <si>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</si>
  <si>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</si>
  <si>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</si>
  <si>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</si>
  <si>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</si>
  <si>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</si>
  <si>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</si>
  <si>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</si>
  <si>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</si>
  <si>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</si>
  <si>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</si>
  <si>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</si>
  <si>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</si>
  <si>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</si>
  <si>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</si>
  <si>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</si>
  <si>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</si>
  <si>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</si>
  <si>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</si>
  <si>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</si>
  <si>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</si>
  <si>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</si>
  <si>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</si>
  <si>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</si>
  <si>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</si>
  <si>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</si>
  <si>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</si>
  <si>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</si>
  <si>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</si>
  <si>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</si>
  <si>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</si>
  <si>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</si>
  <si>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</si>
  <si>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</si>
  <si>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</si>
  <si>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</si>
  <si>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</si>
  <si>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</si>
  <si>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</si>
  <si>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</si>
  <si>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</si>
  <si>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</si>
  <si>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</si>
  <si>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</si>
  <si>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</si>
  <si>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</si>
  <si>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</si>
  <si>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</si>
  <si>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</si>
  <si>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</si>
  <si>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</si>
  <si>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</si>
  <si>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</si>
  <si>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</si>
  <si>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</si>
  <si>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</si>
  <si>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</si>
  <si>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</si>
  <si>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</si>
  <si>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</si>
  <si>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</si>
  <si>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</si>
  <si>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</si>
  <si>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</si>
  <si>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</si>
  <si>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</si>
  <si>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</si>
  <si>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</si>
  <si>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</si>
  <si>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</si>
  <si>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</si>
  <si>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</si>
  <si>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</si>
  <si>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</si>
  <si>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</si>
  <si>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</si>
  <si>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</si>
  <si>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</si>
  <si>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</si>
  <si>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</si>
  <si>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</si>
  <si>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</si>
  <si>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</si>
  <si>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</si>
  <si>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</si>
  <si>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</si>
  <si>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</si>
  <si>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</si>
  <si>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</si>
  <si>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</si>
  <si>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</si>
  <si>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</si>
  <si>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</si>
  <si>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</si>
  <si>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</si>
  <si>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</si>
  <si>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</si>
  <si>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</si>
  <si>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</si>
  <si>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</si>
  <si>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</si>
  <si>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</si>
  <si>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</si>
  <si>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</si>
  <si>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</si>
  <si>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</si>
  <si>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</si>
  <si>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</si>
  <si>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</si>
  <si>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</si>
  <si>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</si>
  <si>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</si>
  <si>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</si>
  <si>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</si>
  <si>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</si>
  <si>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</si>
  <si>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</si>
  <si>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</si>
  <si>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</si>
  <si>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</si>
  <si>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</si>
  <si>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</si>
  <si>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</si>
  <si>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</si>
  <si>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</si>
  <si>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</si>
  <si>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</si>
  <si>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</si>
  <si>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</si>
  <si>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</si>
  <si>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</si>
  <si>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</si>
  <si>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</si>
  <si>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</si>
  <si>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</si>
  <si>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</si>
  <si>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</si>
  <si>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</si>
  <si>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</si>
  <si>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</si>
  <si>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</si>
  <si>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</si>
  <si>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</si>
  <si>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</si>
  <si>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</si>
  <si>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</si>
  <si>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</si>
  <si>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</si>
  <si>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</si>
  <si>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</si>
  <si>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</si>
  <si>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</si>
  <si>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</si>
  <si>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</si>
  <si>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</si>
  <si>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</si>
  <si>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</si>
  <si>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</si>
  <si>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</si>
  <si>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</si>
  <si>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</si>
  <si>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</si>
  <si>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</si>
  <si>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</si>
  <si>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</si>
  <si>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</si>
  <si>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</si>
  <si>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</si>
  <si>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</si>
  <si>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</si>
  <si>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</si>
  <si>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</si>
  <si>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</si>
  <si>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</si>
  <si>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</si>
  <si>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</si>
  <si>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</si>
  <si>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</si>
  <si>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</si>
  <si>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</si>
  <si>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</si>
  <si>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</si>
  <si>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</si>
  <si>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</si>
  <si>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</si>
  <si>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</si>
  <si>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</si>
  <si>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</si>
  <si>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</si>
  <si>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</si>
  <si>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</si>
  <si>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</si>
  <si>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</si>
  <si>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</si>
  <si>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</si>
  <si>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</si>
  <si>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</si>
  <si>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</si>
  <si>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</si>
  <si>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</si>
  <si>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</si>
  <si>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</si>
  <si>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</si>
  <si>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</si>
  <si>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</si>
  <si>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</si>
  <si>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</si>
  <si>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</si>
  <si>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</si>
  <si>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</si>
  <si>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</si>
  <si>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</si>
  <si>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</si>
  <si>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</si>
  <si>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</si>
  <si>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</si>
  <si>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</si>
  <si>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</si>
  <si>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</si>
  <si>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</si>
  <si>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</si>
  <si>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</si>
  <si>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</si>
  <si>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</si>
  <si>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</si>
  <si>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</si>
  <si>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</si>
  <si>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</si>
  <si>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</si>
  <si>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</si>
  <si>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</si>
  <si>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</si>
  <si>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</si>
  <si>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</si>
  <si>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</si>
  <si>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</si>
  <si>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</si>
  <si>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</si>
  <si>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</si>
  <si>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</si>
  <si>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</si>
  <si>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</si>
  <si>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</si>
  <si>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</si>
  <si>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</si>
  <si>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</si>
  <si>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</si>
  <si>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</si>
  <si>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</si>
  <si>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</si>
  <si>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</si>
  <si>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</si>
  <si>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</si>
  <si>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</si>
  <si>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</si>
  <si>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</si>
  <si>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</si>
  <si>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</si>
  <si>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</si>
  <si>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</si>
  <si>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</si>
  <si>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</si>
  <si>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</si>
  <si>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</si>
  <si>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</si>
  <si>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</si>
  <si>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</si>
  <si>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</si>
  <si>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</si>
  <si>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</si>
  <si>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</si>
  <si>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</si>
  <si>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</si>
  <si>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</si>
  <si>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</si>
  <si>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</si>
  <si>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</si>
  <si>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</si>
  <si>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</si>
  <si>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</si>
  <si>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</si>
  <si>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</si>
  <si>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</si>
  <si>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</si>
  <si>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</si>
  <si>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</si>
  <si>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</si>
  <si>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</si>
  <si>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</si>
  <si>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</si>
  <si>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</si>
  <si>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</si>
  <si>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</si>
  <si>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</si>
  <si>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</si>
  <si>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</si>
  <si>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</si>
  <si>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</si>
  <si>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</si>
  <si>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</si>
  <si>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</si>
  <si>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</si>
  <si>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</si>
  <si>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</si>
  <si>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</si>
  <si>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</si>
  <si>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</si>
  <si>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</si>
  <si>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</si>
  <si>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</si>
  <si>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</si>
  <si>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</si>
  <si>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</si>
  <si>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</si>
  <si>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</si>
  <si>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</si>
  <si>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</si>
  <si>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</si>
  <si>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</si>
  <si>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</si>
  <si>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</si>
  <si>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</si>
  <si>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</si>
  <si>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</si>
  <si>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</si>
  <si>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</si>
  <si>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</si>
  <si>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</si>
  <si>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</si>
  <si>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</si>
  <si>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</si>
  <si>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</si>
  <si>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</si>
  <si>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</si>
  <si>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</si>
  <si>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</si>
  <si>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</si>
  <si>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</si>
  <si>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</si>
  <si>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</si>
  <si>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</si>
  <si>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</si>
  <si>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</si>
  <si>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</si>
  <si>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</si>
  <si>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</si>
  <si>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</si>
  <si>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</si>
  <si>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</si>
  <si>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</si>
  <si>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</si>
  <si>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</si>
  <si>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</si>
  <si>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</si>
  <si>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</si>
  <si>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</si>
  <si>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</si>
  <si>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</si>
  <si>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</si>
  <si>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</si>
  <si>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</si>
  <si>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</si>
  <si>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</si>
  <si>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</si>
  <si>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</si>
  <si>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</si>
  <si>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</si>
  <si>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</si>
  <si>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</si>
  <si>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</si>
  <si>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</si>
  <si>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</si>
  <si>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</si>
  <si>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</si>
  <si>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</si>
  <si>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</si>
  <si>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</si>
  <si>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</si>
  <si>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</si>
  <si>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</si>
  <si>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</si>
  <si>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</si>
  <si>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</si>
  <si>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</si>
  <si>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</si>
  <si>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</si>
  <si>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</si>
  <si>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</si>
  <si>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</si>
  <si>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</si>
  <si>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</si>
  <si>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</si>
  <si>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</si>
  <si>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</si>
  <si>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</si>
  <si>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</si>
  <si>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</si>
  <si>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</si>
  <si>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</si>
  <si>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</si>
  <si>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</si>
  <si>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</si>
  <si>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</si>
  <si>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</si>
  <si>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</si>
  <si>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</si>
  <si>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</si>
  <si>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</si>
  <si>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</si>
  <si>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</si>
  <si>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</si>
  <si>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</si>
  <si>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</si>
  <si>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</si>
  <si>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</si>
  <si>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</si>
  <si>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</si>
  <si>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</si>
  <si>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</si>
  <si>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</si>
  <si>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</si>
  <si>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</si>
  <si>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</si>
  <si>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</si>
  <si>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</si>
  <si>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</si>
  <si>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</si>
  <si>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</si>
  <si>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</si>
  <si>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</si>
  <si>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</si>
  <si>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</si>
  <si>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</si>
  <si>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</si>
  <si>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</si>
  <si>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</si>
  <si>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</si>
  <si>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</si>
  <si>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</si>
  <si>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</si>
  <si>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</si>
  <si>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</si>
  <si>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</si>
  <si>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</si>
  <si>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</si>
  <si>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</si>
  <si>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</si>
  <si>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</si>
  <si>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</si>
  <si>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</si>
  <si>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</si>
  <si>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</si>
  <si>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</si>
  <si>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</si>
  <si>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</si>
  <si>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</si>
  <si>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</si>
  <si>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</si>
  <si>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</si>
  <si>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</si>
  <si>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</si>
  <si>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</si>
  <si>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</si>
  <si>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</si>
  <si>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</si>
  <si>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</si>
  <si>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</si>
  <si>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</si>
  <si>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</si>
  <si>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</si>
  <si>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</si>
  <si>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</si>
  <si>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</si>
  <si>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</si>
  <si>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</si>
  <si>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</si>
  <si>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</si>
  <si>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</si>
  <si>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</si>
  <si>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</si>
  <si>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</si>
  <si>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</si>
  <si>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</si>
  <si>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</si>
  <si>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</si>
  <si>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</si>
  <si>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</si>
  <si>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</si>
  <si>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</si>
  <si>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</si>
  <si>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</si>
  <si>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</si>
  <si>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</si>
  <si>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</si>
  <si>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</si>
  <si>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</si>
  <si>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</si>
  <si>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</si>
  <si>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</si>
  <si>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</si>
  <si>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</si>
  <si>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</si>
  <si>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</si>
  <si>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</si>
  <si>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</si>
  <si>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</si>
  <si>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</si>
  <si>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</si>
  <si>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</si>
  <si>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</si>
  <si>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</si>
  <si>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</si>
  <si>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</si>
  <si>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</si>
  <si>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</si>
  <si>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</si>
  <si>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</si>
  <si>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</si>
  <si>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</si>
  <si>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</si>
  <si>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</si>
  <si>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</si>
  <si>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</si>
  <si>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</si>
  <si>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</si>
  <si>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</si>
  <si>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</si>
  <si>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</si>
  <si>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</si>
  <si>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</si>
  <si>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</si>
  <si>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</si>
  <si>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</si>
  <si>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</si>
  <si>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</si>
  <si>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</si>
  <si>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</si>
  <si>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</si>
  <si>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</si>
  <si>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</si>
  <si>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</si>
  <si>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</si>
  <si>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</si>
  <si>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</si>
  <si>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</si>
  <si>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</si>
  <si>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</si>
  <si>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</si>
  <si>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</si>
  <si>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</si>
  <si>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</si>
  <si>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</si>
  <si>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</si>
  <si>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</si>
  <si>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</si>
  <si>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</si>
  <si>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</si>
  <si>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</si>
  <si>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</si>
  <si>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</si>
  <si>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</si>
  <si>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</si>
  <si>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</si>
  <si>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</si>
  <si>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</si>
  <si>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</si>
  <si>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</si>
  <si>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</si>
  <si>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</si>
  <si>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</si>
  <si>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</si>
  <si>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</si>
  <si>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</si>
  <si>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</si>
  <si>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</si>
  <si>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</si>
  <si>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</si>
  <si>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</si>
  <si>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</si>
  <si>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</si>
  <si>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</si>
  <si>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</si>
  <si>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</si>
  <si>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</si>
  <si>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</si>
  <si>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</si>
  <si>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</si>
  <si>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</si>
  <si>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</si>
  <si>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</si>
  <si>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</si>
  <si>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</si>
  <si>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</si>
  <si>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</si>
  <si>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</si>
  <si>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</si>
  <si>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</si>
  <si>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</si>
  <si>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</si>
  <si>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</si>
  <si>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</si>
  <si>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</si>
  <si>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</si>
  <si>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</si>
  <si>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</si>
  <si>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</si>
  <si>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</si>
  <si>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</si>
  <si>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</si>
  <si>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</si>
  <si>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</si>
  <si>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</si>
  <si>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</si>
  <si>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</si>
  <si>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</si>
  <si>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</si>
  <si>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</si>
  <si>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</si>
  <si>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</si>
  <si>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</si>
  <si>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</si>
  <si>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</si>
  <si>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</si>
  <si>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</si>
  <si>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</si>
  <si>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</si>
  <si>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</si>
  <si>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</si>
  <si>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</si>
  <si>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</si>
  <si>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</si>
  <si>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</si>
  <si>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</si>
  <si>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</si>
  <si>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</si>
  <si>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</si>
  <si>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</si>
  <si>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</si>
  <si>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</si>
  <si>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</si>
  <si>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</si>
  <si>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</si>
  <si>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</si>
  <si>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</si>
  <si>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</si>
  <si>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</si>
  <si>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</si>
  <si>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</si>
  <si>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</si>
  <si>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</si>
  <si>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</si>
  <si>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</si>
  <si>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</si>
  <si>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</si>
  <si>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</si>
  <si>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</si>
  <si>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</si>
  <si>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</si>
  <si>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</si>
  <si>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</si>
  <si>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</si>
  <si>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</si>
  <si>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</si>
  <si>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</si>
  <si>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</si>
  <si>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</si>
  <si>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</si>
  <si>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</si>
  <si>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</si>
  <si>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</si>
  <si>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</si>
  <si>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</si>
  <si>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</si>
  <si>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</si>
  <si>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</si>
  <si>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</si>
  <si>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</si>
  <si>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</si>
  <si>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</si>
  <si>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</si>
  <si>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</si>
  <si>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</si>
  <si>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</si>
  <si>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</si>
  <si>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</si>
  <si>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</si>
  <si>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</si>
  <si>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</si>
  <si>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</si>
  <si>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</si>
  <si>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</si>
  <si>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</si>
  <si>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</si>
  <si>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</si>
  <si>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</si>
  <si>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</si>
  <si>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</si>
  <si>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</si>
  <si>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</si>
  <si>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</si>
  <si>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</si>
  <si>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</si>
  <si>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</si>
  <si>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</si>
  <si>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</si>
  <si>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</si>
  <si>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</si>
  <si>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</si>
  <si>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</si>
  <si>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</si>
  <si>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</si>
  <si>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</si>
  <si>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</si>
  <si>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</si>
  <si>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</si>
  <si>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</si>
  <si>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</si>
  <si>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</si>
  <si>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</si>
  <si>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</si>
  <si>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</si>
  <si>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</si>
  <si>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</si>
  <si>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</si>
  <si>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</si>
  <si>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</si>
  <si>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</si>
  <si>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</si>
  <si>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</si>
  <si>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</si>
  <si>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</si>
  <si>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</si>
  <si>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</si>
  <si>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</si>
  <si>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</si>
  <si>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</si>
  <si>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</si>
  <si>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</si>
  <si>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</si>
  <si>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</si>
  <si>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</si>
  <si>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</si>
  <si>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</si>
  <si>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</si>
  <si>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</si>
  <si>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</si>
  <si>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</si>
  <si>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</si>
  <si>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</si>
  <si>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</si>
  <si>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</si>
  <si>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</si>
  <si>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</si>
  <si>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</si>
  <si>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</si>
  <si>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</si>
  <si>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</si>
  <si>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</si>
  <si>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</si>
  <si>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</si>
  <si>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</si>
  <si>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</si>
  <si>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</si>
  <si>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</si>
  <si>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</si>
  <si>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</si>
  <si>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</si>
  <si>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</si>
  <si>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</si>
  <si>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</si>
  <si>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</si>
  <si>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</si>
  <si>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</si>
  <si>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</si>
  <si>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</si>
  <si>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</si>
  <si>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</si>
  <si>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</si>
  <si>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</si>
  <si>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</si>
  <si>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</si>
  <si>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</si>
  <si>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</si>
  <si>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</si>
  <si>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</si>
  <si>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</si>
  <si>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</si>
  <si>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</si>
  <si>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</si>
  <si>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</si>
  <si>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</si>
  <si>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</si>
  <si>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</si>
  <si>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</si>
  <si>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</si>
  <si>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</si>
  <si>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</si>
  <si>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</si>
  <si>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</si>
  <si>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</si>
  <si>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</si>
  <si>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</si>
  <si>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</si>
  <si>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</si>
  <si>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</si>
  <si>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</si>
  <si>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</si>
  <si>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</si>
  <si>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</si>
  <si>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</si>
  <si>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</si>
  <si>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</si>
  <si>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</si>
  <si>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</si>
  <si>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</si>
  <si>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</si>
  <si>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</si>
  <si>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</si>
  <si>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</si>
  <si>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</si>
  <si>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</si>
  <si>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</si>
  <si>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</si>
  <si>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</si>
  <si>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</si>
  <si>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</si>
  <si>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</si>
  <si>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</si>
  <si>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</si>
  <si>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</si>
  <si>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</si>
  <si>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</si>
  <si>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</si>
  <si>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</si>
  <si>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</si>
  <si>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</si>
  <si>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</si>
  <si>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</si>
  <si>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</si>
  <si>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</si>
  <si>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</si>
  <si>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</si>
  <si>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</si>
  <si>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</si>
  <si>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</si>
  <si>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</si>
  <si>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</si>
  <si>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</si>
  <si>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</si>
  <si>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</si>
  <si>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</si>
  <si>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</si>
  <si>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</si>
  <si>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</si>
  <si>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</si>
  <si>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</si>
  <si>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</si>
  <si>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</si>
  <si>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</si>
  <si>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</si>
  <si>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</si>
  <si>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</si>
  <si>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</si>
  <si>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</si>
  <si>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</si>
  <si>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</si>
  <si>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</si>
  <si>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</si>
  <si>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</si>
  <si>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</si>
  <si>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</si>
  <si>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</si>
  <si>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</si>
  <si>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</si>
  <si>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</si>
  <si>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</si>
  <si>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</si>
  <si>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</si>
  <si>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</si>
  <si>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</si>
  <si>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</si>
  <si>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</si>
  <si>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</si>
  <si>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</si>
  <si>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</si>
  <si>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</si>
  <si>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</si>
  <si>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</si>
  <si>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</si>
  <si>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</si>
  <si>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</si>
  <si>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</si>
  <si>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</si>
  <si>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</si>
  <si>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</si>
  <si>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</si>
  <si>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</si>
  <si>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</si>
  <si>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</si>
  <si>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</si>
  <si>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</si>
  <si>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</si>
  <si>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</si>
  <si>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</si>
  <si>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</si>
  <si>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</si>
  <si>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</si>
  <si>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</si>
  <si>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</si>
  <si>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</si>
  <si>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</si>
  <si>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</si>
  <si>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</si>
  <si>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</si>
  <si>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</si>
  <si>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</si>
  <si>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</si>
  <si>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</si>
  <si>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</si>
  <si>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</si>
  <si>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</si>
  <si>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</si>
  <si>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</si>
  <si>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</si>
  <si>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</si>
  <si>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</si>
  <si>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</si>
  <si>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</si>
  <si>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</si>
  <si>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</si>
  <si>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</si>
  <si>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</si>
  <si>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</si>
  <si>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</si>
  <si>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</si>
  <si>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</si>
  <si>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</si>
  <si>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</si>
  <si>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</si>
  <si>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</si>
  <si>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</si>
  <si>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</si>
  <si>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</si>
  <si>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</si>
  <si>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</si>
  <si>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</si>
  <si>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</si>
  <si>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</si>
  <si>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</si>
  <si>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</si>
  <si>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</si>
  <si>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</si>
  <si>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</si>
  <si>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</si>
  <si>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</si>
  <si>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</si>
  <si>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</si>
  <si>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</si>
  <si>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</si>
  <si>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</si>
  <si>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</si>
  <si>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</si>
  <si>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</si>
  <si>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</si>
  <si>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</si>
  <si>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</si>
  <si>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</si>
  <si>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</si>
  <si>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</si>
  <si>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</si>
  <si>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</si>
  <si>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</si>
  <si>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</si>
  <si>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</si>
  <si>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</si>
  <si>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</si>
  <si>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</si>
  <si>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</si>
  <si>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</si>
  <si>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</si>
  <si>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</si>
  <si>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</si>
  <si>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</si>
  <si>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</si>
  <si>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</si>
  <si>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</si>
  <si>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</si>
  <si>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</si>
  <si>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</si>
  <si>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</si>
  <si>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</si>
  <si>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</si>
  <si>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</si>
  <si>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</si>
  <si>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</si>
  <si>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</si>
  <si>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</si>
  <si>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</si>
  <si>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</si>
  <si>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</si>
  <si>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</si>
  <si>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</si>
  <si>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</si>
  <si>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</si>
  <si>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</si>
  <si>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</si>
  <si>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</si>
  <si>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</si>
  <si>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</si>
  <si>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</si>
  <si>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</si>
  <si>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</si>
  <si>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</si>
  <si>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</si>
  <si>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</si>
  <si>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</si>
  <si>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</si>
  <si>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</si>
  <si>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</si>
  <si>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</si>
  <si>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</si>
  <si>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</si>
  <si>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</si>
  <si>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</si>
  <si>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</si>
  <si>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</si>
  <si>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</si>
  <si>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</si>
  <si>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</si>
  <si>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</si>
  <si>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</si>
  <si>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</si>
  <si>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</si>
  <si>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</si>
  <si>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</si>
  <si>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</si>
  <si>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</si>
  <si>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</si>
  <si>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</si>
  <si>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</si>
  <si>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</si>
  <si>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</si>
  <si>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</si>
  <si>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</si>
  <si>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</si>
  <si>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</si>
  <si>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</si>
  <si>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</si>
  <si>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</si>
  <si>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</si>
  <si>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</si>
  <si>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</si>
  <si>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</si>
  <si>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</si>
  <si>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</si>
  <si>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</si>
  <si>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</si>
  <si>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</si>
  <si>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</si>
  <si>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</si>
  <si>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</si>
  <si>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</si>
  <si>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</si>
  <si>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</si>
  <si>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</si>
  <si>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</si>
  <si>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</si>
  <si>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</si>
  <si>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</si>
  <si>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</si>
  <si>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</si>
  <si>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</si>
  <si>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</si>
  <si>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</si>
  <si>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</si>
  <si>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</si>
  <si>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</si>
  <si>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</si>
  <si>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</si>
  <si>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</si>
  <si>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</si>
  <si>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</si>
  <si>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</si>
  <si>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</si>
  <si>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</si>
  <si>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</si>
  <si>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</si>
  <si>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</si>
  <si>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</si>
  <si>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</si>
  <si>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</si>
  <si>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</si>
  <si>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</si>
  <si>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</si>
  <si>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</si>
  <si>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</si>
  <si>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</si>
  <si>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</si>
  <si>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</si>
  <si>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</si>
  <si>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</si>
  <si>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</si>
  <si>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</si>
  <si>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</si>
  <si>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</si>
  <si>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</si>
  <si>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</si>
  <si>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</si>
  <si>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</si>
  <si>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</si>
  <si>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</si>
  <si>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</si>
  <si>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</si>
  <si>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</si>
  <si>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</si>
  <si>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</si>
  <si>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</si>
  <si>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</si>
  <si>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</si>
  <si>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</si>
  <si>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</si>
  <si>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</si>
  <si>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</si>
  <si>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</si>
  <si>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</si>
  <si>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</si>
  <si>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</si>
  <si>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</si>
  <si>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</si>
  <si>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</si>
  <si>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</si>
  <si>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</si>
  <si>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</si>
  <si>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</si>
  <si>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</si>
  <si>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</si>
  <si>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</si>
  <si>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</si>
  <si>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</si>
  <si>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</si>
  <si>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</si>
  <si>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</si>
  <si>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</si>
  <si>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</si>
  <si>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</si>
  <si>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</si>
  <si>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</si>
  <si>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</si>
  <si>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</si>
  <si>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</si>
  <si>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</si>
  <si>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</si>
  <si>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</si>
  <si>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</si>
  <si>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</si>
  <si>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</si>
  <si>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</si>
  <si>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</si>
  <si>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</si>
  <si>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</si>
  <si>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</si>
  <si>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</si>
  <si>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</si>
  <si>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</si>
  <si>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</si>
  <si>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</si>
  <si>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</si>
  <si>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</si>
  <si>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</si>
  <si>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</si>
  <si>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</si>
  <si>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</si>
  <si>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</si>
  <si>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</si>
  <si>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</si>
  <si>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</si>
  <si>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</si>
  <si>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</si>
  <si>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</si>
  <si>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</si>
  <si>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</si>
  <si>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</si>
  <si>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</si>
  <si>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</si>
  <si>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</si>
  <si>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</si>
  <si>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</si>
  <si>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</si>
  <si>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</si>
  <si>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</si>
  <si>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</si>
  <si>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</si>
  <si>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</si>
  <si>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</si>
  <si>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</si>
  <si>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</si>
  <si>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</si>
  <si>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</si>
  <si>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</si>
  <si>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</si>
  <si>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</si>
  <si>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</si>
  <si>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</si>
  <si>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</si>
  <si>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</si>
  <si>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</si>
  <si>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</si>
  <si>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</si>
  <si>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</si>
  <si>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</si>
  <si>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</si>
  <si>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</si>
  <si>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</si>
  <si>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</si>
  <si>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</si>
  <si>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</si>
  <si>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</si>
  <si>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</si>
  <si>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</si>
  <si>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</si>
  <si>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</si>
  <si>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</si>
  <si>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</si>
  <si>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</si>
  <si>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</si>
  <si>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</si>
  <si>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</si>
  <si>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</si>
  <si>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</si>
  <si>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</si>
  <si>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</si>
  <si>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</si>
  <si>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</si>
  <si>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</si>
  <si>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</si>
  <si>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</si>
  <si>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</si>
  <si>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</si>
  <si>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</si>
  <si>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</si>
  <si>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</si>
  <si>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</si>
  <si>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</si>
  <si>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</si>
  <si>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</si>
  <si>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</si>
  <si>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</si>
  <si>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</si>
  <si>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</si>
  <si>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</si>
  <si>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</si>
  <si>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</si>
  <si>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</si>
  <si>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</si>
  <si>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</si>
  <si>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</si>
  <si>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</si>
  <si>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</si>
  <si>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</si>
  <si>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</si>
  <si>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</si>
  <si>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</si>
  <si>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</si>
  <si>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</si>
  <si>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</si>
  <si>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</si>
  <si>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</si>
  <si>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</si>
  <si>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</si>
  <si>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</si>
  <si>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</si>
  <si>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</si>
  <si>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</si>
  <si>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</si>
  <si>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</si>
  <si>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</si>
  <si>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</si>
  <si>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</si>
  <si>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</si>
  <si>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</si>
  <si>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</si>
  <si>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</si>
  <si>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</si>
  <si>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</si>
  <si>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</si>
  <si>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</si>
  <si>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</si>
  <si>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</si>
  <si>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</si>
  <si>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</si>
  <si>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</si>
  <si>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</si>
  <si>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</si>
  <si>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</si>
  <si>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</si>
  <si>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</si>
  <si>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</si>
  <si>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</si>
  <si>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</si>
  <si>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</si>
  <si>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</si>
  <si>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</si>
  <si>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</si>
  <si>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</si>
  <si>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</si>
  <si>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</si>
  <si>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</si>
  <si>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</si>
  <si>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</si>
  <si>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</si>
  <si>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</si>
  <si>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</si>
  <si>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</si>
  <si>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</si>
  <si>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</si>
  <si>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</si>
  <si>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</si>
  <si>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</si>
  <si>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</si>
  <si>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</si>
  <si>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</si>
  <si>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</si>
  <si>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</si>
  <si>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</si>
  <si>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</si>
  <si>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</si>
  <si>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</si>
  <si>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</si>
  <si>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</si>
  <si>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</si>
  <si>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</si>
  <si>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</si>
  <si>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</si>
  <si>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</si>
  <si>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</si>
  <si>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</si>
  <si>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</si>
  <si>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</si>
  <si>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</si>
  <si>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</si>
  <si>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</si>
  <si>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</si>
  <si>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</si>
  <si>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</si>
  <si>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</si>
  <si>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</si>
  <si>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</si>
  <si>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</si>
  <si>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</si>
  <si>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</si>
  <si>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</si>
  <si>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</si>
  <si>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</si>
  <si>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</si>
  <si>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</si>
  <si>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</si>
  <si>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</si>
  <si>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</si>
  <si>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</si>
  <si>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</si>
  <si>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</si>
  <si>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</si>
  <si>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</si>
  <si>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</si>
  <si>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</si>
  <si>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</si>
  <si>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</si>
  <si>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</si>
  <si>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</si>
  <si>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</si>
  <si>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</si>
  <si>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</si>
  <si>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</si>
  <si>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</si>
  <si>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</si>
  <si>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</si>
  <si>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</si>
  <si>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</si>
  <si>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</si>
  <si>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</si>
  <si>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</si>
  <si>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</si>
  <si>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</si>
  <si>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</si>
  <si>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</si>
  <si>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</si>
  <si>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</si>
  <si>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</si>
  <si>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</si>
  <si>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</si>
  <si>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</si>
  <si>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</si>
  <si>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</si>
  <si>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</si>
  <si>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</si>
  <si>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</si>
  <si>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</si>
  <si>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</si>
  <si>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</si>
  <si>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</si>
  <si>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</si>
  <si>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</si>
  <si>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</si>
  <si>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</si>
  <si>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</si>
  <si>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</si>
  <si>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</si>
  <si>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</si>
  <si>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</si>
  <si>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</si>
  <si>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</si>
  <si>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</si>
  <si>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</si>
  <si>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</si>
  <si>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</si>
  <si>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</si>
  <si>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</si>
  <si>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</si>
  <si>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</si>
  <si>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</si>
  <si>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</si>
  <si>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</si>
  <si>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</si>
  <si>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</si>
  <si>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</si>
  <si>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</si>
  <si>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</si>
  <si>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</si>
  <si>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</si>
  <si>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</si>
  <si>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</si>
  <si>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</si>
  <si>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</si>
  <si>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</si>
  <si>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</si>
  <si>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</si>
  <si>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</si>
  <si>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</si>
  <si>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</si>
  <si>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</si>
  <si>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</si>
  <si>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</si>
  <si>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</si>
  <si>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</si>
  <si>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</si>
  <si>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</si>
  <si>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</si>
  <si>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</si>
  <si>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</si>
  <si>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</si>
  <si>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</si>
  <si>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</si>
  <si>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</si>
  <si>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</si>
  <si>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</si>
  <si>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</si>
  <si>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</si>
  <si>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</si>
  <si>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</si>
  <si>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</si>
  <si>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</si>
  <si>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</si>
  <si>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</si>
  <si>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</si>
  <si>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</si>
  <si>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</si>
  <si>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</si>
  <si>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</si>
  <si>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</si>
  <si>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</si>
  <si>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</si>
  <si>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</si>
  <si>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</si>
  <si>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</si>
  <si>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</si>
  <si>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</si>
  <si>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</si>
  <si>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</si>
  <si>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</si>
  <si>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</si>
  <si>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</si>
  <si>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</si>
  <si>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</si>
  <si>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</si>
  <si>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</si>
  <si>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</si>
  <si>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</si>
  <si>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</si>
  <si>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</si>
  <si>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</si>
  <si>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</si>
  <si>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</si>
  <si>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</si>
  <si>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</si>
  <si>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</si>
  <si>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</si>
  <si>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</si>
  <si>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</si>
  <si>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</si>
  <si>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</si>
  <si>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</si>
  <si>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</si>
  <si>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</si>
  <si>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</si>
  <si>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</si>
  <si>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</si>
  <si>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</si>
  <si>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</si>
  <si>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</si>
  <si>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</si>
  <si>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</si>
  <si>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</si>
  <si>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</si>
  <si>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</si>
  <si>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</si>
  <si>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</si>
  <si>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</si>
  <si>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</si>
  <si>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</si>
  <si>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</si>
  <si>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</si>
  <si>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</si>
  <si>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</si>
  <si>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</si>
  <si>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</si>
  <si>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</si>
  <si>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</si>
  <si>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</si>
  <si>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</si>
  <si>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</si>
  <si>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</si>
  <si>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</si>
  <si>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</si>
  <si>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</si>
  <si>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</si>
  <si>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</si>
  <si>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</si>
  <si>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</si>
  <si>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</si>
  <si>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</si>
  <si>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</si>
  <si>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</si>
  <si>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</si>
  <si>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</si>
  <si>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</si>
  <si>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</si>
  <si>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</si>
  <si>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</si>
  <si>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</si>
  <si>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</si>
  <si>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</si>
  <si>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</si>
  <si>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</si>
  <si>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</si>
  <si>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</si>
  <si>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</si>
  <si>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</si>
  <si>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</si>
  <si>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</si>
  <si>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</si>
  <si>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</si>
  <si>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</si>
  <si>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</si>
  <si>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</si>
  <si>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</si>
  <si>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</si>
  <si>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</si>
  <si>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</si>
  <si>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</si>
  <si>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</si>
  <si>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</si>
  <si>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</si>
  <si>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</si>
  <si>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</si>
  <si>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</si>
  <si>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</si>
  <si>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</si>
  <si>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</si>
  <si>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</si>
  <si>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</si>
  <si>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</si>
  <si>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</si>
  <si>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</si>
  <si>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</si>
  <si>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</si>
  <si>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</si>
  <si>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</si>
  <si>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</si>
  <si>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</si>
  <si>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</si>
  <si>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</si>
  <si>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</si>
  <si>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</si>
  <si>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</si>
  <si>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</si>
  <si>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</si>
  <si>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</si>
  <si>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</si>
  <si>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</si>
  <si>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</si>
  <si>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</si>
  <si>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</si>
  <si>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</si>
  <si>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</si>
  <si>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</si>
  <si>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</si>
  <si>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</si>
  <si>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</si>
  <si>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</si>
  <si>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</si>
  <si>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</si>
  <si>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</si>
  <si>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</si>
  <si>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</si>
  <si>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</si>
  <si>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Grundy, Will, Kendall</t>
  </si>
  <si>
    <t>2655 W Eames Street</t>
  </si>
  <si>
    <t>Channahon</t>
  </si>
  <si>
    <t>jtroy@mchs.net</t>
  </si>
  <si>
    <t>Kenneth Lee</t>
  </si>
  <si>
    <t>klee@mchs.net</t>
  </si>
  <si>
    <t>815-521-4311</t>
  </si>
  <si>
    <t>815-467-9733</t>
  </si>
  <si>
    <t>PDF in Opinion Page with signature</t>
  </si>
  <si>
    <t>G.O. Refunding School Bonds, Series 2011</t>
  </si>
  <si>
    <t>G.O. Refunding School Bonds, Series 2012A</t>
  </si>
  <si>
    <t>G.O. Refunding School Bonds, Series 2012B</t>
  </si>
  <si>
    <t>G.O. Refunding School Bonds, Series 2014</t>
  </si>
  <si>
    <t>G.O. Refunding School Bonds, Series 2015A</t>
  </si>
  <si>
    <t>G.O. Refunding School Bonds, Series 2015B</t>
  </si>
  <si>
    <t>G.O. Refunding School Bonds, Series 2016A</t>
  </si>
  <si>
    <t>G.O. Refunding School Bonds, Series 2016B</t>
  </si>
  <si>
    <t>G.O. Refunding School Bonds, Series 2018</t>
  </si>
  <si>
    <t>G.O. Refunding School Bonds, Series 2019</t>
  </si>
  <si>
    <t>Quest Foods</t>
  </si>
  <si>
    <t>GCA</t>
  </si>
  <si>
    <t>Grundy County Special Education Cooperative</t>
  </si>
  <si>
    <t>Minooka CCSD 201</t>
  </si>
  <si>
    <t>Grundy Area Vocational Center</t>
  </si>
  <si>
    <t>Illinois School District Liquid Asset Fund Plus</t>
  </si>
  <si>
    <t>Village of Minooka and Village of Channahon - School Resource Officer</t>
  </si>
  <si>
    <t>Page 10, Line 78 - Educational Fund:  Play and musical admissions</t>
  </si>
  <si>
    <t>Page 10, Line 92 - Educational Fund:  AP testing fees</t>
  </si>
  <si>
    <t>Page 11, Line 107 - All Funds:  Refunds, reimbursements, and settlements</t>
  </si>
  <si>
    <t>Page 15, Line 41 - Educational Fund:  Director of Student Services expenditures</t>
  </si>
  <si>
    <t>Page 16, Line 73 - Educational Fund:  Title I supplies</t>
  </si>
  <si>
    <t>Page 5, Line 12 - All Funds:  Payroll deductions paid in advance</t>
  </si>
  <si>
    <t>Page 10, Line 81 - Educational Fund:  Miscellaneous student activity fees</t>
  </si>
  <si>
    <t>Page 18, Line 171 - Debt Services Fund: Bond agent fees and issuance costs</t>
  </si>
  <si>
    <t>Page 19, Line 237 - IMRF / SS Fund:  Director of Student Services expenditures</t>
  </si>
  <si>
    <t>Page 12, Line 168: Educational Fund: State Library Grant</t>
  </si>
  <si>
    <t>Page 16, Line 56 - Educational Fund:  Dean's Office expenditures</t>
  </si>
  <si>
    <t>Page 18, Line 180 - Transportation Fund:  Transportation Director expenditures</t>
  </si>
  <si>
    <t>Page 20, Line 260 - IMRF / SS Fund:  Dean's Office expenditures</t>
  </si>
  <si>
    <t>O&amp;M - O&amp;M PLANT - PURCHASED SERVICES</t>
  </si>
  <si>
    <t>20-2540-300</t>
  </si>
  <si>
    <t>ANDERSONS LAWN SERVICES</t>
  </si>
  <si>
    <t>BANNON EXTERMINATING</t>
  </si>
  <si>
    <t>DROP ZONE PORTABLE SERVICES</t>
  </si>
  <si>
    <t>JOHNSON, JAMES</t>
  </si>
  <si>
    <t>LANGELAND CONSTRUCTION</t>
  </si>
  <si>
    <t>MCKINLEY WOODS ROAD MANAGEMENT</t>
  </si>
  <si>
    <t>PRECISION CONTROL SYSTEMS</t>
  </si>
  <si>
    <t>ED - FOOD SERVICE - PURCHASED SERVICES</t>
  </si>
  <si>
    <t>10-2560-300</t>
  </si>
  <si>
    <t>QUEST FOOD</t>
  </si>
  <si>
    <t>TRANS- SPECIAL ED TRANS- PURCHASED SERVICES</t>
  </si>
  <si>
    <t>40-2550-300</t>
  </si>
  <si>
    <t>ILLINOIS CENTRAL SCHOOL BUS</t>
  </si>
  <si>
    <t>TRANS- SNOW REMOVAL BUS GARAGE- PURCH SERV</t>
  </si>
  <si>
    <t>MINOOKA GRADE SCHOOL</t>
  </si>
  <si>
    <t>Minooka CHSD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</si>
</sst>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32" fillId="0" borderId="105" xfId="19" applyNumberFormat="1" applyFont="1" applyBorder="1" applyAlignment="1" applyProtection="1">
      <alignment horizontal="center" vertical="center"/>
      <protection locked="0"/>
    </xf>
    <xf numFmtId="49" fontId="132" fillId="0" borderId="107" xfId="19" applyNumberFormat="1" applyFont="1" applyFill="1" applyBorder="1" applyAlignment="1" applyProtection="1">
      <alignment horizontal="center" vertical="center"/>
      <protection locked="0"/>
    </xf>
    <xf numFmtId="0" fontId="99" fillId="0" borderId="105" xfId="19" applyFont="1" applyBorder="1" applyProtection="1">
      <protection locked="0"/>
    </xf>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0" fontId="12"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Contracts Paid in CY 29" xfId="21" xr:uid="{00000000-0005-0000-0000-000009000000}"/>
    <cellStyle name="Normal 3_Contracts Paid in CY 29" xfId="20" xr:uid="{00000000-0005-0000-0000-00000A000000}"/>
    <cellStyle name="Normal 4" xfId="16" xr:uid="{00000000-0005-0000-0000-00000B000000}"/>
    <cellStyle name="Normal 5" xfId="17" xr:uid="{00000000-0005-0000-0000-00000C000000}"/>
    <cellStyle name="Normal 5_Contracts Paid in CY 29" xfId="22"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6" t="s">
        <v>404</v>
      </c>
      <c r="J1" s="1987"/>
      <c r="K1" s="1987"/>
      <c r="L1" s="1987"/>
      <c r="M1" s="1987"/>
      <c r="N1" s="1987"/>
      <c r="O1" s="1987"/>
      <c r="P1" s="1987"/>
      <c r="Q1" s="1987"/>
      <c r="R1" s="1987"/>
      <c r="S1" s="1987"/>
    </row>
    <row r="2" spans="1:28" ht="12" customHeight="1" x14ac:dyDescent="0.2">
      <c r="A2" s="47" t="s">
        <v>1990</v>
      </c>
      <c r="D2" s="48"/>
      <c r="I2" s="1988" t="s">
        <v>978</v>
      </c>
      <c r="J2" s="1987"/>
      <c r="K2" s="1987"/>
      <c r="L2" s="1987"/>
      <c r="M2" s="1987"/>
      <c r="N2" s="1987"/>
      <c r="O2" s="1987"/>
      <c r="P2" s="1987"/>
      <c r="Q2" s="1987"/>
      <c r="R2" s="1987"/>
      <c r="S2" s="1987"/>
    </row>
    <row r="3" spans="1:28" ht="12" customHeight="1" x14ac:dyDescent="0.2">
      <c r="A3" s="155" t="s">
        <v>1942</v>
      </c>
      <c r="B3" s="156"/>
      <c r="C3" s="156"/>
      <c r="D3" s="157"/>
      <c r="I3" s="1988" t="s">
        <v>52</v>
      </c>
      <c r="J3" s="1987"/>
      <c r="K3" s="1987"/>
      <c r="L3" s="1987"/>
      <c r="M3" s="1987"/>
      <c r="N3" s="1987"/>
      <c r="O3" s="1987"/>
      <c r="P3" s="1987"/>
      <c r="Q3" s="1987"/>
      <c r="R3" s="1987"/>
      <c r="S3" s="1987"/>
    </row>
    <row r="4" spans="1:28" ht="12" customHeight="1" x14ac:dyDescent="0.2">
      <c r="A4" s="37"/>
      <c r="I4" s="1988" t="s">
        <v>523</v>
      </c>
      <c r="J4" s="1987"/>
      <c r="K4" s="1987"/>
      <c r="L4" s="1987"/>
      <c r="M4" s="1987"/>
      <c r="N4" s="1987"/>
      <c r="O4" s="1987"/>
      <c r="P4" s="1987"/>
      <c r="Q4" s="1987"/>
      <c r="R4" s="1987"/>
      <c r="S4" s="1987"/>
    </row>
    <row r="5" spans="1:28" ht="14.1" customHeight="1" x14ac:dyDescent="0.2">
      <c r="B5" s="104" t="s">
        <v>2072</v>
      </c>
      <c r="C5" s="26" t="s">
        <v>909</v>
      </c>
      <c r="D5" s="84"/>
      <c r="E5" s="84"/>
      <c r="H5" s="38"/>
      <c r="I5" s="1996" t="s">
        <v>679</v>
      </c>
      <c r="J5" s="1995"/>
      <c r="K5" s="1995"/>
      <c r="L5" s="1995"/>
      <c r="M5" s="1995"/>
      <c r="N5" s="1995"/>
      <c r="O5" s="1995"/>
      <c r="P5" s="1995"/>
      <c r="Q5" s="1995"/>
      <c r="R5" s="1995"/>
      <c r="S5" s="1995"/>
    </row>
    <row r="6" spans="1:28" ht="14.1" customHeight="1" x14ac:dyDescent="0.2">
      <c r="B6" s="104"/>
      <c r="C6" s="26" t="s">
        <v>910</v>
      </c>
      <c r="D6" s="84"/>
      <c r="E6" s="84"/>
      <c r="I6" s="1994" t="s">
        <v>882</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673</v>
      </c>
      <c r="J9" s="1992"/>
      <c r="K9" s="1992"/>
      <c r="L9" s="1992"/>
      <c r="M9" s="1992"/>
      <c r="N9" s="1992"/>
      <c r="O9" s="1992"/>
      <c r="P9" s="1992"/>
      <c r="Q9" s="1992"/>
      <c r="R9" s="1992"/>
      <c r="S9" s="1993"/>
      <c r="T9" s="2007" t="s">
        <v>532</v>
      </c>
      <c r="U9" s="2008"/>
      <c r="V9" s="2008"/>
      <c r="W9" s="2008"/>
      <c r="X9" s="2008"/>
      <c r="Y9" s="2008"/>
      <c r="Z9" s="2008"/>
      <c r="AA9" s="2009"/>
    </row>
    <row r="10" spans="1:28" ht="13.5" customHeight="1" x14ac:dyDescent="0.2">
      <c r="A10" s="2014" t="s">
        <v>674</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954</v>
      </c>
      <c r="B11" s="2018"/>
      <c r="C11" s="2018"/>
      <c r="D11" s="2018"/>
      <c r="E11" s="2018"/>
      <c r="F11" s="2018"/>
      <c r="G11" s="2018"/>
      <c r="H11" s="2019"/>
      <c r="I11" s="27"/>
      <c r="J11" s="74"/>
      <c r="K11" s="27"/>
      <c r="O11" s="148" t="s">
        <v>2072</v>
      </c>
      <c r="P11" s="100" t="s">
        <v>201</v>
      </c>
      <c r="Q11" s="30"/>
      <c r="R11" s="28"/>
      <c r="S11" s="27"/>
      <c r="T11" s="2011"/>
      <c r="U11" s="2012"/>
      <c r="V11" s="2012"/>
      <c r="W11" s="2012"/>
      <c r="X11" s="2012"/>
      <c r="Y11" s="2012"/>
      <c r="Z11" s="2012"/>
      <c r="AA11" s="201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1">
        <v>24032111016</v>
      </c>
      <c r="B13" s="2022"/>
      <c r="C13" s="2022"/>
      <c r="D13" s="2022"/>
      <c r="E13" s="2022"/>
      <c r="F13" s="2022"/>
      <c r="G13" s="2022"/>
      <c r="H13" s="2023"/>
      <c r="I13" s="31"/>
      <c r="J13" s="30"/>
      <c r="K13" s="28"/>
      <c r="L13" s="30"/>
      <c r="M13" s="30"/>
      <c r="N13" s="30"/>
      <c r="O13" s="30"/>
      <c r="P13" s="30"/>
      <c r="Q13" s="30"/>
      <c r="R13" s="30"/>
      <c r="S13" s="30"/>
      <c r="T13" s="2026" t="s">
        <v>2063</v>
      </c>
      <c r="U13" s="2027"/>
      <c r="V13" s="2027"/>
      <c r="W13" s="2027"/>
      <c r="X13" s="2027"/>
      <c r="Y13" s="2028"/>
      <c r="Z13" s="2028"/>
      <c r="AA13" s="202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0" t="s">
        <v>2073</v>
      </c>
      <c r="B15" s="2024"/>
      <c r="C15" s="2024"/>
      <c r="D15" s="2024"/>
      <c r="E15" s="2024"/>
      <c r="F15" s="2024"/>
      <c r="G15" s="2024"/>
      <c r="H15" s="2025"/>
      <c r="T15" s="2030" t="s">
        <v>2064</v>
      </c>
      <c r="U15" s="2031"/>
      <c r="V15" s="2031"/>
      <c r="W15" s="2031"/>
      <c r="X15" s="2031"/>
      <c r="Y15" s="2032"/>
      <c r="Z15" s="2032"/>
      <c r="AA15" s="203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0" t="s">
        <v>2129</v>
      </c>
      <c r="B17" s="1981"/>
      <c r="C17" s="1981"/>
      <c r="D17" s="1981"/>
      <c r="E17" s="1981"/>
      <c r="F17" s="1981"/>
      <c r="G17" s="1981"/>
      <c r="H17" s="2006"/>
      <c r="T17" s="2038" t="s">
        <v>2065</v>
      </c>
      <c r="U17" s="2039"/>
      <c r="V17" s="2039"/>
      <c r="W17" s="2039"/>
      <c r="X17" s="2039"/>
      <c r="Y17" s="2039"/>
      <c r="Z17" s="2039"/>
      <c r="AA17" s="2040"/>
    </row>
    <row r="18" spans="1:27" ht="13.5" customHeight="1" x14ac:dyDescent="0.2">
      <c r="A18" s="85" t="s">
        <v>529</v>
      </c>
      <c r="B18" s="76"/>
      <c r="C18" s="72"/>
      <c r="D18" s="76"/>
      <c r="E18" s="76"/>
      <c r="F18" s="76"/>
      <c r="G18" s="76"/>
      <c r="H18" s="56"/>
      <c r="I18" s="2005" t="s">
        <v>675</v>
      </c>
      <c r="J18" s="1956"/>
      <c r="K18" s="1956"/>
      <c r="L18" s="1956"/>
      <c r="M18" s="1956"/>
      <c r="N18" s="1956"/>
      <c r="O18" s="1956"/>
      <c r="P18" s="1956"/>
      <c r="Q18" s="1956"/>
      <c r="R18" s="1956"/>
      <c r="S18" s="1957"/>
      <c r="T18" s="85" t="s">
        <v>710</v>
      </c>
      <c r="U18" s="51"/>
      <c r="V18" s="72"/>
      <c r="W18" s="50"/>
      <c r="X18" s="85" t="s">
        <v>265</v>
      </c>
      <c r="Y18" s="81"/>
      <c r="Z18" s="159" t="s">
        <v>676</v>
      </c>
      <c r="AA18" s="46"/>
    </row>
    <row r="19" spans="1:27" ht="13.5" customHeight="1" x14ac:dyDescent="0.2">
      <c r="A19" s="2020" t="s">
        <v>2074</v>
      </c>
      <c r="B19" s="1966"/>
      <c r="C19" s="1966"/>
      <c r="D19" s="1966"/>
      <c r="E19" s="1966"/>
      <c r="F19" s="1966"/>
      <c r="G19" s="1966"/>
      <c r="H19" s="1946"/>
      <c r="I19" s="30"/>
      <c r="J19" s="99"/>
      <c r="K19" s="40"/>
      <c r="L19" s="38"/>
      <c r="M19" s="112" t="s">
        <v>314</v>
      </c>
      <c r="P19" s="27"/>
      <c r="Q19" s="27"/>
      <c r="R19" s="27"/>
      <c r="S19" s="31"/>
      <c r="T19" s="2020" t="s">
        <v>2066</v>
      </c>
      <c r="U19" s="1945"/>
      <c r="V19" s="1945"/>
      <c r="W19" s="1946"/>
      <c r="X19" s="2036" t="s">
        <v>2067</v>
      </c>
      <c r="Y19" s="2037"/>
      <c r="Z19" s="2034">
        <v>60450</v>
      </c>
      <c r="AA19" s="203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4" t="s">
        <v>2075</v>
      </c>
      <c r="B21" s="1945"/>
      <c r="C21" s="1945"/>
      <c r="D21" s="1945"/>
      <c r="E21" s="1945"/>
      <c r="F21" s="1945"/>
      <c r="G21" s="1945"/>
      <c r="H21" s="1946"/>
      <c r="I21" s="2000" t="s">
        <v>677</v>
      </c>
      <c r="J21" s="1995"/>
      <c r="K21" s="1995"/>
      <c r="L21" s="1995"/>
      <c r="M21" s="1995"/>
      <c r="N21" s="1995"/>
      <c r="O21" s="1995"/>
      <c r="P21" s="1995"/>
      <c r="Q21" s="1995"/>
      <c r="R21" s="1995"/>
      <c r="S21" s="2001"/>
      <c r="T21" s="2046" t="s">
        <v>2068</v>
      </c>
      <c r="U21" s="2047"/>
      <c r="V21" s="2047"/>
      <c r="W21" s="2047"/>
      <c r="X21" s="2053" t="s">
        <v>2069</v>
      </c>
      <c r="Y21" s="2054"/>
      <c r="Z21" s="2054"/>
      <c r="AA21" s="2055"/>
    </row>
    <row r="22" spans="1:27" ht="13.5" customHeight="1" x14ac:dyDescent="0.2">
      <c r="A22" s="87" t="s">
        <v>530</v>
      </c>
      <c r="B22" s="59"/>
      <c r="C22" s="59"/>
      <c r="D22" s="59"/>
      <c r="E22" s="59"/>
      <c r="F22" s="59"/>
      <c r="G22" s="59"/>
      <c r="H22" s="60"/>
      <c r="I22" s="2002" t="s">
        <v>1428</v>
      </c>
      <c r="J22" s="2003"/>
      <c r="K22" s="2003"/>
      <c r="L22" s="2003"/>
      <c r="M22" s="2003"/>
      <c r="N22" s="2003"/>
      <c r="O22" s="2003"/>
      <c r="P22" s="2003"/>
      <c r="Q22" s="2003"/>
      <c r="R22" s="2003"/>
      <c r="S22" s="2004"/>
      <c r="T22" s="85" t="s">
        <v>1515</v>
      </c>
      <c r="U22" s="51"/>
      <c r="V22" s="72"/>
      <c r="W22" s="51"/>
      <c r="X22" s="160" t="s">
        <v>1317</v>
      </c>
      <c r="Z22" s="45"/>
      <c r="AA22" s="46"/>
    </row>
    <row r="23" spans="1:27" ht="13.5" customHeight="1" x14ac:dyDescent="0.2">
      <c r="A23" s="1997" t="s">
        <v>2076</v>
      </c>
      <c r="B23" s="1998"/>
      <c r="C23" s="1998"/>
      <c r="D23" s="1998"/>
      <c r="E23" s="1998"/>
      <c r="F23" s="1998"/>
      <c r="G23" s="1998"/>
      <c r="H23" s="1999"/>
      <c r="T23" s="2044" t="s">
        <v>2070</v>
      </c>
      <c r="U23" s="2045"/>
      <c r="V23" s="2045"/>
      <c r="W23" s="2045"/>
      <c r="X23" s="2050">
        <v>44530</v>
      </c>
      <c r="Y23" s="2051"/>
      <c r="Z23" s="2051"/>
      <c r="AA23" s="2052"/>
    </row>
    <row r="24" spans="1:27" ht="14.1" customHeight="1" x14ac:dyDescent="0.2">
      <c r="A24" s="88" t="s">
        <v>676</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530</v>
      </c>
      <c r="U24" s="106"/>
      <c r="V24" s="106"/>
      <c r="W24" s="106"/>
      <c r="X24" s="107"/>
      <c r="Y24" s="107"/>
      <c r="Z24" s="107"/>
      <c r="AA24" s="108"/>
    </row>
    <row r="25" spans="1:27" ht="14.1" customHeight="1" x14ac:dyDescent="0.2">
      <c r="A25" s="1944">
        <v>60410</v>
      </c>
      <c r="B25" s="1945"/>
      <c r="C25" s="1945"/>
      <c r="D25" s="1945"/>
      <c r="E25" s="1945"/>
      <c r="F25" s="1945"/>
      <c r="G25" s="1945"/>
      <c r="H25" s="1946"/>
      <c r="I25" s="113"/>
      <c r="J25" s="1969"/>
      <c r="K25" s="1969"/>
      <c r="L25" s="1969"/>
      <c r="M25" s="1969"/>
      <c r="N25" s="1969"/>
      <c r="O25" s="1969"/>
      <c r="P25" s="1969"/>
      <c r="Q25" s="1969"/>
      <c r="R25" s="1969"/>
      <c r="S25" s="1970"/>
      <c r="T25" s="2041" t="s">
        <v>2071</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5" t="s">
        <v>1510</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2072</v>
      </c>
      <c r="M29" s="40" t="s">
        <v>99</v>
      </c>
      <c r="N29" s="32" t="s">
        <v>1522</v>
      </c>
      <c r="O29" s="32"/>
      <c r="P29" s="32"/>
      <c r="Q29" s="32"/>
      <c r="R29" s="32"/>
      <c r="S29" s="123"/>
      <c r="T29" s="6"/>
      <c r="U29" s="6"/>
      <c r="V29" s="6"/>
      <c r="W29" s="6"/>
      <c r="X29" s="6"/>
      <c r="Y29" s="6"/>
      <c r="Z29" s="6"/>
      <c r="AA29" s="132"/>
    </row>
    <row r="30" spans="1:27" ht="13.5" customHeight="1" x14ac:dyDescent="0.2">
      <c r="A30" s="153"/>
      <c r="B30" s="136" t="s">
        <v>2072</v>
      </c>
      <c r="C30" s="124" t="s">
        <v>1163</v>
      </c>
      <c r="D30" s="28"/>
      <c r="E30" s="28"/>
      <c r="F30" s="140"/>
      <c r="G30" s="114"/>
      <c r="H30" s="114"/>
      <c r="I30" s="54"/>
      <c r="J30" s="102"/>
      <c r="K30" s="28" t="s">
        <v>575</v>
      </c>
      <c r="L30" s="148" t="s">
        <v>2072</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2072</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2072</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0" t="s">
        <v>2077</v>
      </c>
      <c r="B38" s="1981"/>
      <c r="C38" s="1981"/>
      <c r="D38" s="1981"/>
      <c r="E38" s="1981"/>
      <c r="F38" s="1945"/>
      <c r="G38" s="1945"/>
      <c r="H38" s="1946"/>
      <c r="I38" s="1973"/>
      <c r="J38" s="1974"/>
      <c r="K38" s="1974"/>
      <c r="L38" s="1974"/>
      <c r="M38" s="1974"/>
      <c r="N38" s="1974"/>
      <c r="O38" s="1974"/>
      <c r="P38" s="1975"/>
      <c r="Q38" s="1975"/>
      <c r="R38" s="1975"/>
      <c r="S38" s="1976"/>
      <c r="T38" s="2048"/>
      <c r="U38" s="1974"/>
      <c r="V38" s="1974"/>
      <c r="W38" s="1974"/>
      <c r="X38" s="1975"/>
      <c r="Y38" s="1975"/>
      <c r="Z38" s="1975"/>
      <c r="AA38" s="1976"/>
    </row>
    <row r="39" spans="1:27" ht="12" customHeight="1" x14ac:dyDescent="0.2">
      <c r="A39" s="1950" t="s">
        <v>530</v>
      </c>
      <c r="B39" s="1951"/>
      <c r="C39" s="72"/>
      <c r="D39" s="69"/>
      <c r="E39" s="69"/>
      <c r="F39" s="79"/>
      <c r="G39" s="69"/>
      <c r="H39" s="56"/>
      <c r="I39" s="1950" t="s">
        <v>530</v>
      </c>
      <c r="J39" s="1951"/>
      <c r="K39" s="1951"/>
      <c r="L39" s="1951"/>
      <c r="M39" s="1951"/>
      <c r="N39" s="67"/>
      <c r="O39" s="72"/>
      <c r="P39" s="72"/>
      <c r="Q39" s="78"/>
      <c r="R39" s="72"/>
      <c r="S39" s="56"/>
      <c r="T39" s="72" t="s">
        <v>530</v>
      </c>
      <c r="U39" s="51"/>
      <c r="V39" s="72"/>
      <c r="W39" s="50"/>
      <c r="X39" s="78"/>
      <c r="Y39" s="45"/>
      <c r="Z39" s="45"/>
      <c r="AA39" s="46"/>
    </row>
    <row r="40" spans="1:27" ht="13.5" customHeight="1" x14ac:dyDescent="0.2">
      <c r="A40" s="1958" t="s">
        <v>2078</v>
      </c>
      <c r="B40" s="1959"/>
      <c r="C40" s="1960"/>
      <c r="D40" s="1960"/>
      <c r="E40" s="1960"/>
      <c r="F40" s="1961"/>
      <c r="G40" s="1961"/>
      <c r="H40" s="1962"/>
      <c r="I40" s="1983"/>
      <c r="J40" s="1984"/>
      <c r="K40" s="1984"/>
      <c r="L40" s="1984"/>
      <c r="M40" s="1984"/>
      <c r="N40" s="1984"/>
      <c r="O40" s="1984"/>
      <c r="P40" s="1984"/>
      <c r="Q40" s="1984"/>
      <c r="R40" s="1984"/>
      <c r="S40" s="1985"/>
      <c r="T40" s="1983"/>
      <c r="U40" s="2049"/>
      <c r="V40" s="1984"/>
      <c r="W40" s="1984"/>
      <c r="X40" s="1984"/>
      <c r="Y40" s="1984"/>
      <c r="Z40" s="1984"/>
      <c r="AA40" s="198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2" t="s">
        <v>2079</v>
      </c>
      <c r="B42" s="1964"/>
      <c r="C42" s="1965"/>
      <c r="D42" s="1963" t="s">
        <v>2080</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4"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1801</v>
      </c>
      <c r="B2" s="1528" t="s">
        <v>1948</v>
      </c>
      <c r="C2" s="714" t="s">
        <v>1949</v>
      </c>
      <c r="D2" s="714" t="s">
        <v>1950</v>
      </c>
      <c r="E2" s="714" t="s">
        <v>1951</v>
      </c>
      <c r="F2" s="714" t="s">
        <v>1952</v>
      </c>
    </row>
    <row r="3" spans="1:6" ht="12" customHeight="1" x14ac:dyDescent="0.2">
      <c r="A3" s="2190"/>
      <c r="B3" s="1525"/>
      <c r="C3" s="1526"/>
      <c r="D3" s="1527" t="s">
        <v>256</v>
      </c>
      <c r="E3" s="1526"/>
      <c r="F3" s="1527" t="s">
        <v>257</v>
      </c>
    </row>
    <row r="4" spans="1:6" ht="13.7" customHeight="1" x14ac:dyDescent="0.2">
      <c r="A4" s="715" t="s">
        <v>1154</v>
      </c>
      <c r="B4" s="1749">
        <f>'Revenues 9-14'!C5</f>
        <v>16385886</v>
      </c>
      <c r="C4" s="1524">
        <v>5818375</v>
      </c>
      <c r="D4" s="1752">
        <f>B4-C4</f>
        <v>10567511</v>
      </c>
      <c r="E4" s="1524">
        <v>17087841</v>
      </c>
      <c r="F4" s="1752">
        <f>E4-C4</f>
        <v>11269466</v>
      </c>
    </row>
    <row r="5" spans="1:6" ht="13.7" customHeight="1" x14ac:dyDescent="0.2">
      <c r="A5" s="715" t="s">
        <v>869</v>
      </c>
      <c r="B5" s="1750">
        <f>'Revenues 9-14'!D5</f>
        <v>3358041</v>
      </c>
      <c r="C5" s="585">
        <v>1192290</v>
      </c>
      <c r="D5" s="1753">
        <f t="shared" ref="D5:D18" si="0">B5-C5</f>
        <v>2165751</v>
      </c>
      <c r="E5" s="585">
        <v>3501607</v>
      </c>
      <c r="F5" s="1753">
        <f>E5-C5</f>
        <v>2309317</v>
      </c>
    </row>
    <row r="6" spans="1:6" ht="13.7" customHeight="1" x14ac:dyDescent="0.2">
      <c r="A6" s="715" t="s">
        <v>410</v>
      </c>
      <c r="B6" s="1750">
        <f>'Revenues 9-14'!E5</f>
        <v>8852061</v>
      </c>
      <c r="C6" s="585">
        <v>2914599</v>
      </c>
      <c r="D6" s="1753">
        <f t="shared" si="0"/>
        <v>5937462</v>
      </c>
      <c r="E6" s="585">
        <v>8549910</v>
      </c>
      <c r="F6" s="1753">
        <f t="shared" ref="F6:F18" si="1">E6-C6</f>
        <v>5635311</v>
      </c>
    </row>
    <row r="7" spans="1:6" ht="13.7" customHeight="1" x14ac:dyDescent="0.2">
      <c r="A7" s="715" t="s">
        <v>155</v>
      </c>
      <c r="B7" s="1750">
        <f>'Revenues 9-14'!F5</f>
        <v>1612439</v>
      </c>
      <c r="C7" s="585">
        <v>572299</v>
      </c>
      <c r="D7" s="1753">
        <f t="shared" si="0"/>
        <v>1040140</v>
      </c>
      <c r="E7" s="585">
        <v>1680771</v>
      </c>
      <c r="F7" s="1753">
        <f t="shared" si="1"/>
        <v>1108472</v>
      </c>
    </row>
    <row r="8" spans="1:6" ht="13.7" customHeight="1" x14ac:dyDescent="0.2">
      <c r="A8" s="715" t="s">
        <v>1178</v>
      </c>
      <c r="B8" s="1750">
        <f>'Revenues 9-14'!G5</f>
        <v>388655</v>
      </c>
      <c r="C8" s="585">
        <v>138700</v>
      </c>
      <c r="D8" s="1753">
        <f t="shared" si="0"/>
        <v>249955</v>
      </c>
      <c r="E8" s="585">
        <v>406569</v>
      </c>
      <c r="F8" s="1753">
        <f t="shared" si="1"/>
        <v>267869</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672661</v>
      </c>
      <c r="C10" s="585">
        <v>238458</v>
      </c>
      <c r="D10" s="1753">
        <f t="shared" si="0"/>
        <v>434203</v>
      </c>
      <c r="E10" s="585">
        <v>700322</v>
      </c>
      <c r="F10" s="1753">
        <f t="shared" si="1"/>
        <v>461864</v>
      </c>
    </row>
    <row r="11" spans="1:6" x14ac:dyDescent="0.2">
      <c r="A11" s="715" t="s">
        <v>408</v>
      </c>
      <c r="B11" s="1750">
        <f>'Revenues 9-14'!J5</f>
        <v>1198995</v>
      </c>
      <c r="C11" s="585">
        <v>401957</v>
      </c>
      <c r="D11" s="1753">
        <f t="shared" si="0"/>
        <v>797038</v>
      </c>
      <c r="E11" s="585">
        <v>1178555</v>
      </c>
      <c r="F11" s="1753">
        <f t="shared" si="1"/>
        <v>776598</v>
      </c>
    </row>
    <row r="12" spans="1:6" ht="13.7" customHeight="1" x14ac:dyDescent="0.2">
      <c r="A12" s="715" t="s">
        <v>157</v>
      </c>
      <c r="B12" s="1750">
        <f>'Revenues 9-14'!K5</f>
        <v>672661</v>
      </c>
      <c r="C12" s="585">
        <v>238458</v>
      </c>
      <c r="D12" s="1753">
        <f t="shared" si="0"/>
        <v>434203</v>
      </c>
      <c r="E12" s="585">
        <v>700322</v>
      </c>
      <c r="F12" s="1753">
        <f t="shared" si="1"/>
        <v>461864</v>
      </c>
    </row>
    <row r="13" spans="1:6" ht="13.7" customHeight="1" x14ac:dyDescent="0.2">
      <c r="A13" s="715" t="s">
        <v>935</v>
      </c>
      <c r="B13" s="1750">
        <f>SUM('Revenues 9-14'!C6:D6)</f>
        <v>672662</v>
      </c>
      <c r="C13" s="585">
        <v>238458</v>
      </c>
      <c r="D13" s="1753">
        <f t="shared" si="0"/>
        <v>434204</v>
      </c>
      <c r="E13" s="585">
        <v>700322</v>
      </c>
      <c r="F13" s="1753">
        <f t="shared" si="1"/>
        <v>461864</v>
      </c>
    </row>
    <row r="14" spans="1:6" ht="13.7" customHeight="1" x14ac:dyDescent="0.2">
      <c r="A14" s="715" t="s">
        <v>409</v>
      </c>
      <c r="B14" s="1750">
        <f>SUM('Revenues 9-14'!C7:D7,'Revenues 9-14'!F7:H7)</f>
        <v>268740</v>
      </c>
      <c r="C14" s="585">
        <v>95384</v>
      </c>
      <c r="D14" s="1753">
        <f t="shared" si="0"/>
        <v>173356</v>
      </c>
      <c r="E14" s="585">
        <v>280128</v>
      </c>
      <c r="F14" s="1753">
        <f t="shared" si="1"/>
        <v>184744</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487902</v>
      </c>
      <c r="C16" s="585">
        <v>172636</v>
      </c>
      <c r="D16" s="1753">
        <f t="shared" si="0"/>
        <v>315266</v>
      </c>
      <c r="E16" s="585">
        <v>506324</v>
      </c>
      <c r="F16" s="1753">
        <f t="shared" si="1"/>
        <v>333688</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34570703</v>
      </c>
      <c r="C19" s="1751">
        <f>SUM(C4:C18)</f>
        <v>12021614</v>
      </c>
      <c r="D19" s="1751">
        <f>SUM(D4:D18)</f>
        <v>22549089</v>
      </c>
      <c r="E19" s="1751">
        <f>SUM(E4:E18)</f>
        <v>35292671</v>
      </c>
      <c r="F19" s="1751">
        <f>SUM(F4:F18)</f>
        <v>23271057</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7" colorId="8" zoomScaleNormal="100" workbookViewId="0">
      <selection activeCell="E51" sqref="E5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09"/>
      <c r="C1" s="721"/>
    </row>
    <row r="2" spans="1:7" ht="33.75" x14ac:dyDescent="0.2">
      <c r="A2" s="2216" t="s">
        <v>1801</v>
      </c>
      <c r="B2" s="2217"/>
      <c r="C2" s="1884" t="s">
        <v>1953</v>
      </c>
      <c r="D2" s="723" t="s">
        <v>1954</v>
      </c>
      <c r="E2" s="723" t="s">
        <v>1955</v>
      </c>
      <c r="F2" s="1884" t="s">
        <v>1956</v>
      </c>
    </row>
    <row r="3" spans="1:7" ht="15.75" customHeight="1" x14ac:dyDescent="0.2">
      <c r="A3" s="2218" t="s">
        <v>1113</v>
      </c>
      <c r="B3" s="2219"/>
      <c r="C3" s="2212"/>
      <c r="D3" s="2213"/>
      <c r="E3" s="2213"/>
      <c r="F3" s="2214"/>
    </row>
    <row r="4" spans="1:7" ht="12.75" customHeight="1" thickBot="1" x14ac:dyDescent="0.25">
      <c r="A4" s="2206" t="s">
        <v>629</v>
      </c>
      <c r="B4" s="2207"/>
      <c r="C4" s="581"/>
      <c r="D4" s="581"/>
      <c r="E4" s="581"/>
      <c r="F4" s="1755">
        <f>SUM(C4+D4)-E4</f>
        <v>0</v>
      </c>
    </row>
    <row r="5" spans="1:7" ht="15.75" customHeight="1" thickTop="1" x14ac:dyDescent="0.2">
      <c r="A5" s="2210" t="s">
        <v>1109</v>
      </c>
      <c r="B5" s="2205"/>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2" t="s">
        <v>630</v>
      </c>
      <c r="B15" s="2203"/>
      <c r="C15" s="1755">
        <f>SUM(C6:C14)</f>
        <v>0</v>
      </c>
      <c r="D15" s="1755">
        <f>SUM(D6:D14)</f>
        <v>0</v>
      </c>
      <c r="E15" s="1755">
        <f>SUM(E6:E14)</f>
        <v>0</v>
      </c>
      <c r="F15" s="1755">
        <f>SUM(F6:F14)</f>
        <v>0</v>
      </c>
      <c r="G15" s="552"/>
    </row>
    <row r="16" spans="1:7" s="202" customFormat="1" ht="15.75" customHeight="1" thickTop="1" x14ac:dyDescent="0.2">
      <c r="A16" s="2215" t="s">
        <v>1110</v>
      </c>
      <c r="B16" s="2205"/>
      <c r="C16" s="2199"/>
      <c r="D16" s="2200"/>
      <c r="E16" s="2200"/>
      <c r="F16" s="2201"/>
    </row>
    <row r="17" spans="1:11" ht="12.75" customHeight="1" thickBot="1" x14ac:dyDescent="0.25">
      <c r="A17" s="2197" t="s">
        <v>64</v>
      </c>
      <c r="B17" s="2198"/>
      <c r="C17" s="726"/>
      <c r="D17" s="585"/>
      <c r="E17" s="726"/>
      <c r="F17" s="1755">
        <f>SUM(C17+D17)-E17</f>
        <v>0</v>
      </c>
    </row>
    <row r="18" spans="1:11" ht="12.75" customHeight="1" thickTop="1" thickBot="1" x14ac:dyDescent="0.25">
      <c r="A18" s="2197" t="s">
        <v>6</v>
      </c>
      <c r="B18" s="2198"/>
      <c r="C18" s="726"/>
      <c r="D18" s="585"/>
      <c r="E18" s="726"/>
      <c r="F18" s="1755">
        <f>SUM(C18+D18)-E18</f>
        <v>0</v>
      </c>
    </row>
    <row r="19" spans="1:11" ht="12.75" customHeight="1" thickTop="1" thickBot="1" x14ac:dyDescent="0.25">
      <c r="A19" s="2197" t="s">
        <v>387</v>
      </c>
      <c r="B19" s="2198"/>
      <c r="C19" s="726"/>
      <c r="D19" s="585"/>
      <c r="E19" s="726"/>
      <c r="F19" s="1755">
        <f>SUM(C19+D19)-E19</f>
        <v>0</v>
      </c>
    </row>
    <row r="20" spans="1:11" ht="12.75" customHeight="1" thickTop="1" thickBot="1" x14ac:dyDescent="0.25">
      <c r="A20" s="2197" t="s">
        <v>447</v>
      </c>
      <c r="B20" s="2198"/>
      <c r="C20" s="726"/>
      <c r="D20" s="585"/>
      <c r="E20" s="726"/>
      <c r="F20" s="1755">
        <f>SUM(C20+D20)-E20</f>
        <v>0</v>
      </c>
    </row>
    <row r="21" spans="1:11" ht="14.25" thickTop="1" thickBot="1" x14ac:dyDescent="0.25">
      <c r="A21" s="2202" t="s">
        <v>631</v>
      </c>
      <c r="B21" s="2203"/>
      <c r="C21" s="1755">
        <f>SUM(C17:C20)</f>
        <v>0</v>
      </c>
      <c r="D21" s="1755">
        <f>SUM(D17:D20)</f>
        <v>0</v>
      </c>
      <c r="E21" s="1755">
        <f>SUM(E17:E20)</f>
        <v>0</v>
      </c>
      <c r="F21" s="1755">
        <f>SUM(F17:F20)</f>
        <v>0</v>
      </c>
      <c r="G21" s="552"/>
    </row>
    <row r="22" spans="1:11" ht="15.75" customHeight="1" thickTop="1" x14ac:dyDescent="0.2">
      <c r="A22" s="2204" t="s">
        <v>1111</v>
      </c>
      <c r="B22" s="2205"/>
      <c r="C22" s="2199"/>
      <c r="D22" s="2200"/>
      <c r="E22" s="2200"/>
      <c r="F22" s="2201"/>
    </row>
    <row r="23" spans="1:11" ht="13.5" thickBot="1" x14ac:dyDescent="0.25">
      <c r="A23" s="2206" t="s">
        <v>632</v>
      </c>
      <c r="B23" s="2207"/>
      <c r="C23" s="581"/>
      <c r="D23" s="581"/>
      <c r="E23" s="581"/>
      <c r="F23" s="1755">
        <f>SUM(C23+D23)-E23</f>
        <v>0</v>
      </c>
      <c r="G23" s="552"/>
    </row>
    <row r="24" spans="1:11" ht="15.75" customHeight="1" thickTop="1" x14ac:dyDescent="0.2">
      <c r="A24" s="2204" t="s">
        <v>1112</v>
      </c>
      <c r="B24" s="2205"/>
      <c r="C24" s="2199"/>
      <c r="D24" s="2200"/>
      <c r="E24" s="2200"/>
      <c r="F24" s="2201"/>
    </row>
    <row r="25" spans="1:11" ht="13.5" thickBot="1" x14ac:dyDescent="0.25">
      <c r="A25" s="2206" t="s">
        <v>633</v>
      </c>
      <c r="B25" s="2207"/>
      <c r="C25" s="581"/>
      <c r="D25" s="581"/>
      <c r="E25" s="581"/>
      <c r="F25" s="1755">
        <f>SUM(C25+D25)-E25</f>
        <v>0</v>
      </c>
      <c r="G25" s="552"/>
    </row>
    <row r="26" spans="1:11" ht="15.75" customHeight="1" thickTop="1" x14ac:dyDescent="0.2">
      <c r="A26" s="2210" t="s">
        <v>656</v>
      </c>
      <c r="B26" s="2205"/>
      <c r="C26" s="727"/>
      <c r="D26" s="727"/>
      <c r="E26" s="727"/>
      <c r="F26" s="728"/>
    </row>
    <row r="27" spans="1:11" ht="13.5" thickBot="1" x14ac:dyDescent="0.25">
      <c r="A27" s="2202" t="s">
        <v>1069</v>
      </c>
      <c r="B27" s="2203"/>
      <c r="C27" s="585"/>
      <c r="D27" s="585"/>
      <c r="E27" s="585"/>
      <c r="F27" s="1755">
        <f>SUM(C27+D27)-E27</f>
        <v>0</v>
      </c>
      <c r="G27" s="552"/>
    </row>
    <row r="28" spans="1:11" ht="7.5" customHeight="1" thickTop="1" x14ac:dyDescent="0.2">
      <c r="A28" s="593"/>
    </row>
    <row r="29" spans="1:11" ht="23.25" customHeight="1" x14ac:dyDescent="0.2">
      <c r="A29" s="2208" t="s">
        <v>581</v>
      </c>
      <c r="B29" s="2209"/>
      <c r="C29" s="729"/>
      <c r="D29" s="729"/>
      <c r="E29" s="729"/>
      <c r="F29" s="729"/>
      <c r="G29" s="729"/>
      <c r="H29" s="729"/>
      <c r="I29" s="729"/>
      <c r="J29" s="729"/>
    </row>
    <row r="30" spans="1:11" ht="33.75" x14ac:dyDescent="0.2">
      <c r="A30" s="1529" t="s">
        <v>1070</v>
      </c>
      <c r="B30" s="730" t="s">
        <v>1123</v>
      </c>
      <c r="C30" s="1885" t="s">
        <v>582</v>
      </c>
      <c r="D30" s="1885" t="s">
        <v>1672</v>
      </c>
      <c r="E30" s="1885" t="s">
        <v>1957</v>
      </c>
      <c r="F30" s="1885" t="s">
        <v>1958</v>
      </c>
      <c r="G30" s="1885" t="s">
        <v>1909</v>
      </c>
      <c r="H30" s="1885" t="s">
        <v>1959</v>
      </c>
      <c r="I30" s="1885" t="s">
        <v>1960</v>
      </c>
      <c r="J30" s="1886" t="s">
        <v>2</v>
      </c>
      <c r="K30" s="731"/>
    </row>
    <row r="31" spans="1:11" ht="12" customHeight="1" x14ac:dyDescent="0.2">
      <c r="A31" s="732" t="s">
        <v>2082</v>
      </c>
      <c r="B31" s="733">
        <v>40625</v>
      </c>
      <c r="C31" s="734">
        <v>9465000</v>
      </c>
      <c r="D31" s="735">
        <v>3</v>
      </c>
      <c r="E31" s="734">
        <v>2285000</v>
      </c>
      <c r="F31" s="734"/>
      <c r="G31" s="734"/>
      <c r="H31" s="734">
        <v>2285000</v>
      </c>
      <c r="I31" s="1756">
        <f>((E31+F31)-H31)+G31</f>
        <v>0</v>
      </c>
      <c r="J31" s="734"/>
      <c r="K31" s="736"/>
    </row>
    <row r="32" spans="1:11" ht="12" customHeight="1" x14ac:dyDescent="0.2">
      <c r="A32" s="732" t="s">
        <v>2083</v>
      </c>
      <c r="B32" s="733">
        <v>41123</v>
      </c>
      <c r="C32" s="734">
        <v>9470000</v>
      </c>
      <c r="D32" s="735">
        <v>3</v>
      </c>
      <c r="E32" s="734">
        <v>9470000</v>
      </c>
      <c r="F32" s="734"/>
      <c r="G32" s="734"/>
      <c r="H32" s="734"/>
      <c r="I32" s="1756">
        <f>((E32+F32)-H32)+G32</f>
        <v>9470000</v>
      </c>
      <c r="J32" s="734">
        <v>3636181</v>
      </c>
      <c r="K32" s="736"/>
    </row>
    <row r="33" spans="1:11" ht="12" customHeight="1" x14ac:dyDescent="0.2">
      <c r="A33" s="732" t="s">
        <v>2084</v>
      </c>
      <c r="B33" s="733">
        <v>41123</v>
      </c>
      <c r="C33" s="734">
        <v>1215000</v>
      </c>
      <c r="D33" s="735">
        <v>3</v>
      </c>
      <c r="E33" s="734">
        <v>1215000</v>
      </c>
      <c r="F33" s="734"/>
      <c r="G33" s="734"/>
      <c r="H33" s="734"/>
      <c r="I33" s="1756">
        <f t="shared" ref="I33:I48" si="1">((E33+F33)-H33)+G33</f>
        <v>1215000</v>
      </c>
      <c r="J33" s="734">
        <v>1215000</v>
      </c>
      <c r="K33" s="736"/>
    </row>
    <row r="34" spans="1:11" ht="12" customHeight="1" x14ac:dyDescent="0.2">
      <c r="A34" s="732" t="s">
        <v>2085</v>
      </c>
      <c r="B34" s="733">
        <v>41751</v>
      </c>
      <c r="C34" s="738">
        <v>8965000</v>
      </c>
      <c r="D34" s="735">
        <v>3</v>
      </c>
      <c r="E34" s="734">
        <v>8965000</v>
      </c>
      <c r="F34" s="734"/>
      <c r="G34" s="734"/>
      <c r="H34" s="734"/>
      <c r="I34" s="1756">
        <f t="shared" si="1"/>
        <v>8965000</v>
      </c>
      <c r="J34" s="734">
        <v>8965000</v>
      </c>
      <c r="K34" s="737"/>
    </row>
    <row r="35" spans="1:11" ht="12" customHeight="1" x14ac:dyDescent="0.2">
      <c r="A35" s="732" t="s">
        <v>2086</v>
      </c>
      <c r="B35" s="733">
        <v>42053</v>
      </c>
      <c r="C35" s="734">
        <v>11900000</v>
      </c>
      <c r="D35" s="735">
        <v>1</v>
      </c>
      <c r="E35" s="738">
        <v>2675000</v>
      </c>
      <c r="F35" s="738"/>
      <c r="G35" s="738"/>
      <c r="H35" s="738">
        <v>2675000</v>
      </c>
      <c r="I35" s="1756">
        <f t="shared" si="1"/>
        <v>0</v>
      </c>
      <c r="J35" s="738"/>
      <c r="K35" s="737"/>
    </row>
    <row r="36" spans="1:11" ht="12" customHeight="1" x14ac:dyDescent="0.2">
      <c r="A36" s="732" t="s">
        <v>2087</v>
      </c>
      <c r="B36" s="733">
        <v>42053</v>
      </c>
      <c r="C36" s="467">
        <v>9130000</v>
      </c>
      <c r="D36" s="740">
        <v>3</v>
      </c>
      <c r="E36" s="734">
        <v>9130000</v>
      </c>
      <c r="F36" s="734"/>
      <c r="G36" s="734"/>
      <c r="H36" s="734"/>
      <c r="I36" s="1756">
        <f t="shared" si="1"/>
        <v>9130000</v>
      </c>
      <c r="J36" s="734">
        <v>9130000</v>
      </c>
      <c r="K36" s="739"/>
    </row>
    <row r="37" spans="1:11" ht="12" customHeight="1" x14ac:dyDescent="0.2">
      <c r="A37" s="732" t="s">
        <v>2088</v>
      </c>
      <c r="B37" s="733">
        <v>42446</v>
      </c>
      <c r="C37" s="734">
        <v>4000000</v>
      </c>
      <c r="D37" s="741">
        <v>3</v>
      </c>
      <c r="E37" s="467">
        <v>2350000</v>
      </c>
      <c r="F37" s="467"/>
      <c r="G37" s="467"/>
      <c r="H37" s="467">
        <v>1175000</v>
      </c>
      <c r="I37" s="1756">
        <f t="shared" si="1"/>
        <v>1175000</v>
      </c>
      <c r="J37" s="467">
        <v>1175000</v>
      </c>
      <c r="K37" s="737"/>
    </row>
    <row r="38" spans="1:11" ht="12" customHeight="1" x14ac:dyDescent="0.2">
      <c r="A38" s="732" t="s">
        <v>2089</v>
      </c>
      <c r="B38" s="733">
        <v>42446</v>
      </c>
      <c r="C38" s="734">
        <v>8750000</v>
      </c>
      <c r="D38" s="741">
        <v>3</v>
      </c>
      <c r="E38" s="742">
        <v>8750000</v>
      </c>
      <c r="F38" s="742"/>
      <c r="G38" s="742"/>
      <c r="H38" s="742"/>
      <c r="I38" s="1756">
        <f t="shared" si="1"/>
        <v>8750000</v>
      </c>
      <c r="J38" s="743">
        <v>8750000</v>
      </c>
      <c r="K38" s="744"/>
    </row>
    <row r="39" spans="1:11" ht="12" customHeight="1" x14ac:dyDescent="0.2">
      <c r="A39" s="732" t="s">
        <v>2090</v>
      </c>
      <c r="B39" s="733">
        <v>43265</v>
      </c>
      <c r="C39" s="734">
        <v>7050000</v>
      </c>
      <c r="D39" s="741">
        <v>3</v>
      </c>
      <c r="E39" s="742">
        <v>7050000</v>
      </c>
      <c r="F39" s="742"/>
      <c r="G39" s="742"/>
      <c r="H39" s="742">
        <v>820000</v>
      </c>
      <c r="I39" s="1756">
        <f t="shared" si="1"/>
        <v>6230000</v>
      </c>
      <c r="J39" s="743">
        <v>6230000</v>
      </c>
      <c r="K39" s="744"/>
    </row>
    <row r="40" spans="1:11" ht="12" customHeight="1" x14ac:dyDescent="0.2">
      <c r="A40" s="732" t="s">
        <v>2091</v>
      </c>
      <c r="B40" s="733">
        <v>43628</v>
      </c>
      <c r="C40" s="734">
        <v>18745000</v>
      </c>
      <c r="D40" s="741">
        <v>3</v>
      </c>
      <c r="E40" s="742"/>
      <c r="F40" s="742">
        <v>18745000</v>
      </c>
      <c r="G40" s="742"/>
      <c r="H40" s="742"/>
      <c r="I40" s="1756">
        <f t="shared" si="1"/>
        <v>18745000</v>
      </c>
      <c r="J40" s="743">
        <v>18745000</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88690000</v>
      </c>
      <c r="D49" s="745"/>
      <c r="E49" s="1756">
        <f t="shared" ref="E49:J49" si="2">SUM(E31:E48)</f>
        <v>51890000</v>
      </c>
      <c r="F49" s="1756">
        <f t="shared" si="2"/>
        <v>18745000</v>
      </c>
      <c r="G49" s="1756">
        <f t="shared" si="2"/>
        <v>0</v>
      </c>
      <c r="H49" s="1756">
        <f t="shared" si="2"/>
        <v>6955000</v>
      </c>
      <c r="I49" s="1756">
        <f t="shared" si="2"/>
        <v>63680000</v>
      </c>
      <c r="J49" s="1756">
        <f t="shared" si="2"/>
        <v>57846181</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91" t="s">
        <v>583</v>
      </c>
      <c r="C52" s="2192"/>
      <c r="D52" s="2192"/>
      <c r="E52" s="749" t="s">
        <v>844</v>
      </c>
      <c r="F52" s="2193"/>
      <c r="G52" s="2194"/>
      <c r="H52" s="736"/>
      <c r="I52" s="736"/>
      <c r="J52" s="746"/>
    </row>
    <row r="53" spans="1:11" ht="11.25" customHeight="1" x14ac:dyDescent="0.2">
      <c r="A53" s="750" t="s">
        <v>912</v>
      </c>
      <c r="B53" s="751" t="s">
        <v>950</v>
      </c>
      <c r="C53" s="746"/>
      <c r="D53" s="737"/>
      <c r="E53" s="749" t="s">
        <v>496</v>
      </c>
      <c r="F53" s="2195"/>
      <c r="G53" s="2196"/>
      <c r="H53" s="736"/>
      <c r="I53" s="736"/>
      <c r="J53" s="746"/>
    </row>
    <row r="54" spans="1:11" ht="11.25" customHeight="1" x14ac:dyDescent="0.2">
      <c r="A54" s="752" t="s">
        <v>913</v>
      </c>
      <c r="B54" s="747" t="s">
        <v>951</v>
      </c>
      <c r="C54" s="746"/>
      <c r="D54" s="737"/>
      <c r="E54" s="749" t="s">
        <v>497</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H31:H48 E31:E48 C41: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530"/>
      <c r="I1" s="760"/>
      <c r="J1" s="433"/>
    </row>
    <row r="2" spans="1:11" ht="26.25" x14ac:dyDescent="0.2">
      <c r="A2" s="2239" t="s">
        <v>1676</v>
      </c>
      <c r="B2" s="2240"/>
      <c r="C2" s="2240"/>
      <c r="D2" s="2240"/>
      <c r="E2" s="2241"/>
      <c r="F2" s="761" t="s">
        <v>903</v>
      </c>
      <c r="G2" s="762" t="s">
        <v>1673</v>
      </c>
      <c r="H2" s="762" t="s">
        <v>409</v>
      </c>
      <c r="I2" s="762" t="s">
        <v>1157</v>
      </c>
      <c r="J2" s="762" t="s">
        <v>1811</v>
      </c>
      <c r="K2" s="762" t="s">
        <v>138</v>
      </c>
    </row>
    <row r="3" spans="1:11" x14ac:dyDescent="0.2">
      <c r="A3" s="2242" t="s">
        <v>1961</v>
      </c>
      <c r="B3" s="2243"/>
      <c r="C3" s="2243"/>
      <c r="D3" s="2243"/>
      <c r="E3" s="2244"/>
      <c r="F3" s="763"/>
      <c r="G3" s="764"/>
      <c r="H3" s="764"/>
      <c r="I3" s="764"/>
      <c r="J3" s="765"/>
      <c r="K3" s="765"/>
    </row>
    <row r="4" spans="1:11" x14ac:dyDescent="0.2">
      <c r="A4" s="2245" t="s">
        <v>368</v>
      </c>
      <c r="B4" s="2246"/>
      <c r="C4" s="2246"/>
      <c r="D4" s="2246"/>
      <c r="E4" s="2192"/>
      <c r="F4" s="766"/>
      <c r="G4" s="767"/>
      <c r="H4" s="768"/>
      <c r="I4" s="767"/>
      <c r="J4" s="769"/>
      <c r="K4" s="769"/>
    </row>
    <row r="5" spans="1:11" x14ac:dyDescent="0.2">
      <c r="A5" s="2223" t="s">
        <v>1068</v>
      </c>
      <c r="B5" s="2224"/>
      <c r="C5" s="2224"/>
      <c r="D5" s="2224"/>
      <c r="E5" s="2225"/>
      <c r="F5" s="770" t="s">
        <v>847</v>
      </c>
      <c r="G5" s="771"/>
      <c r="H5" s="764">
        <v>268740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69300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97387</v>
      </c>
    </row>
    <row r="10" spans="1:11" x14ac:dyDescent="0.2">
      <c r="A10" s="2223" t="s">
        <v>1812</v>
      </c>
      <c r="B10" s="2224"/>
      <c r="C10" s="2224"/>
      <c r="D10" s="2224"/>
      <c r="E10" s="2226"/>
      <c r="F10" s="783" t="s">
        <v>861</v>
      </c>
      <c r="G10" s="782"/>
      <c r="H10" s="784"/>
      <c r="I10" s="764"/>
      <c r="J10" s="765"/>
      <c r="K10" s="765"/>
    </row>
    <row r="11" spans="1:11" x14ac:dyDescent="0.2">
      <c r="A11" s="2223" t="s">
        <v>160</v>
      </c>
      <c r="B11" s="2224"/>
      <c r="C11" s="2224"/>
      <c r="D11" s="2224"/>
      <c r="E11" s="2225"/>
      <c r="F11" s="770" t="s">
        <v>851</v>
      </c>
      <c r="G11" s="771"/>
      <c r="H11" s="764"/>
      <c r="I11" s="764"/>
      <c r="J11" s="765"/>
      <c r="K11" s="773"/>
    </row>
    <row r="12" spans="1:11" ht="13.5" thickBot="1" x14ac:dyDescent="0.25">
      <c r="A12" s="2250" t="s">
        <v>904</v>
      </c>
      <c r="B12" s="2251"/>
      <c r="C12" s="2251"/>
      <c r="D12" s="2251"/>
      <c r="E12" s="2252"/>
      <c r="F12" s="1757"/>
      <c r="G12" s="1758">
        <f>SUM(G5:G11)</f>
        <v>0</v>
      </c>
      <c r="H12" s="1758">
        <f>SUM(H5:H11)</f>
        <v>268740</v>
      </c>
      <c r="I12" s="1758">
        <f>SUM(I5:I11)</f>
        <v>0</v>
      </c>
      <c r="J12" s="1758">
        <f>SUM(J5:J11)</f>
        <v>0</v>
      </c>
      <c r="K12" s="1758">
        <f>SUM(K5:K11)</f>
        <v>166687</v>
      </c>
    </row>
    <row r="13" spans="1:11" ht="13.5" thickTop="1" x14ac:dyDescent="0.2">
      <c r="A13" s="2247" t="s">
        <v>369</v>
      </c>
      <c r="B13" s="2248"/>
      <c r="C13" s="2248"/>
      <c r="D13" s="2248"/>
      <c r="E13" s="2249"/>
      <c r="F13" s="785"/>
      <c r="G13" s="786"/>
      <c r="H13" s="787"/>
      <c r="I13" s="788"/>
      <c r="J13" s="788"/>
      <c r="K13" s="788"/>
    </row>
    <row r="14" spans="1:11" x14ac:dyDescent="0.2">
      <c r="A14" s="2230" t="s">
        <v>455</v>
      </c>
      <c r="B14" s="2230"/>
      <c r="C14" s="2230"/>
      <c r="D14" s="2230"/>
      <c r="E14" s="2231"/>
      <c r="F14" s="789" t="s">
        <v>853</v>
      </c>
      <c r="G14" s="782"/>
      <c r="H14" s="764">
        <v>268740</v>
      </c>
      <c r="I14" s="771"/>
      <c r="J14" s="773"/>
      <c r="K14" s="765">
        <v>166687</v>
      </c>
    </row>
    <row r="15" spans="1:11" x14ac:dyDescent="0.2">
      <c r="A15" s="2224" t="s">
        <v>4</v>
      </c>
      <c r="B15" s="2224"/>
      <c r="C15" s="2224"/>
      <c r="D15" s="2224"/>
      <c r="E15" s="2225"/>
      <c r="F15" s="789" t="s">
        <v>854</v>
      </c>
      <c r="G15" s="771"/>
      <c r="H15" s="764"/>
      <c r="I15" s="764"/>
      <c r="J15" s="765"/>
      <c r="K15" s="765"/>
    </row>
    <row r="16" spans="1:11" x14ac:dyDescent="0.2">
      <c r="A16" s="2224" t="s">
        <v>297</v>
      </c>
      <c r="B16" s="2224"/>
      <c r="C16" s="2224"/>
      <c r="D16" s="2224"/>
      <c r="E16" s="2225"/>
      <c r="F16" s="789" t="s">
        <v>922</v>
      </c>
      <c r="G16" s="772"/>
      <c r="H16" s="767"/>
      <c r="I16" s="767"/>
      <c r="J16" s="769"/>
      <c r="K16" s="769"/>
    </row>
    <row r="17" spans="1:11" x14ac:dyDescent="0.2">
      <c r="A17" s="2255" t="s">
        <v>934</v>
      </c>
      <c r="B17" s="2255"/>
      <c r="C17" s="2255"/>
      <c r="D17" s="2255"/>
      <c r="E17" s="2256"/>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32" t="s">
        <v>1808</v>
      </c>
      <c r="B19" s="2232"/>
      <c r="C19" s="2232"/>
      <c r="D19" s="2232"/>
      <c r="E19" s="2233"/>
      <c r="F19" s="789" t="s">
        <v>932</v>
      </c>
      <c r="G19" s="782"/>
      <c r="H19" s="782"/>
      <c r="I19" s="782"/>
      <c r="J19" s="765"/>
      <c r="K19" s="795"/>
    </row>
    <row r="20" spans="1:11" x14ac:dyDescent="0.2">
      <c r="A20" s="2234" t="s">
        <v>1813</v>
      </c>
      <c r="B20" s="2235"/>
      <c r="C20" s="2235"/>
      <c r="D20" s="2235"/>
      <c r="E20" s="2236"/>
      <c r="F20" s="789" t="s">
        <v>933</v>
      </c>
      <c r="G20" s="782"/>
      <c r="H20" s="782"/>
      <c r="I20" s="782"/>
      <c r="J20" s="765"/>
      <c r="K20" s="795"/>
    </row>
    <row r="21" spans="1:11" ht="13.5" thickBot="1" x14ac:dyDescent="0.25">
      <c r="A21" s="2253" t="s">
        <v>637</v>
      </c>
      <c r="B21" s="2253"/>
      <c r="C21" s="2253"/>
      <c r="D21" s="2253"/>
      <c r="E21" s="2253"/>
      <c r="F21" s="1759"/>
      <c r="G21" s="792"/>
      <c r="H21" s="796"/>
      <c r="I21" s="796"/>
      <c r="J21" s="1760">
        <f>SUM(J18:J20)</f>
        <v>0</v>
      </c>
      <c r="K21" s="793"/>
    </row>
    <row r="22" spans="1:11" ht="13.5" thickTop="1" x14ac:dyDescent="0.2">
      <c r="A22" s="2224" t="s">
        <v>1814</v>
      </c>
      <c r="B22" s="2224"/>
      <c r="C22" s="2224"/>
      <c r="D22" s="2224"/>
      <c r="E22" s="2225"/>
      <c r="F22" s="789" t="s">
        <v>861</v>
      </c>
      <c r="G22" s="782"/>
      <c r="H22" s="764"/>
      <c r="I22" s="764"/>
      <c r="J22" s="797"/>
      <c r="K22" s="765"/>
    </row>
    <row r="23" spans="1:11" ht="13.5" thickBot="1" x14ac:dyDescent="0.25">
      <c r="A23" s="2254" t="s">
        <v>905</v>
      </c>
      <c r="B23" s="2253"/>
      <c r="C23" s="2253"/>
      <c r="D23" s="2253"/>
      <c r="E23" s="2253"/>
      <c r="F23" s="1761"/>
      <c r="G23" s="1758">
        <f>SUM(G14:G16,G21,G22)</f>
        <v>0</v>
      </c>
      <c r="H23" s="1758">
        <f>SUM(H14:H16,H21,H22)</f>
        <v>268740</v>
      </c>
      <c r="I23" s="1758">
        <f>SUM(I14:I16,I21,I22)</f>
        <v>0</v>
      </c>
      <c r="J23" s="1758">
        <f>SUM(J14:J16,J21,J22)</f>
        <v>0</v>
      </c>
      <c r="K23" s="1758">
        <f>SUM(K14:K16,K21,K22)</f>
        <v>166687</v>
      </c>
    </row>
    <row r="24" spans="1:11" ht="14.25" thickTop="1" thickBot="1" x14ac:dyDescent="0.25">
      <c r="A24" s="2254" t="s">
        <v>1962</v>
      </c>
      <c r="B24" s="2253"/>
      <c r="C24" s="2253"/>
      <c r="D24" s="2253"/>
      <c r="E24" s="2253"/>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7"/>
      <c r="I31" s="2228"/>
      <c r="J31" s="2228"/>
      <c r="K31" s="2228"/>
    </row>
    <row r="32" spans="1:11" x14ac:dyDescent="0.2">
      <c r="A32" s="809"/>
      <c r="B32" s="237"/>
      <c r="C32" s="237"/>
      <c r="D32" s="237"/>
      <c r="E32" s="805"/>
      <c r="F32" s="811" t="s">
        <v>539</v>
      </c>
      <c r="G32" s="764"/>
      <c r="H32" s="2229"/>
      <c r="I32" s="2228"/>
      <c r="J32" s="2228"/>
      <c r="K32" s="2228"/>
    </row>
    <row r="33" spans="1:11" ht="1.5" customHeight="1" x14ac:dyDescent="0.2">
      <c r="A33" s="812" t="s">
        <v>1168</v>
      </c>
      <c r="B33" s="364"/>
      <c r="C33" s="364"/>
      <c r="D33" s="364"/>
      <c r="E33" s="364"/>
      <c r="F33" s="364"/>
      <c r="G33" s="813"/>
      <c r="H33" s="2229"/>
      <c r="I33" s="2228"/>
      <c r="J33" s="2228"/>
      <c r="K33" s="2228"/>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4" t="s">
        <v>540</v>
      </c>
      <c r="B41" s="2237"/>
      <c r="C41" s="2237"/>
      <c r="D41" s="2237"/>
      <c r="E41" s="2237"/>
      <c r="F41" s="223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Normal="100" workbookViewId="0">
      <selection activeCell="D13" sqref="D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1907</v>
      </c>
      <c r="B1" s="2260"/>
      <c r="C1" s="2261"/>
      <c r="D1" s="826"/>
      <c r="E1" s="827"/>
      <c r="F1" s="827"/>
      <c r="G1" s="828"/>
      <c r="H1" s="829"/>
      <c r="I1" s="830"/>
      <c r="J1" s="2257"/>
      <c r="K1" s="2258"/>
      <c r="L1" s="2258"/>
    </row>
    <row r="2" spans="1:14" ht="69.75" customHeight="1" x14ac:dyDescent="0.2">
      <c r="A2" s="831" t="s">
        <v>1677</v>
      </c>
      <c r="B2" s="832" t="s">
        <v>377</v>
      </c>
      <c r="C2" s="833" t="s">
        <v>1963</v>
      </c>
      <c r="D2" s="833" t="s">
        <v>1964</v>
      </c>
      <c r="E2" s="833" t="s">
        <v>1965</v>
      </c>
      <c r="F2" s="833" t="s">
        <v>1966</v>
      </c>
      <c r="G2" s="833" t="s">
        <v>604</v>
      </c>
      <c r="H2" s="833" t="s">
        <v>1967</v>
      </c>
      <c r="I2" s="833" t="s">
        <v>1968</v>
      </c>
      <c r="J2" s="833" t="s">
        <v>1969</v>
      </c>
      <c r="K2" s="833" t="s">
        <v>1970</v>
      </c>
      <c r="L2" s="833" t="s">
        <v>1971</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5855792</v>
      </c>
      <c r="D5" s="841"/>
      <c r="E5" s="841"/>
      <c r="F5" s="1760">
        <f>(C5+D5)-E5</f>
        <v>5855792</v>
      </c>
      <c r="G5" s="837"/>
      <c r="H5" s="842"/>
      <c r="I5" s="842"/>
      <c r="J5" s="842"/>
      <c r="K5" s="793"/>
      <c r="L5" s="1769">
        <f>F5-K5</f>
        <v>5855792</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92486597</v>
      </c>
      <c r="D8" s="844"/>
      <c r="E8" s="844"/>
      <c r="F8" s="1760">
        <f>(C8+D8)-E8</f>
        <v>92486597</v>
      </c>
      <c r="G8" s="843">
        <v>50</v>
      </c>
      <c r="H8" s="765"/>
      <c r="I8" s="765"/>
      <c r="J8" s="765"/>
      <c r="K8" s="1769">
        <f>(H8+I8)-J8</f>
        <v>0</v>
      </c>
      <c r="L8" s="1769">
        <f>F8-K8</f>
        <v>92486597</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3879114</v>
      </c>
      <c r="D10" s="846">
        <v>38250</v>
      </c>
      <c r="E10" s="846"/>
      <c r="F10" s="1764">
        <f>(C10+D10)-E10</f>
        <v>3917364</v>
      </c>
      <c r="G10" s="843">
        <v>20</v>
      </c>
      <c r="H10" s="847"/>
      <c r="I10" s="847"/>
      <c r="J10" s="847"/>
      <c r="K10" s="1769">
        <f>(H10+I10)-J10</f>
        <v>0</v>
      </c>
      <c r="L10" s="1769">
        <f>F10-K10</f>
        <v>3917364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3035720</v>
      </c>
      <c r="D12" s="844"/>
      <c r="E12" s="844"/>
      <c r="F12" s="1760">
        <f>(C12+D12)-E12</f>
        <v>3035720</v>
      </c>
      <c r="G12" s="843">
        <v>10</v>
      </c>
      <c r="H12" s="765"/>
      <c r="I12" s="765"/>
      <c r="J12" s="765"/>
      <c r="K12" s="1769">
        <f>(H12+I12)-J12</f>
        <v>0</v>
      </c>
      <c r="L12" s="1769">
        <f>F12-K12</f>
        <v>3035720</v>
      </c>
    </row>
    <row r="13" spans="1:14" ht="14.25" thickTop="1" thickBot="1" x14ac:dyDescent="0.25">
      <c r="A13" s="848" t="s">
        <v>1121</v>
      </c>
      <c r="B13" s="840">
        <v>252</v>
      </c>
      <c r="C13" s="844">
        <v>10280004</v>
      </c>
      <c r="D13" s="844">
        <v>130553</v>
      </c>
      <c r="E13" s="844"/>
      <c r="F13" s="1760">
        <f>(C13+D13)-E13</f>
        <v>10410557</v>
      </c>
      <c r="G13" s="843">
        <v>5</v>
      </c>
      <c r="H13" s="765"/>
      <c r="I13" s="765"/>
      <c r="J13" s="765"/>
      <c r="K13" s="1769">
        <f>(H13+I13)-J13</f>
        <v>0</v>
      </c>
      <c r="L13" s="1769">
        <f>F13-K13</f>
        <v>10410557</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v>1698788</v>
      </c>
      <c r="E15" s="844"/>
      <c r="F15" s="1760">
        <f>(C15+D15)-E15</f>
        <v>1698788</v>
      </c>
      <c r="G15" s="849" t="s">
        <v>861</v>
      </c>
      <c r="H15" s="781"/>
      <c r="I15" s="781"/>
      <c r="J15" s="781"/>
      <c r="K15" s="781"/>
      <c r="L15" s="1769">
        <f>F15-K15</f>
        <v>1698788</v>
      </c>
    </row>
    <row r="16" spans="1:14" ht="15" customHeight="1" thickTop="1" thickBot="1" x14ac:dyDescent="0.25">
      <c r="A16" s="1765" t="s">
        <v>642</v>
      </c>
      <c r="B16" s="1766">
        <v>200</v>
      </c>
      <c r="C16" s="1760">
        <f>SUM(C3,C5:C6,C8:C10,C12:C15)</f>
        <v>115537227</v>
      </c>
      <c r="D16" s="1760">
        <f>SUM(D3,D5:D6,D8:D10,D12:D15)</f>
        <v>1867591</v>
      </c>
      <c r="E16" s="1760">
        <f>SUM(E3,E5:E6,E8:E10,E12:E15)</f>
        <v>0</v>
      </c>
      <c r="F16" s="1760">
        <f>SUM(F3,F5:F6,F8:F10,F12:F15)</f>
        <v>117404818</v>
      </c>
      <c r="G16" s="843"/>
      <c r="H16" s="1760">
        <f>SUM(H3,H6,H8:H10,H12:H14,)</f>
        <v>0</v>
      </c>
      <c r="I16" s="1760">
        <f>SUM(I3,I6,I8:I10,I12:I14,)</f>
        <v>0</v>
      </c>
      <c r="J16" s="1760">
        <f>SUM(J3,J6,J8:J10,J12:J14,)</f>
        <v>0</v>
      </c>
      <c r="K16" s="1760">
        <f>(H16+I16)-J16</f>
        <v>0</v>
      </c>
      <c r="L16" s="1760">
        <f>F16-K16</f>
        <v>117404818</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77348</v>
      </c>
      <c r="G17" s="837">
        <v>10</v>
      </c>
      <c r="H17" s="769"/>
      <c r="I17" s="1769">
        <f>F17/G17</f>
        <v>7734.8</v>
      </c>
      <c r="J17" s="769"/>
      <c r="K17" s="795"/>
      <c r="L17" s="795"/>
    </row>
    <row r="18" spans="1:12" ht="14.25" thickTop="1" thickBot="1" x14ac:dyDescent="0.25">
      <c r="A18" s="1767" t="s">
        <v>684</v>
      </c>
      <c r="B18" s="1768"/>
      <c r="C18" s="771"/>
      <c r="D18" s="771"/>
      <c r="E18" s="771"/>
      <c r="F18" s="850"/>
      <c r="G18" s="851"/>
      <c r="H18" s="773"/>
      <c r="I18" s="1760">
        <f>SUM(I16,I17)</f>
        <v>7734.8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6" activePane="bottomLeft" state="frozen"/>
      <selection activeCell="A47" sqref="A47"/>
      <selection pane="bottomLeft" activeCell="I76" sqref="I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1972</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27699133</v>
      </c>
      <c r="G8" s="865"/>
    </row>
    <row r="9" spans="1:7" x14ac:dyDescent="0.2">
      <c r="A9" s="869" t="s">
        <v>459</v>
      </c>
      <c r="B9" s="870" t="s">
        <v>1875</v>
      </c>
      <c r="C9" s="871"/>
      <c r="D9" s="869" t="s">
        <v>500</v>
      </c>
      <c r="E9" s="868"/>
      <c r="F9" s="1909">
        <f>'Expenditures 15-22'!K151</f>
        <v>3898297</v>
      </c>
      <c r="G9" s="872"/>
    </row>
    <row r="10" spans="1:7" x14ac:dyDescent="0.2">
      <c r="A10" s="869" t="s">
        <v>498</v>
      </c>
      <c r="B10" s="870" t="s">
        <v>1876</v>
      </c>
      <c r="C10" s="871"/>
      <c r="D10" s="869" t="s">
        <v>500</v>
      </c>
      <c r="E10" s="868"/>
      <c r="F10" s="1909">
        <f>'Expenditures 15-22'!K174</f>
        <v>9157213</v>
      </c>
      <c r="G10" s="872"/>
    </row>
    <row r="11" spans="1:7" x14ac:dyDescent="0.2">
      <c r="A11" s="869" t="s">
        <v>460</v>
      </c>
      <c r="B11" s="870" t="s">
        <v>1877</v>
      </c>
      <c r="C11" s="871"/>
      <c r="D11" s="869" t="s">
        <v>500</v>
      </c>
      <c r="E11" s="868"/>
      <c r="F11" s="1909">
        <f>'Expenditures 15-22'!K210</f>
        <v>2445719</v>
      </c>
      <c r="G11" s="872"/>
    </row>
    <row r="12" spans="1:7" x14ac:dyDescent="0.2">
      <c r="A12" s="869" t="s">
        <v>461</v>
      </c>
      <c r="B12" s="870" t="s">
        <v>1878</v>
      </c>
      <c r="C12" s="871"/>
      <c r="D12" s="869" t="s">
        <v>500</v>
      </c>
      <c r="E12" s="868"/>
      <c r="F12" s="1909">
        <f>'Expenditures 15-22'!K295</f>
        <v>879723</v>
      </c>
      <c r="G12" s="872"/>
    </row>
    <row r="13" spans="1:7" x14ac:dyDescent="0.2">
      <c r="A13" s="869" t="s">
        <v>106</v>
      </c>
      <c r="B13" s="870" t="s">
        <v>1879</v>
      </c>
      <c r="C13" s="871"/>
      <c r="D13" s="869" t="s">
        <v>500</v>
      </c>
      <c r="E13" s="868"/>
      <c r="F13" s="1909">
        <f>'Expenditures 15-22'!K342</f>
        <v>1087050</v>
      </c>
      <c r="G13" s="873"/>
    </row>
    <row r="14" spans="1:7" ht="12" customHeight="1" thickBot="1" x14ac:dyDescent="0.25">
      <c r="A14" s="1770"/>
      <c r="B14" s="1771"/>
      <c r="C14" s="1772"/>
      <c r="D14" s="1773" t="s">
        <v>500</v>
      </c>
      <c r="E14" s="1774" t="s">
        <v>957</v>
      </c>
      <c r="F14" s="1775">
        <f>SUM(F8:F13)</f>
        <v>45167135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1996</v>
      </c>
      <c r="C30" s="880">
        <f>'Revenues 9-14'!B150</f>
        <v>3499</v>
      </c>
      <c r="D30" s="881" t="str">
        <f>'Revenues 9-14'!A150</f>
        <v>Adult Ed - Other (Describe &amp; Itemize)</v>
      </c>
      <c r="E30" s="868"/>
      <c r="F30" s="1914">
        <f>('Revenues 9-14'!D150+'Revenues 9-14'!F150)</f>
        <v>0</v>
      </c>
      <c r="G30" s="865"/>
    </row>
    <row r="31" spans="1:7" x14ac:dyDescent="0.2">
      <c r="A31" s="869" t="s">
        <v>1096</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1999</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1570605</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680</v>
      </c>
      <c r="G52" s="865"/>
    </row>
    <row r="53" spans="1:7" x14ac:dyDescent="0.2">
      <c r="A53" s="869" t="s">
        <v>458</v>
      </c>
      <c r="B53" s="869" t="s">
        <v>1474</v>
      </c>
      <c r="C53" s="889">
        <f>'Expenditures 15-22'!B102</f>
        <v>4000</v>
      </c>
      <c r="D53" s="888" t="str">
        <f>'Expenditures 15-22'!A102</f>
        <v>Total Payments to Other Govt Units</v>
      </c>
      <c r="E53" s="868"/>
      <c r="F53" s="1913">
        <f>'Expenditures 15-22'!K102</f>
        <v>2181370</v>
      </c>
      <c r="G53" s="865"/>
    </row>
    <row r="54" spans="1:7" x14ac:dyDescent="0.2">
      <c r="A54" s="869" t="s">
        <v>458</v>
      </c>
      <c r="B54" s="869" t="s">
        <v>1475</v>
      </c>
      <c r="C54" s="889" t="s">
        <v>981</v>
      </c>
      <c r="D54" s="885" t="s">
        <v>1094</v>
      </c>
      <c r="E54" s="868"/>
      <c r="F54" s="1913">
        <f>'Expenditures 15-22'!G114</f>
        <v>120347</v>
      </c>
      <c r="G54" s="865"/>
    </row>
    <row r="55" spans="1:7" x14ac:dyDescent="0.2">
      <c r="A55" s="869" t="s">
        <v>458</v>
      </c>
      <c r="B55" s="869" t="s">
        <v>1476</v>
      </c>
      <c r="C55" s="889" t="s">
        <v>981</v>
      </c>
      <c r="D55" s="885" t="s">
        <v>290</v>
      </c>
      <c r="E55" s="868"/>
      <c r="F55" s="1913">
        <f>'Expenditures 15-22'!I114</f>
        <v>77348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913">
        <f>'Expenditures 15-22'!K139</f>
        <v>321511</v>
      </c>
      <c r="G57" s="865"/>
    </row>
    <row r="58" spans="1:7" x14ac:dyDescent="0.2">
      <c r="A58" s="869" t="s">
        <v>459</v>
      </c>
      <c r="B58" s="869" t="s">
        <v>1881</v>
      </c>
      <c r="C58" s="886" t="s">
        <v>981</v>
      </c>
      <c r="D58" s="885" t="s">
        <v>1094</v>
      </c>
      <c r="E58" s="868"/>
      <c r="F58" s="1915">
        <f>'Expenditures 15-22'!G151</f>
        <v>296843</v>
      </c>
      <c r="G58" s="865"/>
    </row>
    <row r="59" spans="1:7" x14ac:dyDescent="0.2">
      <c r="A59" s="893" t="s">
        <v>459</v>
      </c>
      <c r="B59" s="856" t="s">
        <v>1882</v>
      </c>
      <c r="C59" s="894" t="s">
        <v>981</v>
      </c>
      <c r="D59" s="856" t="s">
        <v>290</v>
      </c>
      <c r="F59" s="1916">
        <f>'Expenditures 15-22'!I151</f>
        <v>0</v>
      </c>
      <c r="G59" s="865"/>
    </row>
    <row r="60" spans="1:7" x14ac:dyDescent="0.2">
      <c r="A60" s="893" t="s">
        <v>498</v>
      </c>
      <c r="B60" s="856" t="s">
        <v>1883</v>
      </c>
      <c r="C60" s="894">
        <v>4000</v>
      </c>
      <c r="D60" s="856" t="s">
        <v>311</v>
      </c>
      <c r="F60" s="1914">
        <f>'Expenditures 15-22'!K160</f>
        <v>0</v>
      </c>
      <c r="G60" s="865"/>
    </row>
    <row r="61" spans="1:7" x14ac:dyDescent="0.2">
      <c r="A61" s="895" t="s">
        <v>498</v>
      </c>
      <c r="B61" s="895" t="s">
        <v>1884</v>
      </c>
      <c r="C61" s="896" t="str">
        <f>'Expenditures 15-22'!B170</f>
        <v>5300</v>
      </c>
      <c r="D61" s="897" t="s">
        <v>310</v>
      </c>
      <c r="E61" s="879"/>
      <c r="F61" s="1913">
        <f>'Expenditures 15-22'!K170</f>
        <v>6955000</v>
      </c>
      <c r="G61" s="865"/>
    </row>
    <row r="62" spans="1:7" x14ac:dyDescent="0.2">
      <c r="A62" s="869" t="s">
        <v>460</v>
      </c>
      <c r="B62" s="869" t="s">
        <v>1885</v>
      </c>
      <c r="C62" s="886">
        <f>'Expenditures 15-22'!B185</f>
        <v>3000</v>
      </c>
      <c r="D62" s="876" t="s">
        <v>448</v>
      </c>
      <c r="E62" s="868"/>
      <c r="F62" s="1913">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1887</v>
      </c>
      <c r="C64" s="896" t="str">
        <f>'Expenditures 15-22'!B206</f>
        <v>5300</v>
      </c>
      <c r="D64" s="892" t="s">
        <v>310</v>
      </c>
      <c r="E64" s="868"/>
      <c r="F64" s="1913">
        <f>'Expenditures 15-22'!K206</f>
        <v>0</v>
      </c>
      <c r="G64" s="865"/>
    </row>
    <row r="65" spans="1:8" x14ac:dyDescent="0.2">
      <c r="A65" s="869" t="s">
        <v>460</v>
      </c>
      <c r="B65" s="869" t="s">
        <v>1888</v>
      </c>
      <c r="C65" s="886" t="s">
        <v>981</v>
      </c>
      <c r="D65" s="885" t="s">
        <v>1094</v>
      </c>
      <c r="E65" s="868"/>
      <c r="F65" s="1913">
        <f>'Expenditures 15-22'!G210</f>
        <v>598</v>
      </c>
      <c r="G65" s="865"/>
    </row>
    <row r="66" spans="1:8" x14ac:dyDescent="0.2">
      <c r="A66" s="869" t="s">
        <v>460</v>
      </c>
      <c r="B66" s="869" t="s">
        <v>1889</v>
      </c>
      <c r="C66" s="886" t="s">
        <v>981</v>
      </c>
      <c r="D66" s="885" t="s">
        <v>290</v>
      </c>
      <c r="E66" s="868"/>
      <c r="F66" s="1913">
        <f>'Expenditures 15-22'!I210</f>
        <v>0</v>
      </c>
      <c r="G66" s="865"/>
    </row>
    <row r="67" spans="1:8" x14ac:dyDescent="0.2">
      <c r="A67" s="869" t="s">
        <v>461</v>
      </c>
      <c r="B67" s="869" t="s">
        <v>1890</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1892</v>
      </c>
      <c r="C70" s="886">
        <f>'Expenditures 15-22'!B221</f>
        <v>1300</v>
      </c>
      <c r="D70" s="887" t="str">
        <f>'Expenditures 15-22'!A221</f>
        <v>Adult/Continuing Education Programs</v>
      </c>
      <c r="E70" s="868"/>
      <c r="F70" s="1913">
        <f>'Expenditures 15-22'!K221</f>
        <v>0</v>
      </c>
      <c r="G70" s="865"/>
    </row>
    <row r="71" spans="1:8" x14ac:dyDescent="0.2">
      <c r="A71" s="869" t="s">
        <v>461</v>
      </c>
      <c r="B71" s="869" t="s">
        <v>1893</v>
      </c>
      <c r="C71" s="886">
        <f>'Expenditures 15-22'!B224</f>
        <v>1600</v>
      </c>
      <c r="D71" s="887" t="str">
        <f>'Expenditures 15-22'!A224</f>
        <v>Summer School Programs</v>
      </c>
      <c r="E71" s="868"/>
      <c r="F71" s="1913">
        <f>'Expenditures 15-22'!K224</f>
        <v>0</v>
      </c>
      <c r="G71" s="865"/>
    </row>
    <row r="72" spans="1:8" x14ac:dyDescent="0.2">
      <c r="A72" s="869" t="s">
        <v>461</v>
      </c>
      <c r="B72" s="869" t="s">
        <v>1894</v>
      </c>
      <c r="C72" s="886">
        <f>'Expenditures 15-22'!B280</f>
        <v>3000</v>
      </c>
      <c r="D72" s="876" t="s">
        <v>448</v>
      </c>
      <c r="E72" s="868"/>
      <c r="F72" s="1913">
        <f>'Expenditures 15-22'!K280</f>
        <v>0</v>
      </c>
      <c r="G72" s="865"/>
    </row>
    <row r="73" spans="1:8" x14ac:dyDescent="0.2">
      <c r="A73" s="869" t="s">
        <v>461</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1896</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957</v>
      </c>
      <c r="F76" s="1778">
        <f>SUM(F18:F74)</f>
        <v>11524302</v>
      </c>
      <c r="G76" s="865"/>
    </row>
    <row r="77" spans="1:8" s="893" customFormat="1" ht="12" customHeight="1" thickTop="1" thickBot="1" x14ac:dyDescent="0.25">
      <c r="A77" s="1779"/>
      <c r="B77" s="1776"/>
      <c r="C77" s="1772"/>
      <c r="D77" s="1777" t="s">
        <v>1898</v>
      </c>
      <c r="E77" s="1774"/>
      <c r="F77" s="1780">
        <f>(F14-F76)</f>
        <v>33642833</v>
      </c>
      <c r="G77" s="869"/>
    </row>
    <row r="78" spans="1:8" s="893" customFormat="1" ht="12" customHeight="1" thickTop="1" x14ac:dyDescent="0.2">
      <c r="A78" s="1781"/>
      <c r="B78" s="1776"/>
      <c r="C78" s="1772"/>
      <c r="D78" s="1777" t="s">
        <v>2059</v>
      </c>
      <c r="E78" s="1774"/>
      <c r="F78" s="898">
        <v>2641</v>
      </c>
      <c r="G78" s="899"/>
      <c r="H78" s="869"/>
    </row>
    <row r="79" spans="1:8" s="893" customFormat="1" ht="12" customHeight="1" thickBot="1" x14ac:dyDescent="0.25">
      <c r="A79" s="1782"/>
      <c r="B79" s="1776"/>
      <c r="C79" s="1772"/>
      <c r="D79" s="1777" t="s">
        <v>1899</v>
      </c>
      <c r="E79" s="1774" t="s">
        <v>957</v>
      </c>
      <c r="F79" s="1783">
        <f>IF(F78&gt;0,F77/F78," Complete Line 78")</f>
        <v>12738.672093903824</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1018474</v>
      </c>
      <c r="G94" s="912"/>
    </row>
    <row r="95" spans="1:7" x14ac:dyDescent="0.2">
      <c r="A95" s="908" t="s">
        <v>140</v>
      </c>
      <c r="B95" s="908" t="s">
        <v>175</v>
      </c>
      <c r="C95" s="910">
        <v>1700</v>
      </c>
      <c r="D95" s="918" t="str">
        <f>'Revenues 9-14'!A82</f>
        <v>Total District/School Activity Income</v>
      </c>
      <c r="E95" s="906"/>
      <c r="F95" s="1789">
        <f>SUM('Revenues 9-14'!C82,'Revenues 9-14'!D82)</f>
        <v>354451</v>
      </c>
      <c r="G95" s="912"/>
    </row>
    <row r="96" spans="1:7" x14ac:dyDescent="0.2">
      <c r="A96" s="908" t="s">
        <v>458</v>
      </c>
      <c r="B96" s="908" t="s">
        <v>176</v>
      </c>
      <c r="C96" s="910">
        <f>'Revenues 9-14'!B84</f>
        <v>1811</v>
      </c>
      <c r="D96" s="911" t="str">
        <f>'Revenues 9-14'!A84</f>
        <v>Rentals - Regular Textbooks</v>
      </c>
      <c r="E96" s="906"/>
      <c r="F96" s="1789">
        <f>'Revenues 9-14'!C84</f>
        <v>555495</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45688</v>
      </c>
      <c r="G100" s="912"/>
    </row>
    <row r="101" spans="1:7" x14ac:dyDescent="0.2">
      <c r="A101" s="908" t="s">
        <v>140</v>
      </c>
      <c r="B101" s="908" t="s">
        <v>181</v>
      </c>
      <c r="C101" s="910">
        <f>'Revenues 9-14'!B95</f>
        <v>1910</v>
      </c>
      <c r="D101" s="911" t="str">
        <f>'Revenues 9-14'!A95</f>
        <v>Rentals</v>
      </c>
      <c r="E101" s="906"/>
      <c r="F101" s="1789">
        <f>SUM('Revenues 9-14'!C95:D95)</f>
        <v>16441</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2000</v>
      </c>
      <c r="C105" s="913">
        <v>3100</v>
      </c>
      <c r="D105" s="919" t="str">
        <f>'Revenues 9-14'!A132</f>
        <v>Total Special Education</v>
      </c>
      <c r="E105" s="906"/>
      <c r="F105" s="1789">
        <f>SUM('Revenues 9-14'!C132:D132,'Revenues 9-14'!F132)</f>
        <v>412877</v>
      </c>
      <c r="G105" s="912"/>
    </row>
    <row r="106" spans="1:7" x14ac:dyDescent="0.2">
      <c r="A106" s="908" t="s">
        <v>672</v>
      </c>
      <c r="B106" s="908" t="s">
        <v>2001</v>
      </c>
      <c r="C106" s="920">
        <v>3200</v>
      </c>
      <c r="D106" s="911" t="str">
        <f>'Revenues 9-14'!A141</f>
        <v>Total Career and Technical Education</v>
      </c>
      <c r="E106" s="906"/>
      <c r="F106" s="1789">
        <f>SUM('Revenues 9-14'!C141,'Revenues 9-14'!D141,'Revenues 9-14'!G141)</f>
        <v>65993</v>
      </c>
      <c r="G106" s="912"/>
    </row>
    <row r="107" spans="1:7" x14ac:dyDescent="0.2">
      <c r="A107" s="921" t="s">
        <v>663</v>
      </c>
      <c r="B107" s="908" t="s">
        <v>2002</v>
      </c>
      <c r="C107" s="920">
        <v>3300</v>
      </c>
      <c r="D107" s="911" t="str">
        <f>'Revenues 9-14'!A145</f>
        <v>Total Bilingual Ed</v>
      </c>
      <c r="E107" s="906"/>
      <c r="F107" s="1789">
        <f>SUM('Revenues 9-14'!C145,'Revenues 9-14'!G145)</f>
        <v>0</v>
      </c>
      <c r="G107" s="912"/>
    </row>
    <row r="108" spans="1:7" x14ac:dyDescent="0.2">
      <c r="A108" s="908" t="s">
        <v>458</v>
      </c>
      <c r="B108" s="908" t="s">
        <v>2003</v>
      </c>
      <c r="C108" s="920">
        <f>'Revenues 9-14'!B146</f>
        <v>3360</v>
      </c>
      <c r="D108" s="911" t="str">
        <f>'Revenues 9-14'!A146</f>
        <v>State Free Lunch &amp; Breakfast</v>
      </c>
      <c r="E108" s="906"/>
      <c r="F108" s="1789">
        <f>'Revenues 9-14'!C146</f>
        <v>913</v>
      </c>
      <c r="G108" s="912"/>
    </row>
    <row r="109" spans="1:7" x14ac:dyDescent="0.2">
      <c r="A109" s="908" t="s">
        <v>672</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97387</v>
      </c>
      <c r="G110" s="912"/>
    </row>
    <row r="111" spans="1:7" x14ac:dyDescent="0.2">
      <c r="A111" s="908" t="s">
        <v>667</v>
      </c>
      <c r="B111" s="908" t="s">
        <v>2006</v>
      </c>
      <c r="C111" s="922">
        <v>3500</v>
      </c>
      <c r="D111" s="911" t="str">
        <f>'Revenues 9-14'!A155</f>
        <v>Total Transportation</v>
      </c>
      <c r="E111" s="906"/>
      <c r="F111" s="1789">
        <f>SUM('Revenues 9-14'!C155,'Revenues 9-14'!D155,'Revenues 9-14'!F155,'Revenues 9-14'!G155)</f>
        <v>1283166</v>
      </c>
      <c r="G111" s="912"/>
    </row>
    <row r="112" spans="1:7" x14ac:dyDescent="0.2">
      <c r="A112" s="908" t="s">
        <v>458</v>
      </c>
      <c r="B112" s="908" t="s">
        <v>2007</v>
      </c>
      <c r="C112" s="920">
        <f>'Revenues 9-14'!B156</f>
        <v>3610</v>
      </c>
      <c r="D112" s="911" t="str">
        <f>'Revenues 9-14'!A156</f>
        <v>Learning Improvement - Change Grants</v>
      </c>
      <c r="E112" s="906"/>
      <c r="F112" s="1789">
        <f>'Revenues 9-14'!C156</f>
        <v>0</v>
      </c>
      <c r="G112" s="912"/>
    </row>
    <row r="113" spans="1:7" x14ac:dyDescent="0.2">
      <c r="A113" s="908" t="s">
        <v>667</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120000</v>
      </c>
      <c r="G114" s="912"/>
    </row>
    <row r="115" spans="1:7" x14ac:dyDescent="0.2">
      <c r="A115" s="908" t="s">
        <v>667</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2013</v>
      </c>
      <c r="C118" s="924">
        <f>'Revenues 9-14'!B163</f>
        <v>3780</v>
      </c>
      <c r="D118" s="925" t="str">
        <f>'Revenues 9-14'!A163</f>
        <v>Technology - Technology for Success</v>
      </c>
      <c r="E118" s="906"/>
      <c r="F118" s="1907">
        <f>SUM('Revenues 9-14'!C163:G163)</f>
        <v>0</v>
      </c>
      <c r="G118" s="912"/>
    </row>
    <row r="119" spans="1:7" x14ac:dyDescent="0.2">
      <c r="A119" s="923" t="s">
        <v>503</v>
      </c>
      <c r="B119" s="923" t="s">
        <v>2014</v>
      </c>
      <c r="C119" s="924">
        <f>'Revenues 9-14'!B164</f>
        <v>3815</v>
      </c>
      <c r="D119" s="925" t="str">
        <f>'Revenues 9-14'!A164</f>
        <v>State Charter Schools</v>
      </c>
      <c r="E119" s="906"/>
      <c r="F119" s="1907">
        <f>SUM('Revenues 9-14'!C164,'Revenues 9-14'!F164)</f>
        <v>0</v>
      </c>
      <c r="G119" s="912"/>
    </row>
    <row r="120" spans="1:7" x14ac:dyDescent="0.2">
      <c r="A120" s="927" t="s">
        <v>459</v>
      </c>
      <c r="B120" s="927" t="s">
        <v>2015</v>
      </c>
      <c r="C120" s="928">
        <f>'Revenues 9-14'!B167</f>
        <v>3925</v>
      </c>
      <c r="D120" s="929" t="str">
        <f>'Revenues 9-14'!A167</f>
        <v>School Infrastructure - Maintenance Projects</v>
      </c>
      <c r="E120" s="906"/>
      <c r="F120" s="1789">
        <f>'Revenues 9-14'!D167</f>
        <v>0</v>
      </c>
      <c r="G120" s="930"/>
    </row>
    <row r="121" spans="1:7" x14ac:dyDescent="0.2">
      <c r="A121" s="927" t="s">
        <v>499</v>
      </c>
      <c r="B121" s="927" t="s">
        <v>2016</v>
      </c>
      <c r="C121" s="928">
        <f>'Revenues 9-14'!B168</f>
        <v>3999</v>
      </c>
      <c r="D121" s="929" t="s">
        <v>542</v>
      </c>
      <c r="E121" s="931"/>
      <c r="F121" s="1789">
        <f>SUM('Revenues 9-14'!C168:G168,'Revenues 9-14'!J168)</f>
        <v>13259</v>
      </c>
      <c r="G121" s="930"/>
    </row>
    <row r="122" spans="1:7" x14ac:dyDescent="0.2">
      <c r="A122" s="927" t="s">
        <v>458</v>
      </c>
      <c r="B122" s="927" t="s">
        <v>2017</v>
      </c>
      <c r="C122" s="932">
        <f>'Revenues 9-14'!B177</f>
        <v>4045</v>
      </c>
      <c r="D122" s="929" t="str">
        <f>'Revenues 9-14'!A177 &amp; " (Subtract)"</f>
        <v>Head Start (Subtract)</v>
      </c>
      <c r="E122" s="906"/>
      <c r="F122" s="1789">
        <f>SUM(-'Revenues 9-14'!C177)</f>
        <v>0</v>
      </c>
      <c r="G122" s="930"/>
    </row>
    <row r="123" spans="1:7" x14ac:dyDescent="0.2">
      <c r="A123" s="927" t="s">
        <v>667</v>
      </c>
      <c r="B123" s="927" t="s">
        <v>2018</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2019</v>
      </c>
      <c r="C124" s="932">
        <v>4100</v>
      </c>
      <c r="D124" s="933" t="str">
        <f>'Revenues 9-14'!A188</f>
        <v>Total Title V</v>
      </c>
      <c r="E124" s="906"/>
      <c r="F124" s="1789">
        <f>SUM('Revenues 9-14'!C188,'Revenues 9-14'!D188,'Revenues 9-14'!F188,'Revenues 9-14'!G188)</f>
        <v>0</v>
      </c>
      <c r="G124" s="930"/>
    </row>
    <row r="125" spans="1:7" x14ac:dyDescent="0.2">
      <c r="A125" s="927" t="s">
        <v>663</v>
      </c>
      <c r="B125" s="927" t="s">
        <v>2020</v>
      </c>
      <c r="C125" s="932">
        <v>4200</v>
      </c>
      <c r="D125" s="929" t="str">
        <f>'Revenues 9-14'!A198</f>
        <v>Total Food Service</v>
      </c>
      <c r="E125" s="906"/>
      <c r="F125" s="1789">
        <f>SUM('Revenues 9-14'!C198,'Revenues 9-14'!G198)</f>
        <v>5718</v>
      </c>
      <c r="G125" s="930"/>
    </row>
    <row r="126" spans="1:7" x14ac:dyDescent="0.2">
      <c r="A126" s="927" t="s">
        <v>667</v>
      </c>
      <c r="B126" s="927" t="s">
        <v>2021</v>
      </c>
      <c r="C126" s="932">
        <v>4300</v>
      </c>
      <c r="D126" s="933" t="str">
        <f>'Revenues 9-14'!A204</f>
        <v>Total Title I</v>
      </c>
      <c r="E126" s="906"/>
      <c r="F126" s="1789">
        <f>SUM('Revenues 9-14'!C204,'Revenues 9-14'!D204,'Revenues 9-14'!F204,'Revenues 9-14'!G204)</f>
        <v>240263</v>
      </c>
      <c r="G126" s="930"/>
    </row>
    <row r="127" spans="1:7" x14ac:dyDescent="0.2">
      <c r="A127" s="927" t="s">
        <v>667</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2023</v>
      </c>
      <c r="C128" s="932">
        <f>'Revenues 9-14'!B213</f>
        <v>4620</v>
      </c>
      <c r="D128" s="933" t="str">
        <f>'Revenues 9-14'!A213</f>
        <v>Fed - Spec Education - IDEA - Flow Through</v>
      </c>
      <c r="E128" s="906"/>
      <c r="F128" s="1789">
        <f>SUM('Revenues 9-14'!C213:D213,'Revenues 9-14'!F213:G213)</f>
        <v>219680</v>
      </c>
      <c r="G128" s="930"/>
    </row>
    <row r="129" spans="1:7" x14ac:dyDescent="0.2">
      <c r="A129" s="927" t="s">
        <v>667</v>
      </c>
      <c r="B129" s="927" t="s">
        <v>2024</v>
      </c>
      <c r="C129" s="932">
        <f>'Revenues 9-14'!B214</f>
        <v>4625</v>
      </c>
      <c r="D129" s="933" t="str">
        <f>'Revenues 9-14'!A214</f>
        <v>Fed - Spec Education - IDEA - Room &amp; Board</v>
      </c>
      <c r="E129" s="906"/>
      <c r="F129" s="1789">
        <f>SUM('Revenues 9-14'!C214,'Revenues 9-14'!D214,'Revenues 9-14'!F214,'Revenues 9-14'!G214)</f>
        <v>239</v>
      </c>
      <c r="G129" s="930"/>
    </row>
    <row r="130" spans="1:7" x14ac:dyDescent="0.2">
      <c r="A130" s="927" t="s">
        <v>667</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2041</v>
      </c>
      <c r="C157" s="940" t="s">
        <v>840</v>
      </c>
      <c r="D157" s="941" t="s">
        <v>776</v>
      </c>
      <c r="E157" s="942"/>
      <c r="F157" s="1789">
        <f>SUM(F133:F156)</f>
        <v>0</v>
      </c>
      <c r="G157" s="905"/>
    </row>
    <row r="158" spans="1:7" s="867" customFormat="1" x14ac:dyDescent="0.2">
      <c r="A158" s="938" t="s">
        <v>458</v>
      </c>
      <c r="B158" s="939" t="s">
        <v>2042</v>
      </c>
      <c r="C158" s="940" t="s">
        <v>1426</v>
      </c>
      <c r="D158" s="941" t="s">
        <v>1427</v>
      </c>
      <c r="E158" s="942"/>
      <c r="F158" s="1789">
        <f>SUM('Revenues 9-14'!C253)</f>
        <v>0</v>
      </c>
      <c r="G158" s="905"/>
    </row>
    <row r="159" spans="1:7" s="867" customFormat="1" x14ac:dyDescent="0.2">
      <c r="A159" s="938" t="s">
        <v>499</v>
      </c>
      <c r="B159" s="939" t="s">
        <v>2043</v>
      </c>
      <c r="C159" s="940" t="s">
        <v>1465</v>
      </c>
      <c r="D159" s="941" t="s">
        <v>1466</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2048</v>
      </c>
      <c r="C164" s="932">
        <f>'Revenues 9-14'!B259</f>
        <v>4932</v>
      </c>
      <c r="D164" s="933" t="str">
        <f>'Revenues 9-14'!A259</f>
        <v>Title II - Teacher Quality</v>
      </c>
      <c r="E164" s="906"/>
      <c r="F164" s="1907">
        <f>SUM('Revenues 9-14'!C259,'Revenues 9-14'!D259,'Revenues 9-14'!F259,'Revenues 9-14'!G259)</f>
        <v>83349</v>
      </c>
      <c r="G164" s="930"/>
    </row>
    <row r="165" spans="1:7" x14ac:dyDescent="0.2">
      <c r="A165" s="927" t="s">
        <v>667</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2050</v>
      </c>
      <c r="C168" s="932">
        <f>'Revenues 9-14'!B263</f>
        <v>4991</v>
      </c>
      <c r="D168" s="933" t="str">
        <f>'Revenues 9-14'!A263</f>
        <v>Medicaid Matching Funds - Administrative Outreach</v>
      </c>
      <c r="E168" s="906"/>
      <c r="F168" s="1789">
        <f>SUM('Revenues 9-14'!C263:D263,'Revenues 9-14'!F263:G263)</f>
        <v>7775</v>
      </c>
      <c r="G168" s="947">
        <v>6320</v>
      </c>
    </row>
    <row r="169" spans="1:7" x14ac:dyDescent="0.2">
      <c r="A169" s="927" t="s">
        <v>667</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663</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957</v>
      </c>
      <c r="F174" s="1788">
        <f>SUM(F84:F132,F157:F172)</f>
        <v>4541168</v>
      </c>
    </row>
    <row r="175" spans="1:7" ht="12" customHeight="1" x14ac:dyDescent="0.2">
      <c r="A175" s="1770"/>
      <c r="B175" s="1784"/>
      <c r="C175" s="1785"/>
      <c r="D175" s="1786" t="s">
        <v>2054</v>
      </c>
      <c r="E175" s="1787"/>
      <c r="F175" s="1789">
        <f>'PCTC-OEPP 27-28'!F77-F174</f>
        <v>29101665</v>
      </c>
    </row>
    <row r="176" spans="1:7" ht="12" customHeight="1" x14ac:dyDescent="0.2">
      <c r="A176" s="1770"/>
      <c r="B176" s="1784"/>
      <c r="C176" s="1785"/>
      <c r="D176" s="1786" t="s">
        <v>1816</v>
      </c>
      <c r="E176" s="1787"/>
      <c r="F176" s="1789">
        <f>'Cap Outlay Deprec 26'!I18</f>
        <v>7734.8</v>
      </c>
    </row>
    <row r="177" spans="1:7" ht="12" customHeight="1" x14ac:dyDescent="0.2">
      <c r="A177" s="1770"/>
      <c r="B177" s="1784"/>
      <c r="C177" s="1785"/>
      <c r="D177" s="1786" t="s">
        <v>2055</v>
      </c>
      <c r="E177" s="1787"/>
      <c r="F177" s="1789">
        <f>F175+F176</f>
        <v>29109399.800000001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2641</v>
      </c>
      <c r="G178" s="930"/>
    </row>
    <row r="179" spans="1:7" ht="12" customHeight="1" thickBot="1" x14ac:dyDescent="0.25">
      <c r="A179" s="1770"/>
      <c r="B179" s="1790"/>
      <c r="C179" s="1785"/>
      <c r="D179" s="1786" t="s">
        <v>2056</v>
      </c>
      <c r="E179" s="1787" t="s">
        <v>1544</v>
      </c>
      <c r="F179" s="1792">
        <f>F177/F178</f>
        <v>11022.112760318061</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C29" sqref="C2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6" t="s">
        <v>1817</v>
      </c>
      <c r="B4" s="2277"/>
      <c r="C4" s="2277"/>
      <c r="D4" s="2277"/>
      <c r="E4" s="2277"/>
      <c r="F4" s="2277"/>
      <c r="G4" s="2278"/>
    </row>
    <row r="5" spans="1:7" x14ac:dyDescent="0.25">
      <c r="A5" s="2279"/>
      <c r="B5" s="2280"/>
      <c r="C5" s="2280"/>
      <c r="D5" s="2280"/>
      <c r="E5" s="2280"/>
      <c r="F5" s="2280"/>
      <c r="G5" s="2281"/>
    </row>
    <row r="6" spans="1:7" ht="18.75" x14ac:dyDescent="0.25">
      <c r="A6" s="1534" t="s">
        <v>1818</v>
      </c>
      <c r="B6" s="1535"/>
      <c r="C6" s="1535"/>
      <c r="D6" s="1535"/>
      <c r="E6" s="1535"/>
      <c r="F6" s="1535"/>
      <c r="G6" s="1536"/>
    </row>
    <row r="7" spans="1:7" ht="30.75" customHeight="1" x14ac:dyDescent="0.25">
      <c r="A7" s="2282" t="s">
        <v>1930</v>
      </c>
      <c r="B7" s="2283"/>
      <c r="C7" s="2283"/>
      <c r="D7" s="2283"/>
      <c r="E7" s="2283"/>
      <c r="F7" s="2283"/>
      <c r="G7" s="2284"/>
    </row>
    <row r="8" spans="1:7" ht="15.75" customHeight="1" x14ac:dyDescent="0.25">
      <c r="A8" s="2285" t="s">
        <v>1905</v>
      </c>
      <c r="B8" s="2286"/>
      <c r="C8" s="2286"/>
      <c r="D8" s="2286"/>
      <c r="E8" s="2286"/>
      <c r="F8" s="2286"/>
      <c r="G8" s="2287"/>
    </row>
    <row r="9" spans="1:7" ht="35.25" customHeight="1" x14ac:dyDescent="0.25">
      <c r="A9" s="2282" t="s">
        <v>2062</v>
      </c>
      <c r="B9" s="2283"/>
      <c r="C9" s="2283"/>
      <c r="D9" s="2283"/>
      <c r="E9" s="2283"/>
      <c r="F9" s="2283"/>
      <c r="G9" s="2284"/>
    </row>
    <row r="10" spans="1:7" ht="15" customHeight="1" x14ac:dyDescent="0.25">
      <c r="A10" s="1537" t="s">
        <v>1819</v>
      </c>
      <c r="B10" s="1538"/>
      <c r="C10" s="1538"/>
      <c r="D10" s="1538"/>
      <c r="E10" s="1538"/>
      <c r="F10" s="1538"/>
      <c r="G10" s="1539"/>
    </row>
    <row r="11" spans="1:7" ht="17.25" customHeight="1" x14ac:dyDescent="0.25">
      <c r="A11" s="2282" t="s">
        <v>1932</v>
      </c>
      <c r="B11" s="2283"/>
      <c r="C11" s="2283"/>
      <c r="D11" s="2283"/>
      <c r="E11" s="2283"/>
      <c r="F11" s="2283"/>
      <c r="G11" s="2284"/>
    </row>
    <row r="12" spans="1:7" ht="15" customHeight="1" x14ac:dyDescent="0.25">
      <c r="A12" s="1537" t="s">
        <v>1824</v>
      </c>
      <c r="B12" s="1538"/>
      <c r="C12" s="1538"/>
      <c r="D12" s="1538"/>
      <c r="E12" s="1538"/>
      <c r="F12" s="1538"/>
      <c r="G12" s="1539"/>
    </row>
    <row r="13" spans="1:7" ht="32.25" customHeight="1" x14ac:dyDescent="0.25">
      <c r="A13" s="2273" t="s">
        <v>1973</v>
      </c>
      <c r="B13" s="2274"/>
      <c r="C13" s="2274"/>
      <c r="D13" s="2274"/>
      <c r="E13" s="2274"/>
      <c r="F13" s="2274"/>
      <c r="G13" s="2275"/>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2112</v>
      </c>
      <c r="B17" s="1941" t="s">
        <v>2113</v>
      </c>
      <c r="C17" s="1942" t="s">
        <v>2114</v>
      </c>
      <c r="D17" s="1943">
        <v>22881</v>
      </c>
      <c r="E17" s="1540">
        <f t="shared" ref="E17:E141" si="0">IF(D17&lt;=25000,D17,IF(D17&gt;25000,25000,0))</f>
        <v>22881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22881</v>
      </c>
      <c r="G17" s="1793">
        <f>IF(F17=0,0,D17-F17)</f>
        <v>0</v>
      </c>
      <c r="H17" s="1647"/>
    </row>
    <row r="18" spans="1:8" x14ac:dyDescent="0.25">
      <c r="A18" s="1940" t="s">
        <v>2112</v>
      </c>
      <c r="B18" s="1941" t="s">
        <v>2113</v>
      </c>
      <c r="C18" s="1942" t="s">
        <v>2115</v>
      </c>
      <c r="D18" s="1943">
        <v>4200</v>
      </c>
      <c r="E18" s="1540">
        <f t="shared" ref="E18:E140" si="2">IF(D18&lt;=25000,D18,IF(D18&gt;25000,25000,0))</f>
        <v>4200</v>
      </c>
      <c r="F18" s="1932">
        <f t="shared" si="1"/>
        <v>4200</v>
      </c>
      <c r="G18" s="1793">
        <f t="shared" ref="G18:G140" si="3">IF(F18=0,0,D18-F18)</f>
        <v>0</v>
      </c>
    </row>
    <row r="19" spans="1:8" x14ac:dyDescent="0.25">
      <c r="A19" s="1940" t="s">
        <v>2112</v>
      </c>
      <c r="B19" s="1941" t="s">
        <v>2113</v>
      </c>
      <c r="C19" s="1942" t="s">
        <v>2116</v>
      </c>
      <c r="D19" s="1943">
        <v>2925</v>
      </c>
      <c r="E19" s="1540">
        <f t="shared" si="2"/>
        <v>2925</v>
      </c>
      <c r="F19" s="1932">
        <f t="shared" si="1"/>
        <v>2925</v>
      </c>
      <c r="G19" s="1793">
        <f t="shared" si="3"/>
        <v>0</v>
      </c>
    </row>
    <row r="20" spans="1:8" x14ac:dyDescent="0.25">
      <c r="A20" s="1940" t="s">
        <v>2112</v>
      </c>
      <c r="B20" s="1941" t="s">
        <v>2113</v>
      </c>
      <c r="C20" s="1942" t="s">
        <v>2093</v>
      </c>
      <c r="D20" s="1943">
        <v>626438</v>
      </c>
      <c r="E20" s="1540">
        <f t="shared" si="2"/>
        <v>25000</v>
      </c>
      <c r="F20" s="1932">
        <f t="shared" si="1"/>
        <v>25000</v>
      </c>
      <c r="G20" s="1793">
        <f t="shared" si="3"/>
        <v>601438</v>
      </c>
    </row>
    <row r="21" spans="1:8" x14ac:dyDescent="0.25">
      <c r="A21" s="1940" t="s">
        <v>2112</v>
      </c>
      <c r="B21" s="1941" t="s">
        <v>2113</v>
      </c>
      <c r="C21" s="1942" t="s">
        <v>2117</v>
      </c>
      <c r="D21" s="1943">
        <v>5865</v>
      </c>
      <c r="E21" s="1540">
        <f t="shared" si="2"/>
        <v>5865</v>
      </c>
      <c r="F21" s="1932">
        <f t="shared" si="1"/>
        <v>5865</v>
      </c>
      <c r="G21" s="1793">
        <f t="shared" si="3"/>
        <v>0</v>
      </c>
    </row>
    <row r="22" spans="1:8" x14ac:dyDescent="0.25">
      <c r="A22" s="1940" t="s">
        <v>2112</v>
      </c>
      <c r="B22" s="1941" t="s">
        <v>2113</v>
      </c>
      <c r="C22" s="1942" t="s">
        <v>2118</v>
      </c>
      <c r="D22" s="1943">
        <v>19720</v>
      </c>
      <c r="E22" s="1540">
        <f t="shared" si="2"/>
        <v>19720</v>
      </c>
      <c r="F22" s="1932">
        <f t="shared" si="1"/>
        <v>19720</v>
      </c>
      <c r="G22" s="1793">
        <f t="shared" si="3"/>
        <v>0</v>
      </c>
    </row>
    <row r="23" spans="1:8" x14ac:dyDescent="0.25">
      <c r="A23" s="1940" t="s">
        <v>2112</v>
      </c>
      <c r="B23" s="1941" t="s">
        <v>2113</v>
      </c>
      <c r="C23" s="1942" t="s">
        <v>2119</v>
      </c>
      <c r="D23" s="1943">
        <v>19930</v>
      </c>
      <c r="E23" s="1540">
        <f t="shared" si="2"/>
        <v>19930</v>
      </c>
      <c r="F23" s="1932">
        <f t="shared" si="1"/>
        <v>19930</v>
      </c>
      <c r="G23" s="1793">
        <f t="shared" si="3"/>
        <v>0</v>
      </c>
    </row>
    <row r="24" spans="1:8" x14ac:dyDescent="0.25">
      <c r="A24" s="1940" t="s">
        <v>2112</v>
      </c>
      <c r="B24" s="1941" t="s">
        <v>2113</v>
      </c>
      <c r="C24" s="1942" t="s">
        <v>2120</v>
      </c>
      <c r="D24" s="1943">
        <v>19717</v>
      </c>
      <c r="E24" s="1540">
        <f t="shared" si="2"/>
        <v>19717</v>
      </c>
      <c r="F24" s="1932">
        <f t="shared" si="1"/>
        <v>19717</v>
      </c>
      <c r="G24" s="1793">
        <f t="shared" si="3"/>
        <v>0</v>
      </c>
    </row>
    <row r="25" spans="1:8" x14ac:dyDescent="0.25">
      <c r="A25" s="1940" t="s">
        <v>2121</v>
      </c>
      <c r="B25" s="1941" t="s">
        <v>2122</v>
      </c>
      <c r="C25" s="1942" t="s">
        <v>2123</v>
      </c>
      <c r="D25" s="1943">
        <v>948178</v>
      </c>
      <c r="E25" s="1540">
        <f t="shared" si="2"/>
        <v>25000</v>
      </c>
      <c r="F25" s="1932">
        <f t="shared" si="1"/>
        <v>25000</v>
      </c>
      <c r="G25" s="1793">
        <f t="shared" si="3"/>
        <v>923178</v>
      </c>
    </row>
    <row r="26" spans="1:8" x14ac:dyDescent="0.25">
      <c r="A26" s="1940" t="s">
        <v>2124</v>
      </c>
      <c r="B26" s="1941" t="s">
        <v>2125</v>
      </c>
      <c r="C26" s="1942" t="s">
        <v>2126</v>
      </c>
      <c r="D26" s="1943">
        <v>88656</v>
      </c>
      <c r="E26" s="1540">
        <f t="shared" si="2"/>
        <v>25000</v>
      </c>
      <c r="F26" s="1932">
        <f t="shared" si="1"/>
        <v>25000</v>
      </c>
      <c r="G26" s="1793">
        <f t="shared" si="3"/>
        <v>63656</v>
      </c>
    </row>
    <row r="27" spans="1:8" x14ac:dyDescent="0.25">
      <c r="A27" s="1940" t="s">
        <v>2127</v>
      </c>
      <c r="B27" s="1941" t="s">
        <v>2125</v>
      </c>
      <c r="C27" s="1942" t="s">
        <v>2128</v>
      </c>
      <c r="D27" s="1943">
        <v>8842</v>
      </c>
      <c r="E27" s="1540">
        <f t="shared" si="2"/>
        <v>8842</v>
      </c>
      <c r="F27" s="1932">
        <f t="shared" si="1"/>
        <v>8842</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1767352</v>
      </c>
      <c r="E141" s="1541">
        <f t="shared" si="0"/>
        <v>25000</v>
      </c>
      <c r="F141" s="1933">
        <f>SUM(F17:F140)</f>
        <v>179080</v>
      </c>
      <c r="G141" s="1795">
        <f>SUM(G17:G140)</f>
        <v>1588272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5718</v>
      </c>
      <c r="F10" s="974"/>
      <c r="G10" s="975"/>
      <c r="H10" s="162"/>
      <c r="I10" s="162"/>
    </row>
    <row r="11" spans="1:9" s="668" customFormat="1" ht="22.5" customHeight="1" x14ac:dyDescent="0.2">
      <c r="A11" s="2293" t="s">
        <v>1974</v>
      </c>
      <c r="B11" s="2294"/>
      <c r="C11" s="2294"/>
      <c r="D11" s="2295"/>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19874595</v>
      </c>
      <c r="F19" s="1799"/>
      <c r="G19" s="1801">
        <f>'Expenditures 15-22'!K33-SUM('Expenditures 15-22'!G33,'Expenditures 15-22'!I33)+'Expenditures 15-22'!D229</f>
        <v>19874595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1560203</v>
      </c>
      <c r="F21" s="1802"/>
      <c r="G21" s="1805">
        <f>'Expenditures 15-22'!K42-SUM('Expenditures 15-22'!G42,'Expenditures 15-22'!I42)+'Expenditures 15-22'!K120-SUM('Expenditures 15-22'!G120,'Expenditures 15-22'!I120)+'Expenditures 15-22'!K180-SUM('Expenditures 15-22'!G180,'Expenditures 15-22'!I180)+'Expenditures 15-22'!D238</f>
        <v>1560203</v>
      </c>
      <c r="H21" s="987"/>
      <c r="I21" s="162"/>
    </row>
    <row r="22" spans="1:9" s="668" customFormat="1" ht="12" customHeight="1" x14ac:dyDescent="0.2">
      <c r="A22" s="994" t="s">
        <v>563</v>
      </c>
      <c r="B22" s="995"/>
      <c r="C22" s="993">
        <v>2200</v>
      </c>
      <c r="D22" s="1802"/>
      <c r="E22" s="1804">
        <f>'Expenditures 15-22'!K47-SUM('Expenditures 15-22'!G47,'Expenditures 15-22'!I47)+'Expenditures 15-22'!D243</f>
        <v>1273833</v>
      </c>
      <c r="F22" s="1802"/>
      <c r="G22" s="1805">
        <f>'Expenditures 15-22'!K47-SUM('Expenditures 15-22'!G47,'Expenditures 15-22'!I47)+'Expenditures 15-22'!D243</f>
        <v>1273833</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1451944</v>
      </c>
      <c r="F23" s="1802"/>
      <c r="G23" s="1804">
        <f>'Expenditures 15-22'!K53-SUM('Expenditures 15-22'!G53,'Expenditures 15-22'!I53)+'Expenditures 15-22'!D257+'Expenditures 15-22'!K330-SUM('Expenditures 15-22'!G330,'Expenditures 15-22'!I330)</f>
        <v>1451944</v>
      </c>
      <c r="H23" s="987"/>
      <c r="I23" s="162"/>
    </row>
    <row r="24" spans="1:9" s="668" customFormat="1" ht="12" customHeight="1" x14ac:dyDescent="0.2">
      <c r="A24" s="994" t="s">
        <v>565</v>
      </c>
      <c r="B24" s="995"/>
      <c r="C24" s="993">
        <v>2400</v>
      </c>
      <c r="D24" s="1802"/>
      <c r="E24" s="1804">
        <f>'Expenditures 15-22'!K57-SUM('Expenditures 15-22'!G57,'Expenditures 15-22'!I57)+'Expenditures 15-22'!D261</f>
        <v>1142700</v>
      </c>
      <c r="F24" s="1802"/>
      <c r="G24" s="1805">
        <f>'Expenditures 15-22'!K57-SUM('Expenditures 15-22'!G57,'Expenditures 15-22'!I57)+'Expenditures 15-22'!D261</f>
        <v>1142700</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80916</v>
      </c>
      <c r="E26" s="1804">
        <f>'Expenditures 15-22'!K122-SUM('Expenditures 15-22'!G122,'Expenditures 15-22'!I122)+E7</f>
        <v>59747</v>
      </c>
      <c r="F26" s="1804">
        <f>'Expenditures 15-22'!K59-SUM('Expenditures 15-22'!G59,'Expenditures 15-22'!I59)+'Expenditures 15-22'!D263-E7</f>
        <v>80916</v>
      </c>
      <c r="G26" s="1805">
        <f>'Expenditures 15-22'!K122-SUM('Expenditures 15-22'!G122,'Expenditures 15-22'!I122)+E7</f>
        <v>59747</v>
      </c>
      <c r="H26" s="987"/>
      <c r="I26" s="162"/>
    </row>
    <row r="27" spans="1:9" s="668" customFormat="1" ht="12" customHeight="1" x14ac:dyDescent="0.2">
      <c r="A27" s="994" t="s">
        <v>462</v>
      </c>
      <c r="B27" s="997"/>
      <c r="C27" s="993">
        <v>2520</v>
      </c>
      <c r="D27" s="1804">
        <f>'Expenditures 15-22'!K60-SUM('Expenditures 15-22'!G60,'Expenditures 15-22'!I60)+'Expenditures 15-22'!D264-E8</f>
        <v>189240</v>
      </c>
      <c r="E27" s="1804">
        <f>E8</f>
        <v>0</v>
      </c>
      <c r="F27" s="1804">
        <f>'Expenditures 15-22'!K60-SUM('Expenditures 15-22'!G60,'Expenditures 15-22'!I60)+'Expenditures 15-22'!D264-E8</f>
        <v>189240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3340000</v>
      </c>
      <c r="F28" s="1806">
        <f>'Expenditures 15-22'!K61-SUM('Expenditures 15-22'!G61,'Expenditures 15-22'!I61)+'Expenditures 15-22'!K124-SUM('Expenditures 15-22'!G124,'Expenditures 15-22'!I124)+'Expenditures 15-22'!D266-E9</f>
        <v>3340000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2617415</v>
      </c>
      <c r="F29" s="1802"/>
      <c r="G29" s="1805">
        <f>'Expenditures 15-22'!K62-SUM('Expenditures 15-22'!G62,'Expenditures 15-22'!I62)+'Expenditures 15-22'!K125-SUM('Expenditures 15-22'!G125,'Expenditures 15-22'!I125)+'Expenditures 15-22'!K182-SUM('Expenditures 15-22'!G182,'Expenditures 15-22'!I182)+'Expenditures 15-22'!D267</f>
        <v>2617415</v>
      </c>
      <c r="H29" s="985"/>
    </row>
    <row r="30" spans="1:9" ht="12" customHeight="1" x14ac:dyDescent="0.2">
      <c r="A30" s="994" t="s">
        <v>100</v>
      </c>
      <c r="B30" s="997"/>
      <c r="C30" s="993">
        <v>2560</v>
      </c>
      <c r="D30" s="1802"/>
      <c r="E30" s="1804">
        <f>'Expenditures 15-22'!K63-SUM('Expenditures 15-22'!G63,'Expenditures 15-22'!I63)+'Expenditures 15-22'!D268-E10</f>
        <v>935576</v>
      </c>
      <c r="F30" s="1802"/>
      <c r="G30" s="1804">
        <f>'Expenditures 15-22'!K63-SUM('Expenditures 15-22'!G63,'Expenditures 15-22'!I63)+'Expenditures 15-22'!D268-E10</f>
        <v>935576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379940</v>
      </c>
      <c r="F35" s="1802"/>
      <c r="G35" s="1804">
        <f>'Expenditures 15-22'!K69-SUM('Expenditures 15-22'!G69,'Expenditures 15-22'!I69)+'Expenditures 15-22'!D274</f>
        <v>379940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1000</v>
      </c>
      <c r="F38" s="1802"/>
      <c r="G38" s="1804">
        <f>'Expenditures 15-22'!K73-SUM('Expenditures 15-22'!G73,'Expenditures 15-22'!I73)+'Expenditures 15-22'!K128-SUM('Expenditures 15-22'!G128,'Expenditures 15-22'!I128)+'Expenditures 15-22'!K183-SUM('Expenditures 15-22'!G183,'Expenditures 15-22'!I183)+'Expenditures 15-22'!D278</f>
        <v>1000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680</v>
      </c>
      <c r="F39" s="1802"/>
      <c r="G39" s="1804">
        <f>'Expenditures 15-22'!K75-SUM('Expenditures 15-22'!G75,'Expenditures 15-22'!I75)+'Expenditures 15-22'!K130-SUM('Expenditures 15-22'!G130,'Expenditures 15-22'!I130)+'Expenditures 15-22'!K185-SUM('Expenditures 15-22'!G185,'Expenditures 15-22'!I185)+'Expenditures 15-22'!D280</f>
        <v>680</v>
      </c>
    </row>
    <row r="40" spans="1:7" ht="12" customHeight="1" x14ac:dyDescent="0.2">
      <c r="A40" s="990" t="s">
        <v>1822</v>
      </c>
      <c r="B40" s="991"/>
      <c r="C40" s="993"/>
      <c r="D40" s="1802"/>
      <c r="E40" s="1806">
        <f>-'Contracts Paid in CY 29'!G141</f>
        <v>-1588272</v>
      </c>
      <c r="F40" s="1802"/>
      <c r="G40" s="1806">
        <f>-'Contracts Paid in CY 29'!G141</f>
        <v>-1588272</v>
      </c>
    </row>
    <row r="41" spans="1:7" ht="12" customHeight="1" x14ac:dyDescent="0.2">
      <c r="A41" s="998" t="s">
        <v>156</v>
      </c>
      <c r="B41" s="999"/>
      <c r="C41" s="1000"/>
      <c r="D41" s="1806">
        <f>SUM(D19:D39)</f>
        <v>270156</v>
      </c>
      <c r="E41" s="1806">
        <f>SUM(E19:E40)</f>
        <v>31049361</v>
      </c>
      <c r="F41" s="1806">
        <f>SUM(F19:F39)</f>
        <v>3610156</v>
      </c>
      <c r="G41" s="1806">
        <f>SUM(G19:G40)</f>
        <v>27709361</v>
      </c>
    </row>
    <row r="42" spans="1:7" x14ac:dyDescent="0.2">
      <c r="A42" s="987"/>
      <c r="B42" s="162"/>
      <c r="C42" s="1001"/>
      <c r="D42" s="2291" t="s">
        <v>521</v>
      </c>
      <c r="E42" s="2292"/>
      <c r="F42" s="1002" t="s">
        <v>522</v>
      </c>
      <c r="G42" s="1003"/>
    </row>
    <row r="43" spans="1:7" ht="12" customHeight="1" x14ac:dyDescent="0.2">
      <c r="A43" s="987"/>
      <c r="B43" s="162"/>
      <c r="C43" s="1001"/>
      <c r="D43" s="1807" t="s">
        <v>472</v>
      </c>
      <c r="E43" s="1808">
        <f>D41</f>
        <v>270156</v>
      </c>
      <c r="F43" s="1807" t="s">
        <v>472</v>
      </c>
      <c r="G43" s="1808">
        <f>F41</f>
        <v>3610156</v>
      </c>
    </row>
    <row r="44" spans="1:7" ht="12" customHeight="1" x14ac:dyDescent="0.2">
      <c r="A44" s="987"/>
      <c r="B44" s="162"/>
      <c r="C44" s="1001"/>
      <c r="D44" s="1807" t="s">
        <v>473</v>
      </c>
      <c r="E44" s="1808">
        <f>E41</f>
        <v>31049361</v>
      </c>
      <c r="F44" s="1807" t="s">
        <v>473</v>
      </c>
      <c r="G44" s="1808">
        <f>G41</f>
        <v>27709361</v>
      </c>
    </row>
    <row r="45" spans="1:7" ht="12" customHeight="1" x14ac:dyDescent="0.2">
      <c r="A45" s="987"/>
      <c r="B45" s="162"/>
      <c r="C45" s="162"/>
      <c r="D45" s="1809" t="s">
        <v>1005</v>
      </c>
      <c r="E45" s="1810">
        <f>(E43/E44)</f>
        <v>8.7008553895843461E-3</v>
      </c>
      <c r="F45" s="1809" t="s">
        <v>1005</v>
      </c>
      <c r="G45" s="1810">
        <f>(G43/G44)</f>
        <v>0.13028651220069637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9" activePane="bottomLeft" state="frozen"/>
      <selection activeCell="A47" sqref="A47"/>
      <selection pane="bottomLeft" activeCell="C16" sqref="C16: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0" t="s">
        <v>1378</v>
      </c>
      <c r="B1" s="2310"/>
      <c r="C1" s="2310"/>
      <c r="D1" s="2310"/>
      <c r="E1" s="2310"/>
      <c r="F1" s="2310"/>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11" t="s">
        <v>1545</v>
      </c>
      <c r="B5" s="2312"/>
      <c r="C5" s="2313"/>
      <c r="D5" s="2313"/>
      <c r="E5" s="2313"/>
      <c r="F5" s="2313"/>
    </row>
    <row r="6" spans="1:10" ht="12" customHeight="1" x14ac:dyDescent="0.25">
      <c r="A6" s="1850"/>
      <c r="B6" s="1851"/>
      <c r="C6" s="2314" t="str">
        <f>COVER!A17</f>
        <v>Minooka CHSD 111</v>
      </c>
      <c r="D6" s="2314"/>
      <c r="E6" s="2314"/>
      <c r="F6" s="1852"/>
    </row>
    <row r="7" spans="1:10" ht="11.25" customHeight="1" thickBot="1" x14ac:dyDescent="0.3">
      <c r="A7" s="1850"/>
      <c r="B7" s="1851"/>
      <c r="C7" s="2315">
        <f>COVER!A13</f>
        <v>24032111016</v>
      </c>
      <c r="D7" s="2315"/>
      <c r="E7" s="2315"/>
      <c r="F7" s="1852"/>
    </row>
    <row r="8" spans="1:10" ht="25.5" customHeight="1" thickBot="1" x14ac:dyDescent="0.25">
      <c r="A8" s="1893" t="s">
        <v>1906</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937" t="s">
        <v>2072</v>
      </c>
      <c r="D16" s="1937" t="s">
        <v>2072</v>
      </c>
      <c r="E16" s="1938"/>
      <c r="F16" s="1939" t="s">
        <v>2092</v>
      </c>
      <c r="H16" s="1878">
        <f t="shared" si="0"/>
        <v>5</v>
      </c>
      <c r="I16" s="1878">
        <f t="shared" si="1"/>
        <v>5</v>
      </c>
      <c r="J16" s="1878">
        <f t="shared" si="2"/>
        <v>0</v>
      </c>
    </row>
    <row r="17" spans="1:12" ht="12" customHeight="1" x14ac:dyDescent="0.2">
      <c r="A17" s="1863" t="s">
        <v>1388</v>
      </c>
      <c r="B17" s="1864"/>
      <c r="C17" s="1937"/>
      <c r="D17" s="1937"/>
      <c r="E17" s="1938"/>
      <c r="F17" s="1939"/>
      <c r="H17" s="1878">
        <f t="shared" si="0"/>
        <v>0</v>
      </c>
      <c r="I17" s="1878">
        <f t="shared" si="1"/>
        <v>0</v>
      </c>
      <c r="J17" s="1878">
        <f t="shared" si="2"/>
        <v>0</v>
      </c>
    </row>
    <row r="18" spans="1:12" ht="12" customHeight="1" x14ac:dyDescent="0.2">
      <c r="A18" s="1863" t="s">
        <v>1389</v>
      </c>
      <c r="B18" s="1864"/>
      <c r="C18" s="1937"/>
      <c r="D18" s="1937"/>
      <c r="E18" s="1938"/>
      <c r="F18" s="1939"/>
      <c r="H18" s="1878">
        <f t="shared" si="0"/>
        <v>0</v>
      </c>
      <c r="I18" s="1878">
        <f t="shared" si="1"/>
        <v>0</v>
      </c>
      <c r="J18" s="1878">
        <f t="shared" si="2"/>
        <v>0</v>
      </c>
    </row>
    <row r="19" spans="1:12" ht="12" customHeight="1" x14ac:dyDescent="0.2">
      <c r="A19" s="1863" t="s">
        <v>1526</v>
      </c>
      <c r="B19" s="1864"/>
      <c r="C19" s="1937"/>
      <c r="D19" s="1937"/>
      <c r="E19" s="1938"/>
      <c r="F19" s="1939"/>
      <c r="H19" s="1878">
        <f t="shared" si="0"/>
        <v>0</v>
      </c>
      <c r="I19" s="1878">
        <f t="shared" si="1"/>
        <v>0</v>
      </c>
      <c r="J19" s="1878">
        <f t="shared" si="2"/>
        <v>0</v>
      </c>
    </row>
    <row r="20" spans="1:12" ht="12" customHeight="1" x14ac:dyDescent="0.2">
      <c r="A20" s="1863" t="s">
        <v>1527</v>
      </c>
      <c r="B20" s="1864"/>
      <c r="C20" s="1937" t="s">
        <v>2072</v>
      </c>
      <c r="D20" s="1937" t="s">
        <v>2072</v>
      </c>
      <c r="E20" s="1938"/>
      <c r="F20" s="1939" t="s">
        <v>2097</v>
      </c>
      <c r="H20" s="1878">
        <f t="shared" si="0"/>
        <v>5</v>
      </c>
      <c r="I20" s="1878">
        <f t="shared" si="1"/>
        <v>5</v>
      </c>
      <c r="J20" s="1878">
        <f t="shared" si="2"/>
        <v>0</v>
      </c>
    </row>
    <row r="21" spans="1:12" ht="12" customHeight="1" x14ac:dyDescent="0.2">
      <c r="A21" s="1863" t="s">
        <v>1528</v>
      </c>
      <c r="B21" s="1864"/>
      <c r="C21" s="1937"/>
      <c r="D21" s="1937"/>
      <c r="E21" s="1938"/>
      <c r="F21" s="1939"/>
      <c r="H21" s="1878">
        <f t="shared" si="0"/>
        <v>0</v>
      </c>
      <c r="I21" s="1878">
        <f t="shared" si="1"/>
        <v>0</v>
      </c>
      <c r="J21" s="1878">
        <f t="shared" si="2"/>
        <v>0</v>
      </c>
    </row>
    <row r="22" spans="1:12" ht="12" customHeight="1" x14ac:dyDescent="0.2">
      <c r="A22" s="1863" t="s">
        <v>1529</v>
      </c>
      <c r="B22" s="1864"/>
      <c r="C22" s="1937" t="s">
        <v>2072</v>
      </c>
      <c r="D22" s="1937" t="s">
        <v>2072</v>
      </c>
      <c r="E22" s="1938"/>
      <c r="F22" s="1939" t="s">
        <v>2093</v>
      </c>
      <c r="H22" s="1878">
        <f t="shared" si="0"/>
        <v>5</v>
      </c>
      <c r="I22" s="1878">
        <f t="shared" si="1"/>
        <v>5</v>
      </c>
      <c r="J22" s="1878">
        <f t="shared" si="2"/>
        <v>0</v>
      </c>
    </row>
    <row r="23" spans="1:12" ht="12" customHeight="1" x14ac:dyDescent="0.2">
      <c r="A23" s="1863" t="s">
        <v>1530</v>
      </c>
      <c r="B23" s="1864"/>
      <c r="C23" s="1937"/>
      <c r="D23" s="1937"/>
      <c r="E23" s="1938"/>
      <c r="F23" s="1939"/>
      <c r="H23" s="1878">
        <f t="shared" si="0"/>
        <v>0</v>
      </c>
      <c r="I23" s="1878">
        <f t="shared" si="1"/>
        <v>0</v>
      </c>
      <c r="J23" s="1878">
        <f t="shared" si="2"/>
        <v>0</v>
      </c>
    </row>
    <row r="24" spans="1:12" ht="12" customHeight="1" x14ac:dyDescent="0.2">
      <c r="A24" s="1863" t="s">
        <v>1531</v>
      </c>
      <c r="B24" s="1864"/>
      <c r="C24" s="1937"/>
      <c r="D24" s="1937"/>
      <c r="E24" s="1938"/>
      <c r="F24" s="1939"/>
      <c r="H24" s="1878">
        <f t="shared" si="0"/>
        <v>0</v>
      </c>
      <c r="I24" s="1878">
        <f t="shared" si="1"/>
        <v>0</v>
      </c>
      <c r="J24" s="1878">
        <f t="shared" si="2"/>
        <v>0</v>
      </c>
    </row>
    <row r="25" spans="1:12" ht="12" customHeight="1" x14ac:dyDescent="0.2">
      <c r="A25" s="1863" t="s">
        <v>1532</v>
      </c>
      <c r="B25" s="1864"/>
      <c r="C25" s="1937"/>
      <c r="D25" s="1937"/>
      <c r="E25" s="1938"/>
      <c r="F25" s="1939"/>
      <c r="H25" s="1878">
        <f t="shared" si="0"/>
        <v>0</v>
      </c>
      <c r="I25" s="1878">
        <f t="shared" si="1"/>
        <v>0</v>
      </c>
      <c r="J25" s="1878">
        <f t="shared" si="2"/>
        <v>0</v>
      </c>
    </row>
    <row r="26" spans="1:12" ht="12" customHeight="1" x14ac:dyDescent="0.2">
      <c r="A26" s="1863" t="s">
        <v>1533</v>
      </c>
      <c r="B26" s="1864"/>
      <c r="C26" s="1937" t="s">
        <v>2072</v>
      </c>
      <c r="D26" s="1937" t="s">
        <v>2072</v>
      </c>
      <c r="E26" s="1938"/>
      <c r="F26" s="1939" t="s">
        <v>2094</v>
      </c>
      <c r="H26" s="1878">
        <f t="shared" si="0"/>
        <v>5</v>
      </c>
      <c r="I26" s="1878">
        <f t="shared" si="1"/>
        <v>5</v>
      </c>
      <c r="J26" s="1878">
        <f t="shared" si="2"/>
        <v>0</v>
      </c>
    </row>
    <row r="27" spans="1:12" ht="18.75" x14ac:dyDescent="0.2">
      <c r="A27" s="1863" t="s">
        <v>1534</v>
      </c>
      <c r="B27" s="1864"/>
      <c r="C27" s="1937"/>
      <c r="D27" s="1937"/>
      <c r="E27" s="1938"/>
      <c r="F27" s="1939"/>
      <c r="H27" s="1878">
        <f t="shared" si="0"/>
        <v>0</v>
      </c>
      <c r="I27" s="1878">
        <f t="shared" si="1"/>
        <v>0</v>
      </c>
      <c r="J27" s="1878">
        <f t="shared" si="2"/>
        <v>0</v>
      </c>
    </row>
    <row r="28" spans="1:12" ht="12" customHeight="1" x14ac:dyDescent="0.2">
      <c r="A28" s="1863" t="s">
        <v>1535</v>
      </c>
      <c r="B28" s="1864"/>
      <c r="C28" s="1937"/>
      <c r="D28" s="1937"/>
      <c r="E28" s="1938"/>
      <c r="F28" s="1939"/>
      <c r="H28" s="1878">
        <f t="shared" si="0"/>
        <v>0</v>
      </c>
      <c r="I28" s="1878">
        <f t="shared" si="1"/>
        <v>0</v>
      </c>
      <c r="J28" s="1878">
        <f t="shared" si="2"/>
        <v>0</v>
      </c>
    </row>
    <row r="29" spans="1:12" ht="12" customHeight="1" x14ac:dyDescent="0.2">
      <c r="A29" s="1863" t="s">
        <v>1536</v>
      </c>
      <c r="B29" s="1864"/>
      <c r="C29" s="1937"/>
      <c r="D29" s="1937"/>
      <c r="E29" s="1938"/>
      <c r="F29" s="1939"/>
      <c r="H29" s="1878">
        <f t="shared" si="0"/>
        <v>0</v>
      </c>
      <c r="I29" s="1878">
        <f t="shared" si="1"/>
        <v>0</v>
      </c>
      <c r="J29" s="1878">
        <f t="shared" si="2"/>
        <v>0</v>
      </c>
    </row>
    <row r="30" spans="1:12" ht="12" customHeight="1" x14ac:dyDescent="0.2">
      <c r="A30" s="1863" t="s">
        <v>1537</v>
      </c>
      <c r="B30" s="1864"/>
      <c r="C30" s="1937" t="s">
        <v>2072</v>
      </c>
      <c r="D30" s="1937" t="s">
        <v>2072</v>
      </c>
      <c r="E30" s="1938"/>
      <c r="F30" s="1939" t="s">
        <v>2095</v>
      </c>
      <c r="H30" s="1878">
        <f t="shared" si="0"/>
        <v>5</v>
      </c>
      <c r="I30" s="1878">
        <f t="shared" si="1"/>
        <v>5</v>
      </c>
      <c r="J30" s="1878">
        <f t="shared" si="2"/>
        <v>0</v>
      </c>
    </row>
    <row r="31" spans="1:12" ht="12" customHeight="1" x14ac:dyDescent="0.2">
      <c r="A31" s="1863" t="s">
        <v>1538</v>
      </c>
      <c r="B31" s="1864"/>
      <c r="C31" s="1937" t="s">
        <v>2072</v>
      </c>
      <c r="D31" s="1937" t="s">
        <v>2072</v>
      </c>
      <c r="E31" s="1938"/>
      <c r="F31" s="1939" t="s">
        <v>2096</v>
      </c>
      <c r="H31" s="1878">
        <f t="shared" si="0"/>
        <v>5</v>
      </c>
      <c r="I31" s="1878">
        <f t="shared" si="1"/>
        <v>5</v>
      </c>
      <c r="J31" s="1878">
        <f t="shared" si="2"/>
        <v>0</v>
      </c>
      <c r="L31" s="1869"/>
    </row>
    <row r="32" spans="1:12" ht="12" customHeight="1" x14ac:dyDescent="0.2">
      <c r="A32" s="1863" t="s">
        <v>1539</v>
      </c>
      <c r="B32" s="1864"/>
      <c r="C32" s="1937" t="s">
        <v>2072</v>
      </c>
      <c r="D32" s="1937" t="s">
        <v>2072</v>
      </c>
      <c r="E32" s="1938"/>
      <c r="F32" s="1939" t="s">
        <v>2098</v>
      </c>
      <c r="H32" s="1878">
        <f t="shared" si="0"/>
        <v>5</v>
      </c>
      <c r="I32" s="1878">
        <f t="shared" si="1"/>
        <v>5</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1391</v>
      </c>
      <c r="B35" s="1872"/>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1390</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6"/>
      <c r="B43" s="2297"/>
      <c r="C43" s="2297"/>
      <c r="D43" s="2297"/>
      <c r="E43" s="2297"/>
      <c r="F43" s="2298"/>
      <c r="H43" s="1879"/>
      <c r="I43" s="1879"/>
      <c r="J43" s="1879"/>
      <c r="K43" s="1879"/>
    </row>
    <row r="44" spans="1:11" s="1870" customFormat="1" ht="12" hidden="1" customHeight="1" x14ac:dyDescent="0.25">
      <c r="A44" s="2296"/>
      <c r="B44" s="2297"/>
      <c r="C44" s="2297"/>
      <c r="D44" s="2297"/>
      <c r="E44" s="2297"/>
      <c r="F44" s="229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10" colorId="8" zoomScale="110"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3" t="str">
        <f>COVER!A17</f>
        <v>Minooka CHSD 111</v>
      </c>
      <c r="J6" s="2324"/>
      <c r="Q6" s="1664"/>
    </row>
    <row r="7" spans="1:17" x14ac:dyDescent="0.2">
      <c r="A7" s="2325" t="s">
        <v>868</v>
      </c>
      <c r="B7" s="2326"/>
      <c r="C7" s="2326"/>
      <c r="D7" s="2326"/>
      <c r="E7" s="2327"/>
      <c r="F7" s="1017"/>
      <c r="G7" s="1009"/>
      <c r="H7" s="1016" t="s">
        <v>371</v>
      </c>
      <c r="I7" s="2328">
        <f>COVER!A13</f>
        <v>24032111016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292397</v>
      </c>
      <c r="F12" s="1039"/>
      <c r="G12" s="1811">
        <f t="shared" ref="G12:G18" si="0">SUM(E12:F12)</f>
        <v>292397</v>
      </c>
      <c r="H12" s="1040">
        <v>304837</v>
      </c>
      <c r="I12" s="1039"/>
      <c r="J12" s="1811">
        <f t="shared" ref="J12:J18" si="1">SUM(H12:I12)</f>
        <v>304837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104114</v>
      </c>
      <c r="F14" s="1039"/>
      <c r="G14" s="1811">
        <f t="shared" si="0"/>
        <v>104114</v>
      </c>
      <c r="H14" s="1040">
        <v>109751</v>
      </c>
      <c r="I14" s="1039"/>
      <c r="J14" s="1811">
        <f t="shared" si="1"/>
        <v>109751</v>
      </c>
    </row>
    <row r="15" spans="1:17" ht="15" customHeight="1" x14ac:dyDescent="0.2">
      <c r="A15" s="1035">
        <v>4</v>
      </c>
      <c r="B15" s="1036" t="s">
        <v>1067</v>
      </c>
      <c r="C15" s="1037"/>
      <c r="D15" s="1038">
        <v>2510</v>
      </c>
      <c r="E15" s="1811">
        <f>'Expenditures 15-22'!K59</f>
        <v>66899</v>
      </c>
      <c r="F15" s="1811">
        <f>'Expenditures 15-22'!K122</f>
        <v>59747</v>
      </c>
      <c r="G15" s="1811">
        <f t="shared" si="0"/>
        <v>126646</v>
      </c>
      <c r="H15" s="1040">
        <v>70537</v>
      </c>
      <c r="I15" s="1040">
        <v>61950</v>
      </c>
      <c r="J15" s="1811">
        <f t="shared" si="1"/>
        <v>132487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463410</v>
      </c>
      <c r="F19" s="1813">
        <f t="shared" si="2"/>
        <v>59747</v>
      </c>
      <c r="G19" s="1813">
        <f t="shared" si="2"/>
        <v>523157</v>
      </c>
      <c r="H19" s="1813">
        <f t="shared" si="2"/>
        <v>485125</v>
      </c>
      <c r="I19" s="1813">
        <f t="shared" si="2"/>
        <v>61950</v>
      </c>
      <c r="J19" s="1813">
        <f t="shared" si="2"/>
        <v>547075</v>
      </c>
    </row>
    <row r="20" spans="1:10" ht="13.5" thickTop="1" x14ac:dyDescent="0.2">
      <c r="A20" s="1035">
        <v>9</v>
      </c>
      <c r="B20" s="2335" t="s">
        <v>1978</v>
      </c>
      <c r="C20" s="2335"/>
      <c r="D20" s="2336"/>
      <c r="E20" s="1046"/>
      <c r="F20" s="1046"/>
      <c r="G20" s="1046"/>
      <c r="H20" s="1046"/>
      <c r="I20" s="1046"/>
      <c r="J20" s="1814">
        <f>IF(AND(G19&gt;0,J19&gt;0),(((J19-G19)/G19)),"Enter Budget Data")</f>
        <v>4.5718589257144608E-2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1980</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2104</v>
      </c>
    </row>
    <row r="6" spans="1:2" x14ac:dyDescent="0.2">
      <c r="A6" s="1068">
        <v>2</v>
      </c>
      <c r="B6" s="329" t="s">
        <v>2099</v>
      </c>
    </row>
    <row r="7" spans="1:2" x14ac:dyDescent="0.2">
      <c r="A7" s="1068">
        <v>3</v>
      </c>
      <c r="B7" s="329" t="s">
        <v>2105</v>
      </c>
    </row>
    <row r="8" spans="1:2" x14ac:dyDescent="0.2">
      <c r="A8" s="1068">
        <v>4</v>
      </c>
      <c r="B8" s="329" t="s">
        <v>2100</v>
      </c>
    </row>
    <row r="9" spans="1:2" x14ac:dyDescent="0.2">
      <c r="A9" s="1068">
        <v>5</v>
      </c>
      <c r="B9" s="329" t="s">
        <v>2101</v>
      </c>
    </row>
    <row r="10" spans="1:2" x14ac:dyDescent="0.2">
      <c r="A10" s="1068">
        <v>6</v>
      </c>
      <c r="B10" s="329" t="s">
        <v>2108</v>
      </c>
    </row>
    <row r="11" spans="1:2" x14ac:dyDescent="0.2">
      <c r="A11" s="1068">
        <v>7</v>
      </c>
      <c r="B11" s="329" t="s">
        <v>2102</v>
      </c>
    </row>
    <row r="12" spans="1:2" x14ac:dyDescent="0.2">
      <c r="A12" s="1068">
        <v>8</v>
      </c>
      <c r="B12" s="329" t="s">
        <v>2109</v>
      </c>
    </row>
    <row r="13" spans="1:2" x14ac:dyDescent="0.2">
      <c r="A13" s="1068">
        <v>9</v>
      </c>
      <c r="B13" s="329" t="s">
        <v>2103</v>
      </c>
    </row>
    <row r="14" spans="1:2" x14ac:dyDescent="0.2">
      <c r="A14" s="1068">
        <v>10</v>
      </c>
      <c r="B14" s="329" t="s">
        <v>2106</v>
      </c>
    </row>
    <row r="15" spans="1:2" x14ac:dyDescent="0.2">
      <c r="A15" s="1068">
        <v>11</v>
      </c>
      <c r="B15" s="329" t="s">
        <v>2110</v>
      </c>
    </row>
    <row r="16" spans="1:2" x14ac:dyDescent="0.2">
      <c r="A16" s="1068">
        <v>12</v>
      </c>
      <c r="B16" s="329" t="s">
        <v>2107</v>
      </c>
    </row>
    <row r="17" spans="1:2" x14ac:dyDescent="0.2">
      <c r="A17" s="1068">
        <v>13</v>
      </c>
      <c r="B17" s="329" t="s">
        <v>2111</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Minooka CHSD 111</v>
      </c>
    </row>
    <row r="65" spans="2:2" x14ac:dyDescent="0.2">
      <c r="B65" s="1070">
        <f>COVER!A13</f>
        <v>24032111016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6" t="s">
        <v>1610</v>
      </c>
    </row>
    <row r="23" spans="1:5" x14ac:dyDescent="0.2">
      <c r="A23" s="168"/>
      <c r="B23" s="162" t="s">
        <v>1855</v>
      </c>
      <c r="D23" s="167" t="s">
        <v>636</v>
      </c>
      <c r="E23" s="1836"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8:F27"/>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8" spans="1:6" x14ac:dyDescent="0.2">
      <c r="B18" s="1071"/>
      <c r="C18" s="1071"/>
      <c r="D18" s="1071"/>
      <c r="E18" s="1071"/>
      <c r="F18" s="1071"/>
    </row>
    <row r="22" spans="1:6" x14ac:dyDescent="0.2">
      <c r="A22" s="1072" t="s">
        <v>1492</v>
      </c>
    </row>
    <row r="24" spans="1:6" x14ac:dyDescent="0.2">
      <c r="A24" s="389" t="s">
        <v>856</v>
      </c>
    </row>
    <row r="25" spans="1:6" s="1071" customFormat="1" ht="45" customHeight="1" x14ac:dyDescent="0.2">
      <c r="A25" s="1073"/>
      <c r="B25" s="1073" t="s">
        <v>1683</v>
      </c>
    </row>
    <row r="26" spans="1:6" ht="6" customHeight="1" x14ac:dyDescent="0.2"/>
    <row r="27" spans="1:6" ht="24.75" customHeight="1" x14ac:dyDescent="0.2">
      <c r="A27" s="2342" t="s">
        <v>1684</v>
      </c>
      <c r="B27" s="2342"/>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8">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8"/>
      </mc:Fallback>
    </mc:AlternateContent>
    <mc:AlternateContent xmlns:mc="http://schemas.openxmlformats.org/markup-compatibility/2006">
      <mc:Choice Requires="x14">
        <oleObject progId="AcroExch.Document.DC" dvAspect="DVASPECT_ICON" shapeId="50180" r:id="rId9">
          <objectPr defaultSize="0" r:id="rId7">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1984</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1985</v>
      </c>
      <c r="B4" s="2363"/>
      <c r="C4" s="2363"/>
      <c r="D4" s="2363"/>
      <c r="E4" s="2363"/>
      <c r="F4" s="2364"/>
      <c r="G4" s="1074"/>
      <c r="H4" s="1074"/>
    </row>
    <row r="5" spans="1:8" ht="14.25" customHeight="1" x14ac:dyDescent="0.2">
      <c r="A5" s="2365" t="s">
        <v>1981</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28243600</v>
      </c>
      <c r="C8" s="1815">
        <f>'Acct Summary 7-8'!D8</f>
        <v>3763088</v>
      </c>
      <c r="D8" s="1815">
        <f>'Acct Summary 7-8'!F8</f>
        <v>2943456</v>
      </c>
      <c r="E8" s="1815">
        <f>'Acct Summary 7-8'!I8</f>
        <v>1016820</v>
      </c>
      <c r="F8" s="1815">
        <f>SUM(B8:E8)</f>
        <v>35966964</v>
      </c>
    </row>
    <row r="9" spans="1:8" s="1079" customFormat="1" ht="14.25" customHeight="1" thickBot="1" x14ac:dyDescent="0.25">
      <c r="A9" s="1078" t="s">
        <v>1368</v>
      </c>
      <c r="B9" s="1816">
        <f>'Acct Summary 7-8'!C17</f>
        <v>27699133</v>
      </c>
      <c r="C9" s="1816">
        <f>'Acct Summary 7-8'!D17</f>
        <v>3898297</v>
      </c>
      <c r="D9" s="1816">
        <f>'Acct Summary 7-8'!F17</f>
        <v>2445719</v>
      </c>
      <c r="E9" s="1815"/>
      <c r="F9" s="1815">
        <f>SUM(B9:E9)</f>
        <v>34043149</v>
      </c>
    </row>
    <row r="10" spans="1:8" s="1079" customFormat="1" ht="14.25" thickTop="1" thickBot="1" x14ac:dyDescent="0.25">
      <c r="A10" s="1080" t="s">
        <v>1369</v>
      </c>
      <c r="B10" s="1817">
        <f>(B8-B9)</f>
        <v>544467</v>
      </c>
      <c r="C10" s="1817">
        <f>(C8-C9)</f>
        <v>-135209</v>
      </c>
      <c r="D10" s="1817">
        <f>(D8-D9)</f>
        <v>497737</v>
      </c>
      <c r="E10" s="1816">
        <f>(E8-E9)</f>
        <v>1016820</v>
      </c>
      <c r="F10" s="1818">
        <f>SUM(F8-F9)</f>
        <v>1923815</v>
      </c>
    </row>
    <row r="11" spans="1:8" s="1079" customFormat="1" ht="14.25" thickTop="1" thickBot="1" x14ac:dyDescent="0.25">
      <c r="A11" s="1081" t="s">
        <v>1982</v>
      </c>
      <c r="B11" s="1819">
        <f>'Acct Summary 7-8'!C81</f>
        <v>9281088</v>
      </c>
      <c r="C11" s="1819">
        <f>'Acct Summary 7-8'!D81</f>
        <v>3653164</v>
      </c>
      <c r="D11" s="1819">
        <f>'Acct Summary 7-8'!F81</f>
        <v>2971103</v>
      </c>
      <c r="E11" s="1819">
        <f>'Acct Summary 7-8'!I81</f>
        <v>13630584</v>
      </c>
      <c r="F11" s="1820">
        <f>SUM(B11:E11)</f>
        <v>29535939</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4"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24032111016</v>
      </c>
    </row>
    <row r="3" spans="1:2" x14ac:dyDescent="0.2">
      <c r="A3" t="s">
        <v>955</v>
      </c>
      <c r="B3" s="138" t="str">
        <f>COVER!A15</f>
        <v>Grundy, Will, Kendall</v>
      </c>
    </row>
    <row r="4" spans="1:2" x14ac:dyDescent="0.2">
      <c r="A4" t="s">
        <v>1006</v>
      </c>
      <c r="B4" s="138" t="str">
        <f>COVER!A17</f>
        <v>Minooka CHSD 111</v>
      </c>
    </row>
    <row r="5" spans="1:2" x14ac:dyDescent="0.2">
      <c r="A5" t="s">
        <v>703</v>
      </c>
      <c r="B5" s="138" t="str">
        <f>COVER!A38</f>
        <v>Kenneth Lee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066-005100</v>
      </c>
    </row>
    <row r="16" spans="1:2" x14ac:dyDescent="0.2">
      <c r="A16" t="s">
        <v>421</v>
      </c>
      <c r="B16" s="138" t="str">
        <f>COVER!T13</f>
        <v>Mack &amp; Associates, P.C.</v>
      </c>
    </row>
    <row r="17" spans="1:2" x14ac:dyDescent="0.2">
      <c r="A17" t="s">
        <v>883</v>
      </c>
      <c r="B17" s="138" t="str">
        <f>COVER!T15</f>
        <v>Tawnya Mack, CPA</v>
      </c>
    </row>
    <row r="18" spans="1:2" x14ac:dyDescent="0.2">
      <c r="A18" t="s">
        <v>1149</v>
      </c>
      <c r="B18" s="138" t="str">
        <f>COVER!T17</f>
        <v>116 E. Washington St., Suite One</v>
      </c>
    </row>
    <row r="19" spans="1:2" x14ac:dyDescent="0.2">
      <c r="A19" t="s">
        <v>885</v>
      </c>
      <c r="B19" s="138" t="str">
        <f>COVER!T25</f>
        <v>tmack@mackcpas.com</v>
      </c>
    </row>
    <row r="20" spans="1:2" x14ac:dyDescent="0.2">
      <c r="A20" t="s">
        <v>886</v>
      </c>
      <c r="B20" s="138" t="str">
        <f>COVER!T19</f>
        <v>Morris</v>
      </c>
    </row>
    <row r="21" spans="1:2" x14ac:dyDescent="0.2">
      <c r="A21" t="s">
        <v>478</v>
      </c>
      <c r="B21" s="138" t="str">
        <f>COVER!X19</f>
        <v>IL</v>
      </c>
    </row>
    <row r="22" spans="1:2" x14ac:dyDescent="0.2">
      <c r="A22" t="s">
        <v>887</v>
      </c>
      <c r="B22" s="138">
        <f>COVER!Z19</f>
        <v>60450</v>
      </c>
    </row>
    <row r="23" spans="1:2" x14ac:dyDescent="0.2">
      <c r="A23" t="s">
        <v>1151</v>
      </c>
      <c r="B23" s="138" t="str">
        <f>COVER!T21</f>
        <v>815-942-3306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7532301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2834</v>
      </c>
      <c r="D76" s="2" t="str">
        <f t="shared" si="0"/>
        <v>Error?</v>
      </c>
    </row>
    <row r="77" spans="1:4" x14ac:dyDescent="0.2">
      <c r="A77" s="5">
        <v>16</v>
      </c>
      <c r="B77" s="138">
        <f>'Assets-Liab 5-6'!C13</f>
        <v>9281088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5108688</v>
      </c>
      <c r="D92" s="2" t="str">
        <f t="shared" si="0"/>
        <v>Error?</v>
      </c>
    </row>
    <row r="93" spans="1:4" x14ac:dyDescent="0.2">
      <c r="A93" s="5">
        <v>32</v>
      </c>
      <c r="B93" s="138">
        <f>'Assets-Liab 5-6'!C41</f>
        <v>9281088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2940122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2514</v>
      </c>
      <c r="D108" s="2" t="str">
        <f t="shared" si="0"/>
        <v>Error?</v>
      </c>
    </row>
    <row r="109" spans="1:4" x14ac:dyDescent="0.2">
      <c r="A109" s="5">
        <v>48</v>
      </c>
      <c r="B109" s="138">
        <f>'Assets-Liab 5-6'!D13</f>
        <v>3653164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3653164</v>
      </c>
      <c r="D123" s="2" t="str">
        <f t="shared" si="0"/>
        <v>Error?</v>
      </c>
    </row>
    <row r="124" spans="1:4" x14ac:dyDescent="0.2">
      <c r="A124" s="5">
        <v>63</v>
      </c>
      <c r="B124" s="138">
        <f>'Assets-Liab 5-6'!D41</f>
        <v>3653164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4264584</v>
      </c>
      <c r="D129" s="2" t="str">
        <f t="shared" si="1"/>
        <v>Error?</v>
      </c>
    </row>
    <row r="130" spans="1:4" x14ac:dyDescent="0.2">
      <c r="A130" s="5">
        <v>69</v>
      </c>
      <c r="B130" s="138">
        <f>'Assets-Liab 5-6'!E12</f>
        <v>0</v>
      </c>
      <c r="D130" s="2" t="str">
        <f t="shared" si="1"/>
        <v>Error?</v>
      </c>
    </row>
    <row r="131" spans="1:4" x14ac:dyDescent="0.2">
      <c r="A131" s="5">
        <v>70</v>
      </c>
      <c r="B131" s="138">
        <f>'Assets-Liab 5-6'!E13</f>
        <v>5833819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5833819</v>
      </c>
      <c r="D140" s="2" t="str">
        <f t="shared" si="1"/>
        <v>Error?</v>
      </c>
    </row>
    <row r="141" spans="1:4" x14ac:dyDescent="0.2">
      <c r="A141" s="5">
        <v>80</v>
      </c>
      <c r="B141" s="138">
        <f>'Assets-Liab 5-6'!E41</f>
        <v>5833819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2856771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2512</v>
      </c>
      <c r="D156" s="2" t="str">
        <f t="shared" si="1"/>
        <v>Error?</v>
      </c>
    </row>
    <row r="157" spans="1:4" x14ac:dyDescent="0.2">
      <c r="A157" s="5">
        <v>96</v>
      </c>
      <c r="B157" s="138">
        <f>'Assets-Liab 5-6'!F13</f>
        <v>2971103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2971103</v>
      </c>
      <c r="D170" s="2" t="str">
        <f t="shared" si="1"/>
        <v>Error?</v>
      </c>
    </row>
    <row r="171" spans="1:4" x14ac:dyDescent="0.2">
      <c r="A171" s="5">
        <v>110</v>
      </c>
      <c r="B171" s="138">
        <f>'Assets-Liab 5-6'!F41</f>
        <v>2971103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320272</v>
      </c>
      <c r="D177" s="2" t="str">
        <f t="shared" si="1"/>
        <v>Error?</v>
      </c>
    </row>
    <row r="178" spans="1:4" x14ac:dyDescent="0.2">
      <c r="A178" s="10">
        <v>117</v>
      </c>
      <c r="D178" s="2" t="str">
        <f t="shared" si="1"/>
        <v>OK</v>
      </c>
    </row>
    <row r="179" spans="1:4" x14ac:dyDescent="0.2">
      <c r="A179" s="5">
        <v>118</v>
      </c>
      <c r="B179" s="138">
        <f>'Assets-Liab 5-6'!G12</f>
        <v>1202</v>
      </c>
      <c r="D179" s="2" t="str">
        <f t="shared" si="1"/>
        <v>Error?</v>
      </c>
    </row>
    <row r="180" spans="1:4" x14ac:dyDescent="0.2">
      <c r="A180" s="5">
        <v>119</v>
      </c>
      <c r="B180" s="138">
        <f>'Assets-Liab 5-6'!G13</f>
        <v>506397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-130233</v>
      </c>
      <c r="D189" s="2" t="str">
        <f t="shared" si="1"/>
        <v>Error?</v>
      </c>
    </row>
    <row r="190" spans="1:4" x14ac:dyDescent="0.2">
      <c r="A190" s="5">
        <v>129</v>
      </c>
      <c r="B190" s="138">
        <f>'Assets-Liab 5-6'!G41</f>
        <v>506397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1416824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11198824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11198824</v>
      </c>
      <c r="D212" s="2" t="str">
        <f t="shared" si="2"/>
        <v>Error?</v>
      </c>
    </row>
    <row r="213" spans="1:4" x14ac:dyDescent="0.2">
      <c r="A213" s="12">
        <v>152</v>
      </c>
      <c r="B213" s="138">
        <f>'Assets-Liab 5-6'!H41</f>
        <v>11198824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5855792</v>
      </c>
      <c r="D273" s="2" t="str">
        <f t="shared" si="3"/>
        <v>Error?</v>
      </c>
    </row>
    <row r="274" spans="1:4" x14ac:dyDescent="0.2">
      <c r="A274" s="5">
        <v>213</v>
      </c>
      <c r="B274" s="138">
        <f>'Assets-Liab 5-6'!M17</f>
        <v>92486597</v>
      </c>
      <c r="D274" s="2" t="str">
        <f t="shared" si="3"/>
        <v>Error?</v>
      </c>
    </row>
    <row r="275" spans="1:4" x14ac:dyDescent="0.2">
      <c r="A275" s="5">
        <v>214</v>
      </c>
      <c r="B275" s="138">
        <f>'Assets-Liab 5-6'!M18</f>
        <v>3917364</v>
      </c>
      <c r="D275" s="2" t="str">
        <f t="shared" si="3"/>
        <v>Error?</v>
      </c>
    </row>
    <row r="276" spans="1:4" x14ac:dyDescent="0.2">
      <c r="A276" s="5">
        <v>215</v>
      </c>
      <c r="B276" s="138">
        <f>'Assets-Liab 5-6'!M19</f>
        <v>13446277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117404818</v>
      </c>
      <c r="C279" s="2" t="s">
        <v>572</v>
      </c>
      <c r="D279" s="2" t="str">
        <f t="shared" si="3"/>
        <v>Error?</v>
      </c>
    </row>
    <row r="280" spans="1:4" x14ac:dyDescent="0.2">
      <c r="A280" s="5">
        <v>219</v>
      </c>
      <c r="B280" s="138">
        <f>'Assets-Liab 5-6'!M40</f>
        <v>117404818</v>
      </c>
      <c r="D280" s="2" t="str">
        <f t="shared" si="3"/>
        <v>Error?</v>
      </c>
    </row>
    <row r="281" spans="1:4" x14ac:dyDescent="0.2">
      <c r="A281" s="5">
        <v>220</v>
      </c>
      <c r="B281" s="138">
        <f>'Assets-Liab 5-6'!M41</f>
        <v>117404818</v>
      </c>
      <c r="C281" s="2" t="s">
        <v>572</v>
      </c>
      <c r="D281" s="2" t="str">
        <f t="shared" si="3"/>
        <v>Error?</v>
      </c>
    </row>
    <row r="282" spans="1:4" x14ac:dyDescent="0.2">
      <c r="A282" s="5">
        <v>221</v>
      </c>
      <c r="B282" s="138">
        <f>'Assets-Liab 5-6'!N21</f>
        <v>5833819</v>
      </c>
      <c r="D282" s="2" t="str">
        <f t="shared" si="3"/>
        <v>Error?</v>
      </c>
    </row>
    <row r="283" spans="1:4" x14ac:dyDescent="0.2">
      <c r="A283" s="5">
        <v>222</v>
      </c>
      <c r="B283" s="138">
        <f>'Assets-Liab 5-6'!N22</f>
        <v>57846181</v>
      </c>
      <c r="D283" s="2" t="str">
        <f t="shared" si="3"/>
        <v>Error?</v>
      </c>
    </row>
    <row r="284" spans="1:4" x14ac:dyDescent="0.2">
      <c r="A284" s="5">
        <v>223</v>
      </c>
      <c r="B284" s="138">
        <f>'Assets-Liab 5-6'!N23</f>
        <v>63680000</v>
      </c>
      <c r="C284" s="2" t="s">
        <v>572</v>
      </c>
      <c r="D284" s="2" t="str">
        <f t="shared" si="3"/>
        <v>Error?</v>
      </c>
    </row>
    <row r="285" spans="1:4" x14ac:dyDescent="0.2">
      <c r="A285" s="5">
        <v>224</v>
      </c>
      <c r="B285" s="138">
        <f>'Assets-Liab 5-6'!N36</f>
        <v>63680000</v>
      </c>
      <c r="D285" s="2" t="str">
        <f t="shared" si="3"/>
        <v>Error?</v>
      </c>
    </row>
    <row r="286" spans="1:4" x14ac:dyDescent="0.2">
      <c r="A286" s="10">
        <v>225</v>
      </c>
      <c r="D286" s="2" t="str">
        <f t="shared" si="3"/>
        <v>OK</v>
      </c>
    </row>
    <row r="287" spans="1:4" x14ac:dyDescent="0.2">
      <c r="A287" s="5">
        <v>226</v>
      </c>
      <c r="B287" s="138">
        <f>'Assets-Liab 5-6'!N37</f>
        <v>63680000</v>
      </c>
      <c r="C287" s="2" t="s">
        <v>572</v>
      </c>
      <c r="D287" s="2" t="str">
        <f t="shared" si="3"/>
        <v>Error?</v>
      </c>
    </row>
    <row r="288" spans="1:4" x14ac:dyDescent="0.2">
      <c r="A288" s="5">
        <v>227</v>
      </c>
      <c r="B288" s="138">
        <f>'Assets-Liab 5-6'!N41</f>
        <v>63680000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342884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10063070</v>
      </c>
      <c r="D651" s="2" t="str">
        <f t="shared" si="9"/>
        <v>Error?</v>
      </c>
    </row>
    <row r="652" spans="1:4" x14ac:dyDescent="0.2">
      <c r="A652" s="5">
        <v>591</v>
      </c>
      <c r="B652" s="138">
        <f>'Acct Summary 7-8'!I34</f>
        <v>1136930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8733742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1062819</v>
      </c>
      <c r="D717" s="2" t="str">
        <f t="shared" si="10"/>
        <v>Error?</v>
      </c>
    </row>
    <row r="718" spans="1:4" x14ac:dyDescent="0.2">
      <c r="A718" s="5">
        <v>657</v>
      </c>
      <c r="B718" s="138">
        <f>'Expenditures 15-22'!C14</f>
        <v>1288177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12994519</v>
      </c>
      <c r="C720" s="2" t="s">
        <v>572</v>
      </c>
      <c r="D720" s="2" t="str">
        <f t="shared" si="10"/>
        <v>Error?</v>
      </c>
    </row>
    <row r="721" spans="1:4" x14ac:dyDescent="0.2">
      <c r="A721" s="5">
        <v>660</v>
      </c>
      <c r="B721" s="138">
        <f>'Expenditures 15-22'!C36</f>
        <v>170807</v>
      </c>
      <c r="D721" s="2" t="str">
        <f t="shared" si="10"/>
        <v>Error?</v>
      </c>
    </row>
    <row r="722" spans="1:4" x14ac:dyDescent="0.2">
      <c r="A722" s="5">
        <v>661</v>
      </c>
      <c r="B722" s="138">
        <f>'Expenditures 15-22'!C37</f>
        <v>638629</v>
      </c>
      <c r="D722" s="2" t="str">
        <f t="shared" si="10"/>
        <v>Error?</v>
      </c>
    </row>
    <row r="723" spans="1:4" x14ac:dyDescent="0.2">
      <c r="A723" s="5">
        <v>662</v>
      </c>
      <c r="B723" s="138">
        <f>'Expenditures 15-22'!C38</f>
        <v>75043</v>
      </c>
      <c r="D723" s="2" t="str">
        <f t="shared" si="10"/>
        <v>Error?</v>
      </c>
    </row>
    <row r="724" spans="1:4" x14ac:dyDescent="0.2">
      <c r="A724" s="5">
        <v>663</v>
      </c>
      <c r="B724" s="138">
        <f>'Expenditures 15-22'!C39</f>
        <v>71045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187780</v>
      </c>
      <c r="D726" s="2" t="str">
        <f t="shared" si="10"/>
        <v>Error?</v>
      </c>
    </row>
    <row r="727" spans="1:4" x14ac:dyDescent="0.2">
      <c r="A727" s="5">
        <v>666</v>
      </c>
      <c r="B727" s="138">
        <f>'Expenditures 15-22'!C42</f>
        <v>1143304</v>
      </c>
      <c r="C727" s="2" t="s">
        <v>572</v>
      </c>
      <c r="D727" s="2" t="str">
        <f t="shared" si="10"/>
        <v>Error?</v>
      </c>
    </row>
    <row r="728" spans="1:4" x14ac:dyDescent="0.2">
      <c r="A728" s="5">
        <v>667</v>
      </c>
      <c r="B728" s="138">
        <f>'Expenditures 15-22'!C44</f>
        <v>155967</v>
      </c>
      <c r="D728" s="2" t="str">
        <f t="shared" si="10"/>
        <v>Error?</v>
      </c>
    </row>
    <row r="729" spans="1:4" x14ac:dyDescent="0.2">
      <c r="A729" s="5">
        <v>668</v>
      </c>
      <c r="B729" s="138">
        <f>'Expenditures 15-22'!C45</f>
        <v>389181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545148</v>
      </c>
      <c r="C731" s="2" t="s">
        <v>572</v>
      </c>
      <c r="D731" s="2" t="str">
        <f t="shared" si="10"/>
        <v>Error?</v>
      </c>
    </row>
    <row r="732" spans="1:4" x14ac:dyDescent="0.2">
      <c r="A732" s="5">
        <v>671</v>
      </c>
      <c r="B732" s="138">
        <f>'Expenditures 15-22'!C49</f>
        <v>2415</v>
      </c>
      <c r="D732" s="2" t="str">
        <f t="shared" si="10"/>
        <v>Error?</v>
      </c>
    </row>
    <row r="733" spans="1:4" x14ac:dyDescent="0.2">
      <c r="A733" s="5">
        <v>672</v>
      </c>
      <c r="B733" s="138">
        <f>'Expenditures 15-22'!C50</f>
        <v>251453</v>
      </c>
      <c r="D733" s="2" t="str">
        <f t="shared" si="10"/>
        <v>Error?</v>
      </c>
    </row>
    <row r="734" spans="1:4" x14ac:dyDescent="0.2">
      <c r="A734" s="5">
        <v>673</v>
      </c>
      <c r="B734" s="138">
        <f>'Expenditures 15-22'!C53</f>
        <v>253868</v>
      </c>
      <c r="C734" s="2" t="s">
        <v>572</v>
      </c>
      <c r="D734" s="2" t="str">
        <f t="shared" si="10"/>
        <v>Error?</v>
      </c>
    </row>
    <row r="735" spans="1:4" x14ac:dyDescent="0.2">
      <c r="A735" s="5">
        <v>674</v>
      </c>
      <c r="B735" s="138">
        <f>'Expenditures 15-22'!C55</f>
        <v>716442</v>
      </c>
      <c r="D735" s="2" t="str">
        <f t="shared" si="10"/>
        <v>Error?</v>
      </c>
    </row>
    <row r="736" spans="1:4" x14ac:dyDescent="0.2">
      <c r="A736" s="5">
        <v>675</v>
      </c>
      <c r="B736" s="138">
        <f>'Expenditures 15-22'!C56</f>
        <v>65117</v>
      </c>
      <c r="D736" s="2" t="str">
        <f t="shared" si="10"/>
        <v>Error?</v>
      </c>
    </row>
    <row r="737" spans="1:4" x14ac:dyDescent="0.2">
      <c r="A737" s="5">
        <v>676</v>
      </c>
      <c r="B737" s="138">
        <f>'Expenditures 15-22'!C57</f>
        <v>781559</v>
      </c>
      <c r="C737" s="2" t="s">
        <v>572</v>
      </c>
      <c r="D737" s="2" t="str">
        <f t="shared" si="10"/>
        <v>Error?</v>
      </c>
    </row>
    <row r="738" spans="1:4" x14ac:dyDescent="0.2">
      <c r="A738" s="5">
        <v>677</v>
      </c>
      <c r="B738" s="138">
        <f>'Expenditures 15-22'!C59</f>
        <v>52285</v>
      </c>
      <c r="D738" s="2" t="str">
        <f t="shared" si="10"/>
        <v>Error?</v>
      </c>
    </row>
    <row r="739" spans="1:4" x14ac:dyDescent="0.2">
      <c r="A739" s="5">
        <v>678</v>
      </c>
      <c r="B739" s="138">
        <f>'Expenditures 15-22'!C60</f>
        <v>134333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186618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83533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83533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2994030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15988549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2842729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357317</v>
      </c>
      <c r="D775" s="2" t="str">
        <f t="shared" si="11"/>
        <v>Error?</v>
      </c>
    </row>
    <row r="776" spans="1:4" x14ac:dyDescent="0.2">
      <c r="A776" s="5">
        <v>715</v>
      </c>
      <c r="B776" s="138">
        <f>'Expenditures 15-22'!D14</f>
        <v>326078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4079708</v>
      </c>
      <c r="C778" s="2" t="s">
        <v>572</v>
      </c>
      <c r="D778" s="2" t="str">
        <f t="shared" si="11"/>
        <v>Error?</v>
      </c>
    </row>
    <row r="779" spans="1:4" x14ac:dyDescent="0.2">
      <c r="A779" s="5">
        <v>718</v>
      </c>
      <c r="B779" s="138">
        <f>'Expenditures 15-22'!D36</f>
        <v>49636</v>
      </c>
      <c r="D779" s="2" t="str">
        <f t="shared" si="11"/>
        <v>Error?</v>
      </c>
    </row>
    <row r="780" spans="1:4" x14ac:dyDescent="0.2">
      <c r="A780" s="5">
        <v>719</v>
      </c>
      <c r="B780" s="138">
        <f>'Expenditures 15-22'!D37</f>
        <v>184728</v>
      </c>
      <c r="D780" s="2" t="str">
        <f t="shared" si="11"/>
        <v>Error?</v>
      </c>
    </row>
    <row r="781" spans="1:4" x14ac:dyDescent="0.2">
      <c r="A781" s="5">
        <v>720</v>
      </c>
      <c r="B781" s="138">
        <f>'Expenditures 15-22'!D38</f>
        <v>7328</v>
      </c>
      <c r="D781" s="2" t="str">
        <f t="shared" si="11"/>
        <v>Error?</v>
      </c>
    </row>
    <row r="782" spans="1:4" x14ac:dyDescent="0.2">
      <c r="A782" s="5">
        <v>721</v>
      </c>
      <c r="B782" s="138">
        <f>'Expenditures 15-22'!D39</f>
        <v>9040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17070</v>
      </c>
      <c r="D784" s="2" t="str">
        <f t="shared" si="11"/>
        <v>Error?</v>
      </c>
    </row>
    <row r="785" spans="1:4" x14ac:dyDescent="0.2">
      <c r="A785" s="5">
        <v>724</v>
      </c>
      <c r="B785" s="138">
        <f>'Expenditures 15-22'!D42</f>
        <v>267802</v>
      </c>
      <c r="C785" s="2" t="s">
        <v>572</v>
      </c>
      <c r="D785" s="2" t="str">
        <f t="shared" si="11"/>
        <v>Error?</v>
      </c>
    </row>
    <row r="786" spans="1:4" x14ac:dyDescent="0.2">
      <c r="A786" s="5">
        <v>725</v>
      </c>
      <c r="B786" s="138">
        <f>'Expenditures 15-22'!D44</f>
        <v>34835</v>
      </c>
      <c r="D786" s="2" t="str">
        <f t="shared" si="11"/>
        <v>Error?</v>
      </c>
    </row>
    <row r="787" spans="1:4" x14ac:dyDescent="0.2">
      <c r="A787" s="5">
        <v>726</v>
      </c>
      <c r="B787" s="138">
        <f>'Expenditures 15-22'!D45</f>
        <v>100766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135601</v>
      </c>
      <c r="C789" s="2" t="s">
        <v>572</v>
      </c>
      <c r="D789" s="2" t="str">
        <f t="shared" si="11"/>
        <v>Error?</v>
      </c>
    </row>
    <row r="790" spans="1:4" x14ac:dyDescent="0.2">
      <c r="A790" s="5">
        <v>729</v>
      </c>
      <c r="B790" s="138">
        <f>'Expenditures 15-22'!D49</f>
        <v>6232</v>
      </c>
      <c r="D790" s="2" t="str">
        <f t="shared" si="11"/>
        <v>Error?</v>
      </c>
    </row>
    <row r="791" spans="1:4" x14ac:dyDescent="0.2">
      <c r="A791" s="5">
        <v>730</v>
      </c>
      <c r="B791" s="138">
        <f>'Expenditures 15-22'!D50</f>
        <v>34569</v>
      </c>
      <c r="D791" s="2" t="str">
        <f t="shared" si="11"/>
        <v>Error?</v>
      </c>
    </row>
    <row r="792" spans="1:4" x14ac:dyDescent="0.2">
      <c r="A792" s="5">
        <v>731</v>
      </c>
      <c r="B792" s="138">
        <f>'Expenditures 15-22'!D53</f>
        <v>40801</v>
      </c>
      <c r="C792" s="2" t="s">
        <v>572</v>
      </c>
      <c r="D792" s="2" t="str">
        <f t="shared" si="11"/>
        <v>Error?</v>
      </c>
    </row>
    <row r="793" spans="1:4" x14ac:dyDescent="0.2">
      <c r="A793" s="5">
        <v>732</v>
      </c>
      <c r="B793" s="138">
        <f>'Expenditures 15-22'!D55</f>
        <v>184306</v>
      </c>
      <c r="D793" s="2" t="str">
        <f t="shared" si="11"/>
        <v>Error?</v>
      </c>
    </row>
    <row r="794" spans="1:4" x14ac:dyDescent="0.2">
      <c r="A794" s="5">
        <v>733</v>
      </c>
      <c r="B794" s="138">
        <f>'Expenditures 15-22'!D56</f>
        <v>35958</v>
      </c>
      <c r="D794" s="2" t="str">
        <f t="shared" si="11"/>
        <v>Error?</v>
      </c>
    </row>
    <row r="795" spans="1:4" x14ac:dyDescent="0.2">
      <c r="A795" s="5">
        <v>734</v>
      </c>
      <c r="B795" s="138">
        <f>'Expenditures 15-22'!D57</f>
        <v>220264</v>
      </c>
      <c r="C795" s="2" t="s">
        <v>572</v>
      </c>
      <c r="D795" s="2" t="str">
        <f t="shared" si="11"/>
        <v>Error?</v>
      </c>
    </row>
    <row r="796" spans="1:4" x14ac:dyDescent="0.2">
      <c r="A796" s="5">
        <v>735</v>
      </c>
      <c r="B796" s="138">
        <f>'Expenditures 15-22'!D59</f>
        <v>10878</v>
      </c>
      <c r="D796" s="2" t="str">
        <f t="shared" si="11"/>
        <v>Error?</v>
      </c>
    </row>
    <row r="797" spans="1:4" x14ac:dyDescent="0.2">
      <c r="A797" s="5">
        <v>736</v>
      </c>
      <c r="B797" s="138">
        <f>'Expenditures 15-22'!D60</f>
        <v>14363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25241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22955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22955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712664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4792372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41629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44620</v>
      </c>
      <c r="D833" s="2" t="str">
        <f t="shared" si="12"/>
        <v>Error?</v>
      </c>
    </row>
    <row r="834" spans="1:4" x14ac:dyDescent="0.2">
      <c r="A834" s="5">
        <v>773</v>
      </c>
      <c r="B834" s="138">
        <f>'Expenditures 15-22'!E14</f>
        <v>254523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402745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7209</v>
      </c>
      <c r="D838" s="2" t="str">
        <f t="shared" si="12"/>
        <v>Error?</v>
      </c>
    </row>
    <row r="839" spans="1:4" x14ac:dyDescent="0.2">
      <c r="A839" s="5">
        <v>778</v>
      </c>
      <c r="B839" s="138">
        <f>'Expenditures 15-22'!E38</f>
        <v>323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12</v>
      </c>
      <c r="D842" s="2" t="str">
        <f t="shared" si="12"/>
        <v>Error?</v>
      </c>
    </row>
    <row r="843" spans="1:4" x14ac:dyDescent="0.2">
      <c r="A843" s="5">
        <v>782</v>
      </c>
      <c r="B843" s="138">
        <f>'Expenditures 15-22'!E42</f>
        <v>7544</v>
      </c>
      <c r="C843" s="2" t="s">
        <v>572</v>
      </c>
      <c r="D843" s="2" t="str">
        <f t="shared" si="12"/>
        <v>Error?</v>
      </c>
    </row>
    <row r="844" spans="1:4" x14ac:dyDescent="0.2">
      <c r="A844" s="5">
        <v>783</v>
      </c>
      <c r="B844" s="138">
        <f>'Expenditures 15-22'!E44</f>
        <v>169773</v>
      </c>
      <c r="D844" s="2" t="str">
        <f t="shared" si="12"/>
        <v>Error?</v>
      </c>
    </row>
    <row r="845" spans="1:4" x14ac:dyDescent="0.2">
      <c r="A845" s="5">
        <v>784</v>
      </c>
      <c r="B845" s="138">
        <f>'Expenditures 15-22'!E45</f>
        <v>116637</v>
      </c>
      <c r="D845" s="2" t="str">
        <f t="shared" si="12"/>
        <v>Error?</v>
      </c>
    </row>
    <row r="846" spans="1:4" x14ac:dyDescent="0.2">
      <c r="A846" s="5">
        <v>785</v>
      </c>
      <c r="B846" s="138">
        <f>'Expenditures 15-22'!E46</f>
        <v>36285</v>
      </c>
      <c r="D846" s="2" t="str">
        <f t="shared" si="12"/>
        <v>Error?</v>
      </c>
    </row>
    <row r="847" spans="1:4" x14ac:dyDescent="0.2">
      <c r="A847" s="5">
        <v>786</v>
      </c>
      <c r="B847" s="138">
        <f>'Expenditures 15-22'!E47</f>
        <v>322695</v>
      </c>
      <c r="C847" s="2" t="s">
        <v>572</v>
      </c>
      <c r="D847" s="2" t="str">
        <f t="shared" si="12"/>
        <v>Error?</v>
      </c>
    </row>
    <row r="848" spans="1:4" x14ac:dyDescent="0.2">
      <c r="A848" s="5">
        <v>787</v>
      </c>
      <c r="B848" s="138">
        <f>'Expenditures 15-22'!E49</f>
        <v>72445</v>
      </c>
      <c r="D848" s="2" t="str">
        <f t="shared" si="12"/>
        <v>Error?</v>
      </c>
    </row>
    <row r="849" spans="1:4" x14ac:dyDescent="0.2">
      <c r="A849" s="5">
        <v>788</v>
      </c>
      <c r="B849" s="138">
        <f>'Expenditures 15-22'!E50</f>
        <v>1573</v>
      </c>
      <c r="D849" s="2" t="str">
        <f t="shared" si="12"/>
        <v>Error?</v>
      </c>
    </row>
    <row r="850" spans="1:4" x14ac:dyDescent="0.2">
      <c r="A850" s="5">
        <v>789</v>
      </c>
      <c r="B850" s="138">
        <f>'Expenditures 15-22'!E53</f>
        <v>74018</v>
      </c>
      <c r="C850" s="2" t="s">
        <v>572</v>
      </c>
      <c r="D850" s="2" t="str">
        <f t="shared" si="12"/>
        <v>Error?</v>
      </c>
    </row>
    <row r="851" spans="1:4" x14ac:dyDescent="0.2">
      <c r="A851" s="5">
        <v>790</v>
      </c>
      <c r="B851" s="138">
        <f>'Expenditures 15-22'!E55</f>
        <v>49145</v>
      </c>
      <c r="D851" s="2" t="str">
        <f t="shared" si="12"/>
        <v>Error?</v>
      </c>
    </row>
    <row r="852" spans="1:4" x14ac:dyDescent="0.2">
      <c r="A852" s="5">
        <v>791</v>
      </c>
      <c r="B852" s="138">
        <f>'Expenditures 15-22'!E56</f>
        <v>635</v>
      </c>
      <c r="D852" s="2" t="str">
        <f t="shared" si="12"/>
        <v>Error?</v>
      </c>
    </row>
    <row r="853" spans="1:4" x14ac:dyDescent="0.2">
      <c r="A853" s="5">
        <v>792</v>
      </c>
      <c r="B853" s="138">
        <f>'Expenditures 15-22'!E57</f>
        <v>49780</v>
      </c>
      <c r="C853" s="2" t="s">
        <v>572</v>
      </c>
      <c r="D853" s="2" t="str">
        <f t="shared" si="12"/>
        <v>Error?</v>
      </c>
    </row>
    <row r="854" spans="1:4" x14ac:dyDescent="0.2">
      <c r="A854" s="5">
        <v>793</v>
      </c>
      <c r="B854" s="138">
        <f>'Expenditures 15-22'!E59</f>
        <v>28</v>
      </c>
      <c r="D854" s="2" t="str">
        <f t="shared" si="12"/>
        <v>Error?</v>
      </c>
    </row>
    <row r="855" spans="1:4" x14ac:dyDescent="0.2">
      <c r="A855" s="5">
        <v>794</v>
      </c>
      <c r="B855" s="138">
        <f>'Expenditures 15-22'!E60</f>
        <v>15492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940951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956471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228863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228863</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1639371</v>
      </c>
      <c r="C871" s="2" t="s">
        <v>572</v>
      </c>
      <c r="D871" s="2" t="str">
        <f t="shared" si="12"/>
        <v>Error?</v>
      </c>
    </row>
    <row r="872" spans="1:4" x14ac:dyDescent="0.2">
      <c r="A872" s="5">
        <v>811</v>
      </c>
      <c r="B872" s="138">
        <f>'Expenditures 15-22'!E75</f>
        <v>680</v>
      </c>
      <c r="D872" s="2" t="str">
        <f t="shared" si="12"/>
        <v>Error?</v>
      </c>
    </row>
    <row r="873" spans="1:4" x14ac:dyDescent="0.2">
      <c r="A873" s="5">
        <v>812</v>
      </c>
      <c r="B873" s="138">
        <f>'Expenditures 15-22'!E114</f>
        <v>2042796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248145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104905</v>
      </c>
      <c r="D891" s="2" t="str">
        <f t="shared" si="12"/>
        <v>Error?</v>
      </c>
    </row>
    <row r="892" spans="1:4" x14ac:dyDescent="0.2">
      <c r="A892" s="5">
        <v>831</v>
      </c>
      <c r="B892" s="138">
        <f>'Expenditures 15-22'!F14</f>
        <v>156232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540411</v>
      </c>
      <c r="C894" s="2" t="s">
        <v>572</v>
      </c>
      <c r="D894" s="2" t="str">
        <f t="shared" si="12"/>
        <v>Error?</v>
      </c>
    </row>
    <row r="895" spans="1:4" x14ac:dyDescent="0.2">
      <c r="A895" s="5">
        <v>834</v>
      </c>
      <c r="B895" s="138">
        <f>'Expenditures 15-22'!F36</f>
        <v>2224</v>
      </c>
      <c r="D895" s="2" t="str">
        <f t="shared" ref="D895:D958" si="13">IF(ISBLANK(B895),"OK",IF(A895-B895=0,"OK","Error?"))</f>
        <v>Error?</v>
      </c>
    </row>
    <row r="896" spans="1:4" x14ac:dyDescent="0.2">
      <c r="A896" s="5">
        <v>835</v>
      </c>
      <c r="B896" s="138">
        <f>'Expenditures 15-22'!F37</f>
        <v>950</v>
      </c>
      <c r="D896" s="2" t="str">
        <f t="shared" si="13"/>
        <v>Error?</v>
      </c>
    </row>
    <row r="897" spans="1:4" x14ac:dyDescent="0.2">
      <c r="A897" s="5">
        <v>836</v>
      </c>
      <c r="B897" s="138">
        <f>'Expenditures 15-22'!F38</f>
        <v>7698</v>
      </c>
      <c r="D897" s="2" t="str">
        <f t="shared" si="13"/>
        <v>Error?</v>
      </c>
    </row>
    <row r="898" spans="1:4" x14ac:dyDescent="0.2">
      <c r="A898" s="5">
        <v>837</v>
      </c>
      <c r="B898" s="138">
        <f>'Expenditures 15-22'!F39</f>
        <v>1098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585</v>
      </c>
      <c r="D900" s="2" t="str">
        <f t="shared" si="13"/>
        <v>Error?</v>
      </c>
    </row>
    <row r="901" spans="1:4" x14ac:dyDescent="0.2">
      <c r="A901" s="5">
        <v>840</v>
      </c>
      <c r="B901" s="138">
        <f>'Expenditures 15-22'!F42</f>
        <v>12555</v>
      </c>
      <c r="C901" s="2" t="s">
        <v>572</v>
      </c>
      <c r="D901" s="2" t="str">
        <f t="shared" si="13"/>
        <v>Error?</v>
      </c>
    </row>
    <row r="902" spans="1:4" x14ac:dyDescent="0.2">
      <c r="A902" s="5">
        <v>841</v>
      </c>
      <c r="B902" s="138">
        <f>'Expenditures 15-22'!F44</f>
        <v>23749</v>
      </c>
      <c r="D902" s="2" t="str">
        <f t="shared" si="13"/>
        <v>Error?</v>
      </c>
    </row>
    <row r="903" spans="1:4" x14ac:dyDescent="0.2">
      <c r="A903" s="5">
        <v>842</v>
      </c>
      <c r="B903" s="138">
        <f>'Expenditures 15-22'!F45</f>
        <v>182657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206406</v>
      </c>
      <c r="C905" s="2" t="s">
        <v>572</v>
      </c>
      <c r="D905" s="2" t="str">
        <f t="shared" si="13"/>
        <v>Error?</v>
      </c>
    </row>
    <row r="906" spans="1:4" x14ac:dyDescent="0.2">
      <c r="A906" s="5">
        <v>845</v>
      </c>
      <c r="B906" s="138">
        <f>'Expenditures 15-22'!F49</f>
        <v>10593</v>
      </c>
      <c r="D906" s="2" t="str">
        <f t="shared" si="13"/>
        <v>Error?</v>
      </c>
    </row>
    <row r="907" spans="1:4" x14ac:dyDescent="0.2">
      <c r="A907" s="5">
        <v>846</v>
      </c>
      <c r="B907" s="138">
        <f>'Expenditures 15-22'!F50</f>
        <v>532</v>
      </c>
      <c r="D907" s="2" t="str">
        <f t="shared" si="13"/>
        <v>Error?</v>
      </c>
    </row>
    <row r="908" spans="1:4" x14ac:dyDescent="0.2">
      <c r="A908" s="5">
        <v>847</v>
      </c>
      <c r="B908" s="138">
        <f>'Expenditures 15-22'!F53</f>
        <v>11125</v>
      </c>
      <c r="C908" s="2" t="s">
        <v>572</v>
      </c>
      <c r="D908" s="2" t="str">
        <f t="shared" si="13"/>
        <v>Error?</v>
      </c>
    </row>
    <row r="909" spans="1:4" x14ac:dyDescent="0.2">
      <c r="A909" s="5">
        <v>848</v>
      </c>
      <c r="B909" s="138">
        <f>'Expenditures 15-22'!F55</f>
        <v>44810</v>
      </c>
      <c r="D909" s="2" t="str">
        <f t="shared" si="13"/>
        <v>Error?</v>
      </c>
    </row>
    <row r="910" spans="1:4" x14ac:dyDescent="0.2">
      <c r="A910" s="5">
        <v>849</v>
      </c>
      <c r="B910" s="138">
        <f>'Expenditures 15-22'!F56</f>
        <v>2404</v>
      </c>
      <c r="D910" s="2" t="str">
        <f t="shared" si="13"/>
        <v>Error?</v>
      </c>
    </row>
    <row r="911" spans="1:4" x14ac:dyDescent="0.2">
      <c r="A911" s="5">
        <v>850</v>
      </c>
      <c r="B911" s="138">
        <f>'Expenditures 15-22'!F57</f>
        <v>47214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1708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29832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29832</v>
      </c>
      <c r="C927" s="2" t="s">
        <v>572</v>
      </c>
      <c r="D927" s="2" t="str">
        <f t="shared" si="13"/>
        <v>Error?</v>
      </c>
    </row>
    <row r="928" spans="1:4" x14ac:dyDescent="0.2">
      <c r="A928" s="5">
        <v>867</v>
      </c>
      <c r="B928" s="138">
        <f>'Expenditures 15-22'!F73</f>
        <v>1000</v>
      </c>
      <c r="D928" s="2" t="str">
        <f t="shared" si="13"/>
        <v>Error?</v>
      </c>
    </row>
    <row r="929" spans="1:4" x14ac:dyDescent="0.2">
      <c r="A929" s="5">
        <v>868</v>
      </c>
      <c r="B929" s="138">
        <f>'Expenditures 15-22'!F74</f>
        <v>309840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850251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21655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6595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87048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201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201</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28071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28071</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28272</v>
      </c>
      <c r="C987" s="2" t="s">
        <v>572</v>
      </c>
      <c r="D987" s="2" t="str">
        <f t="shared" si="14"/>
        <v>Error?</v>
      </c>
    </row>
    <row r="988" spans="1:4" x14ac:dyDescent="0.2">
      <c r="A988" s="5">
        <v>927</v>
      </c>
      <c r="B988" s="138">
        <f>'Expenditures 15-22'!G75</f>
        <v>5027</v>
      </c>
      <c r="D988" s="2" t="str">
        <f t="shared" si="14"/>
        <v>Error?</v>
      </c>
    </row>
    <row r="989" spans="1:4" x14ac:dyDescent="0.2">
      <c r="A989" s="5">
        <v>928</v>
      </c>
      <c r="B989" s="138">
        <f>'Expenditures 15-22'!G114</f>
        <v>120347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14578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965</v>
      </c>
      <c r="D1007" s="2" t="str">
        <f t="shared" si="14"/>
        <v>Error?</v>
      </c>
    </row>
    <row r="1008" spans="1:4" x14ac:dyDescent="0.2">
      <c r="A1008" s="5">
        <v>947</v>
      </c>
      <c r="B1008" s="138">
        <f>'Expenditures 15-22'!H14</f>
        <v>9105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1595253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1148</v>
      </c>
      <c r="D1016" s="2" t="str">
        <f t="shared" si="14"/>
        <v>Error?</v>
      </c>
    </row>
    <row r="1017" spans="1:4" x14ac:dyDescent="0.2">
      <c r="A1017" s="5">
        <v>956</v>
      </c>
      <c r="B1017" s="138">
        <f>'Expenditures 15-22'!H42</f>
        <v>1148</v>
      </c>
      <c r="C1017" s="2" t="s">
        <v>572</v>
      </c>
      <c r="D1017" s="2" t="str">
        <f t="shared" si="14"/>
        <v>Error?</v>
      </c>
    </row>
    <row r="1018" spans="1:4" x14ac:dyDescent="0.2">
      <c r="A1018" s="5">
        <v>957</v>
      </c>
      <c r="B1018" s="138">
        <f>'Expenditures 15-22'!H44</f>
        <v>468</v>
      </c>
      <c r="D1018" s="2" t="str">
        <f t="shared" si="14"/>
        <v>Error?</v>
      </c>
    </row>
    <row r="1019" spans="1:4" x14ac:dyDescent="0.2">
      <c r="A1019" s="5">
        <v>958</v>
      </c>
      <c r="B1019" s="138">
        <f>'Expenditures 15-22'!H45</f>
        <v>599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1067</v>
      </c>
      <c r="C1021" s="2" t="s">
        <v>572</v>
      </c>
      <c r="D1021" s="2" t="str">
        <f t="shared" si="14"/>
        <v>Error?</v>
      </c>
    </row>
    <row r="1022" spans="1:4" x14ac:dyDescent="0.2">
      <c r="A1022" s="5">
        <v>961</v>
      </c>
      <c r="B1022" s="138">
        <f>'Expenditures 15-22'!H49</f>
        <v>29086</v>
      </c>
      <c r="D1022" s="2" t="str">
        <f t="shared" si="14"/>
        <v>Error?</v>
      </c>
    </row>
    <row r="1023" spans="1:4" x14ac:dyDescent="0.2">
      <c r="A1023" s="5">
        <v>962</v>
      </c>
      <c r="B1023" s="138">
        <f>'Expenditures 15-22'!H50</f>
        <v>4270</v>
      </c>
      <c r="D1023" s="2" t="str">
        <f t="shared" ref="D1023:D1086" si="15">IF(ISBLANK(B1023),"OK",IF(A1023-B1023=0,"OK","Error?"))</f>
        <v>Error?</v>
      </c>
    </row>
    <row r="1024" spans="1:4" x14ac:dyDescent="0.2">
      <c r="A1024" s="5">
        <v>963</v>
      </c>
      <c r="B1024" s="138">
        <f>'Expenditures 15-22'!H53</f>
        <v>33356</v>
      </c>
      <c r="C1024" s="2" t="s">
        <v>572</v>
      </c>
      <c r="D1024" s="2" t="str">
        <f t="shared" si="15"/>
        <v>Error?</v>
      </c>
    </row>
    <row r="1025" spans="1:4" x14ac:dyDescent="0.2">
      <c r="A1025" s="5">
        <v>964</v>
      </c>
      <c r="B1025" s="138">
        <f>'Expenditures 15-22'!H55</f>
        <v>10490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10490</v>
      </c>
      <c r="C1027" s="2" t="s">
        <v>572</v>
      </c>
      <c r="D1027" s="2" t="str">
        <f t="shared" si="15"/>
        <v>Error?</v>
      </c>
    </row>
    <row r="1028" spans="1:4" x14ac:dyDescent="0.2">
      <c r="A1028" s="5">
        <v>967</v>
      </c>
      <c r="B1028" s="138">
        <f>'Expenditures 15-22'!H59</f>
        <v>3708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4051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735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735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50847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2181370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3827470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11902478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1577221</v>
      </c>
      <c r="C1105" s="2" t="s">
        <v>572</v>
      </c>
      <c r="D1105" s="2" t="str">
        <f t="shared" si="16"/>
        <v>Error?</v>
      </c>
    </row>
    <row r="1106" spans="1:4" x14ac:dyDescent="0.2">
      <c r="A1106" s="5">
        <v>1045</v>
      </c>
      <c r="B1106" s="138">
        <f>'Expenditures 15-22'!K14</f>
        <v>2034115</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19699684</v>
      </c>
      <c r="C1108" s="2" t="s">
        <v>572</v>
      </c>
      <c r="D1108" s="2" t="str">
        <f t="shared" si="16"/>
        <v>Error?</v>
      </c>
    </row>
    <row r="1109" spans="1:4" x14ac:dyDescent="0.2">
      <c r="A1109" s="5">
        <v>1048</v>
      </c>
      <c r="B1109" s="138">
        <f>'Expenditures 15-22'!K36</f>
        <v>222667</v>
      </c>
      <c r="C1109" s="2" t="s">
        <v>572</v>
      </c>
      <c r="D1109" s="2" t="str">
        <f t="shared" si="16"/>
        <v>Error?</v>
      </c>
    </row>
    <row r="1110" spans="1:4" x14ac:dyDescent="0.2">
      <c r="A1110" s="5">
        <v>1049</v>
      </c>
      <c r="B1110" s="138">
        <f>'Expenditures 15-22'!K37</f>
        <v>831516</v>
      </c>
      <c r="C1110" s="2" t="s">
        <v>572</v>
      </c>
      <c r="D1110" s="2" t="str">
        <f t="shared" si="16"/>
        <v>Error?</v>
      </c>
    </row>
    <row r="1111" spans="1:4" x14ac:dyDescent="0.2">
      <c r="A1111" s="5">
        <v>1050</v>
      </c>
      <c r="B1111" s="138">
        <f>'Expenditures 15-22'!K38</f>
        <v>90593</v>
      </c>
      <c r="C1111" s="2" t="s">
        <v>572</v>
      </c>
      <c r="D1111" s="2" t="str">
        <f t="shared" si="16"/>
        <v>Error?</v>
      </c>
    </row>
    <row r="1112" spans="1:4" x14ac:dyDescent="0.2">
      <c r="A1112" s="5">
        <v>1051</v>
      </c>
      <c r="B1112" s="138">
        <f>'Expenditures 15-22'!K39</f>
        <v>81183</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206595</v>
      </c>
      <c r="C1114" s="2" t="s">
        <v>572</v>
      </c>
      <c r="D1114" s="2" t="str">
        <f t="shared" si="16"/>
        <v>Error?</v>
      </c>
    </row>
    <row r="1115" spans="1:4" x14ac:dyDescent="0.2">
      <c r="A1115" s="5">
        <v>1054</v>
      </c>
      <c r="B1115" s="138">
        <f>'Expenditures 15-22'!K42</f>
        <v>1432554</v>
      </c>
      <c r="C1115" s="2" t="s">
        <v>572</v>
      </c>
      <c r="D1115" s="2" t="str">
        <f t="shared" si="16"/>
        <v>Error?</v>
      </c>
    </row>
    <row r="1116" spans="1:4" x14ac:dyDescent="0.2">
      <c r="A1116" s="5">
        <v>1055</v>
      </c>
      <c r="B1116" s="138">
        <f>'Expenditures 15-22'!K44</f>
        <v>384792</v>
      </c>
      <c r="C1116" s="2" t="s">
        <v>572</v>
      </c>
      <c r="D1116" s="2" t="str">
        <f t="shared" si="16"/>
        <v>Error?</v>
      </c>
    </row>
    <row r="1117" spans="1:4" x14ac:dyDescent="0.2">
      <c r="A1117" s="5">
        <v>1056</v>
      </c>
      <c r="B1117" s="138">
        <f>'Expenditures 15-22'!K45</f>
        <v>895259</v>
      </c>
      <c r="C1117" s="2" t="s">
        <v>572</v>
      </c>
      <c r="D1117" s="2" t="str">
        <f t="shared" si="16"/>
        <v>Error?</v>
      </c>
    </row>
    <row r="1118" spans="1:4" x14ac:dyDescent="0.2">
      <c r="A1118" s="5">
        <v>1057</v>
      </c>
      <c r="B1118" s="138">
        <f>'Expenditures 15-22'!K46</f>
        <v>36285</v>
      </c>
      <c r="C1118" s="2" t="s">
        <v>572</v>
      </c>
      <c r="D1118" s="2" t="str">
        <f t="shared" si="16"/>
        <v>Error?</v>
      </c>
    </row>
    <row r="1119" spans="1:4" x14ac:dyDescent="0.2">
      <c r="A1119" s="5">
        <v>1058</v>
      </c>
      <c r="B1119" s="138">
        <f>'Expenditures 15-22'!K47</f>
        <v>1316336</v>
      </c>
      <c r="C1119" s="2" t="s">
        <v>572</v>
      </c>
      <c r="D1119" s="2" t="str">
        <f t="shared" si="16"/>
        <v>Error?</v>
      </c>
    </row>
    <row r="1120" spans="1:4" x14ac:dyDescent="0.2">
      <c r="A1120" s="5">
        <v>1059</v>
      </c>
      <c r="B1120" s="138">
        <f>'Expenditures 15-22'!K49</f>
        <v>120771</v>
      </c>
      <c r="C1120" s="2" t="s">
        <v>572</v>
      </c>
      <c r="D1120" s="2" t="str">
        <f t="shared" si="16"/>
        <v>Error?</v>
      </c>
    </row>
    <row r="1121" spans="1:4" x14ac:dyDescent="0.2">
      <c r="A1121" s="5">
        <v>1060</v>
      </c>
      <c r="B1121" s="138">
        <f>'Expenditures 15-22'!K50</f>
        <v>292397</v>
      </c>
      <c r="C1121" s="2" t="s">
        <v>572</v>
      </c>
      <c r="D1121" s="2" t="str">
        <f t="shared" si="16"/>
        <v>Error?</v>
      </c>
    </row>
    <row r="1122" spans="1:4" x14ac:dyDescent="0.2">
      <c r="A1122" s="5">
        <v>1061</v>
      </c>
      <c r="B1122" s="138">
        <f>'Expenditures 15-22'!K53</f>
        <v>413168</v>
      </c>
      <c r="C1122" s="2" t="s">
        <v>572</v>
      </c>
      <c r="D1122" s="2" t="str">
        <f t="shared" si="16"/>
        <v>Error?</v>
      </c>
    </row>
    <row r="1123" spans="1:4" x14ac:dyDescent="0.2">
      <c r="A1123" s="5">
        <v>1062</v>
      </c>
      <c r="B1123" s="138">
        <f>'Expenditures 15-22'!K55</f>
        <v>1005193</v>
      </c>
      <c r="C1123" s="2" t="s">
        <v>572</v>
      </c>
      <c r="D1123" s="2" t="str">
        <f t="shared" si="16"/>
        <v>Error?</v>
      </c>
    </row>
    <row r="1124" spans="1:4" x14ac:dyDescent="0.2">
      <c r="A1124" s="5">
        <v>1063</v>
      </c>
      <c r="B1124" s="138">
        <f>'Expenditures 15-22'!K56</f>
        <v>104114</v>
      </c>
      <c r="C1124" s="2" t="s">
        <v>572</v>
      </c>
      <c r="D1124" s="2" t="str">
        <f t="shared" si="16"/>
        <v>Error?</v>
      </c>
    </row>
    <row r="1125" spans="1:4" x14ac:dyDescent="0.2">
      <c r="A1125" s="5">
        <v>1064</v>
      </c>
      <c r="B1125" s="138">
        <f>'Expenditures 15-22'!K57</f>
        <v>1109307</v>
      </c>
      <c r="C1125" s="2" t="s">
        <v>572</v>
      </c>
      <c r="D1125" s="2" t="str">
        <f t="shared" si="16"/>
        <v>Error?</v>
      </c>
    </row>
    <row r="1126" spans="1:4" x14ac:dyDescent="0.2">
      <c r="A1126" s="5">
        <v>1065</v>
      </c>
      <c r="B1126" s="138">
        <f>'Expenditures 15-22'!K59</f>
        <v>66899</v>
      </c>
      <c r="C1126" s="2" t="s">
        <v>572</v>
      </c>
      <c r="D1126" s="2" t="str">
        <f t="shared" si="16"/>
        <v>Error?</v>
      </c>
    </row>
    <row r="1127" spans="1:4" x14ac:dyDescent="0.2">
      <c r="A1127" s="5">
        <v>1066</v>
      </c>
      <c r="B1127" s="138">
        <f>'Expenditures 15-22'!K60</f>
        <v>165896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941294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1174089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365918</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365918</v>
      </c>
      <c r="C1141" s="2" t="s">
        <v>572</v>
      </c>
      <c r="D1141" s="2" t="str">
        <f t="shared" si="16"/>
        <v>Error?</v>
      </c>
    </row>
    <row r="1142" spans="1:4" x14ac:dyDescent="0.2">
      <c r="A1142" s="5">
        <v>1081</v>
      </c>
      <c r="B1142" s="138">
        <f>'Expenditures 15-22'!K73</f>
        <v>1000</v>
      </c>
      <c r="C1142" s="2" t="s">
        <v>572</v>
      </c>
      <c r="D1142" s="2" t="str">
        <f t="shared" si="16"/>
        <v>Error?</v>
      </c>
    </row>
    <row r="1143" spans="1:4" x14ac:dyDescent="0.2">
      <c r="A1143" s="5">
        <v>1082</v>
      </c>
      <c r="B1143" s="138">
        <f>'Expenditures 15-22'!K74</f>
        <v>5812372</v>
      </c>
      <c r="C1143" s="2" t="s">
        <v>572</v>
      </c>
      <c r="D1143" s="2" t="str">
        <f t="shared" si="16"/>
        <v>Error?</v>
      </c>
    </row>
    <row r="1144" spans="1:4" x14ac:dyDescent="0.2">
      <c r="A1144" s="5">
        <v>1083</v>
      </c>
      <c r="B1144" s="138">
        <f>'Expenditures 15-22'!K75</f>
        <v>5707</v>
      </c>
      <c r="C1144" s="2" t="s">
        <v>572</v>
      </c>
      <c r="D1144" s="2" t="str">
        <f t="shared" si="16"/>
        <v>Error?</v>
      </c>
    </row>
    <row r="1145" spans="1:4" x14ac:dyDescent="0.2">
      <c r="A1145" s="5">
        <v>1084</v>
      </c>
      <c r="B1145" s="138">
        <f>'Expenditures 15-22'!K102</f>
        <v>2181370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27699133</v>
      </c>
      <c r="C1152" s="2" t="s">
        <v>572</v>
      </c>
      <c r="D1152" s="2" t="str">
        <f t="shared" si="17"/>
        <v>Error?</v>
      </c>
    </row>
    <row r="1153" spans="1:4" x14ac:dyDescent="0.2">
      <c r="A1153" s="5">
        <v>1092</v>
      </c>
      <c r="B1153" s="138">
        <f>'Expenditures 15-22'!K115</f>
        <v>544467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52270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744044</v>
      </c>
      <c r="D1221" s="2" t="str">
        <f t="shared" si="18"/>
        <v>Error?</v>
      </c>
    </row>
    <row r="1222" spans="1:4" x14ac:dyDescent="0.2">
      <c r="A1222" s="10">
        <v>1161</v>
      </c>
      <c r="D1222" s="2" t="str">
        <f t="shared" si="18"/>
        <v>OK</v>
      </c>
    </row>
    <row r="1223" spans="1:4" x14ac:dyDescent="0.2">
      <c r="A1223" s="5">
        <v>1162</v>
      </c>
      <c r="B1223" s="138">
        <f>'Expenditures 15-22'!C127</f>
        <v>796314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796314</v>
      </c>
      <c r="C1225" s="2" t="s">
        <v>572</v>
      </c>
      <c r="D1225" s="2" t="str">
        <f t="shared" si="18"/>
        <v>Error?</v>
      </c>
    </row>
    <row r="1226" spans="1:4" x14ac:dyDescent="0.2">
      <c r="A1226" s="5">
        <v>1165</v>
      </c>
      <c r="B1226" s="138">
        <f>'Expenditures 15-22'!C151</f>
        <v>796314</v>
      </c>
      <c r="C1226" s="2" t="s">
        <v>572</v>
      </c>
      <c r="D1226" s="2" t="str">
        <f t="shared" si="18"/>
        <v>Error?</v>
      </c>
    </row>
    <row r="1227" spans="1:4" x14ac:dyDescent="0.2">
      <c r="A1227" s="5">
        <v>1166</v>
      </c>
      <c r="B1227" s="138">
        <f>'Expenditures 15-22'!D122</f>
        <v>7477</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192579</v>
      </c>
      <c r="D1229" s="2" t="str">
        <f t="shared" si="18"/>
        <v>Error?</v>
      </c>
    </row>
    <row r="1230" spans="1:4" x14ac:dyDescent="0.2">
      <c r="A1230" s="10">
        <v>1169</v>
      </c>
      <c r="D1230" s="2" t="str">
        <f t="shared" si="18"/>
        <v>OK</v>
      </c>
    </row>
    <row r="1231" spans="1:4" x14ac:dyDescent="0.2">
      <c r="A1231" s="5">
        <v>1170</v>
      </c>
      <c r="B1231" s="138">
        <f>'Expenditures 15-22'!D127</f>
        <v>200056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200056</v>
      </c>
      <c r="C1233" s="2" t="s">
        <v>572</v>
      </c>
      <c r="D1233" s="2" t="str">
        <f t="shared" si="18"/>
        <v>Error?</v>
      </c>
    </row>
    <row r="1234" spans="1:4" x14ac:dyDescent="0.2">
      <c r="A1234" s="5">
        <v>1173</v>
      </c>
      <c r="B1234" s="138">
        <f>'Expenditures 15-22'!D151</f>
        <v>200056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1195326</v>
      </c>
      <c r="D1237" s="2" t="str">
        <f t="shared" si="18"/>
        <v>Error?</v>
      </c>
    </row>
    <row r="1238" spans="1:4" x14ac:dyDescent="0.2">
      <c r="A1238" s="10">
        <v>1177</v>
      </c>
      <c r="D1238" s="2" t="str">
        <f t="shared" si="18"/>
        <v>OK</v>
      </c>
    </row>
    <row r="1239" spans="1:4" x14ac:dyDescent="0.2">
      <c r="A1239" s="5">
        <v>1178</v>
      </c>
      <c r="B1239" s="138">
        <f>'Expenditures 15-22'!E127</f>
        <v>1195326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1195326</v>
      </c>
      <c r="C1241" s="2" t="s">
        <v>572</v>
      </c>
      <c r="D1241" s="2" t="str">
        <f t="shared" si="18"/>
        <v>Error?</v>
      </c>
    </row>
    <row r="1242" spans="1:4" x14ac:dyDescent="0.2">
      <c r="A1242" s="5">
        <v>1181</v>
      </c>
      <c r="B1242" s="138">
        <f>'Expenditures 15-22'!E151</f>
        <v>1195326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1084822</v>
      </c>
      <c r="D1245" s="2" t="str">
        <f t="shared" si="18"/>
        <v>Error?</v>
      </c>
    </row>
    <row r="1246" spans="1:4" x14ac:dyDescent="0.2">
      <c r="A1246" s="10">
        <v>1185</v>
      </c>
      <c r="D1246" s="2" t="str">
        <f t="shared" si="18"/>
        <v>OK</v>
      </c>
    </row>
    <row r="1247" spans="1:4" x14ac:dyDescent="0.2">
      <c r="A1247" s="5">
        <v>1186</v>
      </c>
      <c r="B1247" s="138">
        <f>'Expenditures 15-22'!F127</f>
        <v>1084822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1084822</v>
      </c>
      <c r="C1249" s="2" t="s">
        <v>572</v>
      </c>
      <c r="D1249" s="2" t="str">
        <f t="shared" si="18"/>
        <v>Error?</v>
      </c>
    </row>
    <row r="1250" spans="1:4" x14ac:dyDescent="0.2">
      <c r="A1250" s="5">
        <v>1189</v>
      </c>
      <c r="B1250" s="138">
        <f>'Expenditures 15-22'!F151</f>
        <v>1084822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296843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296843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296843</v>
      </c>
      <c r="C1258" s="2" t="s">
        <v>572</v>
      </c>
      <c r="D1258" s="2" t="str">
        <f t="shared" si="18"/>
        <v>Error?</v>
      </c>
    </row>
    <row r="1259" spans="1:4" x14ac:dyDescent="0.2">
      <c r="A1259" s="5">
        <v>1198</v>
      </c>
      <c r="B1259" s="138">
        <f>'Expenditures 15-22'!G151</f>
        <v>296843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3425</v>
      </c>
      <c r="D1262" s="2" t="str">
        <f t="shared" si="18"/>
        <v>Error?</v>
      </c>
    </row>
    <row r="1263" spans="1:4" x14ac:dyDescent="0.2">
      <c r="A1263" s="10">
        <v>1202</v>
      </c>
      <c r="D1263" s="2" t="str">
        <f t="shared" si="18"/>
        <v>OK</v>
      </c>
    </row>
    <row r="1264" spans="1:4" x14ac:dyDescent="0.2">
      <c r="A1264" s="5">
        <v>1203</v>
      </c>
      <c r="B1264" s="138">
        <f>'Expenditures 15-22'!H127</f>
        <v>3425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3425</v>
      </c>
      <c r="C1266" s="2" t="s">
        <v>572</v>
      </c>
      <c r="D1266" s="2" t="str">
        <f t="shared" si="18"/>
        <v>Error?</v>
      </c>
    </row>
    <row r="1267" spans="1:4" x14ac:dyDescent="0.2">
      <c r="A1267" s="5">
        <v>1206</v>
      </c>
      <c r="B1267" s="138">
        <f>'Expenditures 15-22'!H139</f>
        <v>321511</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324936</v>
      </c>
      <c r="C1273" s="2" t="s">
        <v>572</v>
      </c>
      <c r="D1273" s="2" t="str">
        <f t="shared" si="18"/>
        <v>Error?</v>
      </c>
    </row>
    <row r="1274" spans="1:4" x14ac:dyDescent="0.2">
      <c r="A1274" s="5">
        <v>1213</v>
      </c>
      <c r="B1274" s="138">
        <f>'Expenditures 15-22'!K122</f>
        <v>59747</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3517039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3576786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3576786</v>
      </c>
      <c r="C1281" s="2" t="s">
        <v>572</v>
      </c>
      <c r="D1281" s="2" t="str">
        <f t="shared" si="19"/>
        <v>Error?</v>
      </c>
    </row>
    <row r="1282" spans="1:4" x14ac:dyDescent="0.2">
      <c r="A1282" s="5">
        <v>1221</v>
      </c>
      <c r="B1282" s="138">
        <f>'Expenditures 15-22'!K139</f>
        <v>321511</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3898297</v>
      </c>
      <c r="C1288" s="2" t="s">
        <v>572</v>
      </c>
      <c r="D1288" s="2" t="str">
        <f t="shared" si="19"/>
        <v>Error?</v>
      </c>
    </row>
    <row r="1289" spans="1:4" x14ac:dyDescent="0.2">
      <c r="A1289" s="5">
        <v>1228</v>
      </c>
      <c r="B1289" s="138">
        <f>'Expenditures 15-22'!K152</f>
        <v>-135209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1933510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6955000</v>
      </c>
      <c r="D1315" s="2" t="str">
        <f t="shared" si="19"/>
        <v>Error?</v>
      </c>
    </row>
    <row r="1316" spans="1:4" x14ac:dyDescent="0.2">
      <c r="A1316" s="5">
        <v>1255</v>
      </c>
      <c r="B1316" s="138">
        <f>'Expenditures 15-22'!H171</f>
        <v>268703</v>
      </c>
      <c r="D1316" s="2" t="str">
        <f t="shared" si="19"/>
        <v>Error?</v>
      </c>
    </row>
    <row r="1317" spans="1:4" x14ac:dyDescent="0.2">
      <c r="A1317" s="5">
        <v>1256</v>
      </c>
      <c r="B1317" s="138">
        <f>'Expenditures 15-22'!H172</f>
        <v>9157213</v>
      </c>
      <c r="C1317" s="2" t="s">
        <v>572</v>
      </c>
      <c r="D1317" s="2" t="str">
        <f t="shared" si="19"/>
        <v>Error?</v>
      </c>
    </row>
    <row r="1318" spans="1:4" x14ac:dyDescent="0.2">
      <c r="A1318" s="5">
        <v>1257</v>
      </c>
      <c r="B1318" s="138">
        <f>'Expenditures 15-22'!H174</f>
        <v>9157213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1933510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6955000</v>
      </c>
      <c r="C1329" s="2" t="s">
        <v>572</v>
      </c>
      <c r="D1329" s="2" t="str">
        <f t="shared" si="19"/>
        <v>Error?</v>
      </c>
    </row>
    <row r="1330" spans="1:4" x14ac:dyDescent="0.2">
      <c r="A1330" s="5">
        <v>1269</v>
      </c>
      <c r="B1330" s="138">
        <f>'Expenditures 15-22'!K171</f>
        <v>268703</v>
      </c>
      <c r="C1330" s="2" t="s">
        <v>572</v>
      </c>
      <c r="D1330" s="2" t="str">
        <f t="shared" si="19"/>
        <v>Error?</v>
      </c>
    </row>
    <row r="1331" spans="1:4" x14ac:dyDescent="0.2">
      <c r="A1331" s="5">
        <v>1270</v>
      </c>
      <c r="B1331" s="138">
        <f>'Expenditures 15-22'!K172</f>
        <v>9157213</v>
      </c>
      <c r="C1331" s="2" t="s">
        <v>572</v>
      </c>
      <c r="D1331" s="2" t="str">
        <f t="shared" si="19"/>
        <v>Error?</v>
      </c>
    </row>
    <row r="1332" spans="1:4" x14ac:dyDescent="0.2">
      <c r="A1332" s="5">
        <v>1271</v>
      </c>
      <c r="B1332" s="138">
        <f>'Expenditures 15-22'!K174</f>
        <v>9157213</v>
      </c>
      <c r="C1332" s="2" t="s">
        <v>572</v>
      </c>
      <c r="D1332" s="2" t="str">
        <f t="shared" si="19"/>
        <v>Error?</v>
      </c>
    </row>
    <row r="1333" spans="1:4" x14ac:dyDescent="0.2">
      <c r="A1333" s="5">
        <v>1272</v>
      </c>
      <c r="B1333" s="138">
        <f>'Expenditures 15-22'!K175</f>
        <v>-180509</v>
      </c>
      <c r="C1333" s="2" t="s">
        <v>572</v>
      </c>
      <c r="D1333" s="2" t="str">
        <f t="shared" si="19"/>
        <v>Error?</v>
      </c>
    </row>
    <row r="1334" spans="1:4" x14ac:dyDescent="0.2">
      <c r="A1334" s="10">
        <v>1273</v>
      </c>
      <c r="D1334" s="2" t="str">
        <f t="shared" si="19"/>
        <v>OK</v>
      </c>
    </row>
    <row r="1335" spans="1:4" x14ac:dyDescent="0.2">
      <c r="A1335" s="5">
        <v>1274</v>
      </c>
      <c r="B1335" s="138">
        <f>'Expenditures 15-22'!C182</f>
        <v>1336163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1388433</v>
      </c>
      <c r="C1339" s="2" t="s">
        <v>572</v>
      </c>
      <c r="D1339" s="2" t="str">
        <f t="shared" si="19"/>
        <v>Error?</v>
      </c>
    </row>
    <row r="1340" spans="1:4" x14ac:dyDescent="0.2">
      <c r="A1340" s="5">
        <v>1279</v>
      </c>
      <c r="B1340" s="138">
        <f>'Expenditures 15-22'!C210</f>
        <v>1388433</v>
      </c>
      <c r="C1340" s="2" t="s">
        <v>572</v>
      </c>
      <c r="D1340" s="2" t="str">
        <f t="shared" si="19"/>
        <v>Error?</v>
      </c>
    </row>
    <row r="1341" spans="1:4" x14ac:dyDescent="0.2">
      <c r="A1341" s="5">
        <v>1280</v>
      </c>
      <c r="B1341" s="138">
        <f>'Expenditures 15-22'!D182</f>
        <v>59135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68242</v>
      </c>
      <c r="C1345" s="2" t="s">
        <v>572</v>
      </c>
      <c r="D1345" s="2" t="str">
        <f t="shared" si="20"/>
        <v>Error?</v>
      </c>
    </row>
    <row r="1346" spans="1:4" x14ac:dyDescent="0.2">
      <c r="A1346" s="5">
        <v>1285</v>
      </c>
      <c r="B1346" s="138">
        <f>'Expenditures 15-22'!D210</f>
        <v>68242</v>
      </c>
      <c r="C1346" s="2" t="s">
        <v>572</v>
      </c>
      <c r="D1346" s="2" t="str">
        <f t="shared" si="20"/>
        <v>Error?</v>
      </c>
    </row>
    <row r="1347" spans="1:4" x14ac:dyDescent="0.2">
      <c r="A1347" s="5">
        <v>1286</v>
      </c>
      <c r="B1347" s="138">
        <f>'Expenditures 15-22'!E182</f>
        <v>701117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701117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701117</v>
      </c>
      <c r="C1353" s="2" t="s">
        <v>572</v>
      </c>
      <c r="D1353" s="2" t="str">
        <f t="shared" si="20"/>
        <v>Error?</v>
      </c>
    </row>
    <row r="1354" spans="1:4" x14ac:dyDescent="0.2">
      <c r="A1354" s="5">
        <v>1293</v>
      </c>
      <c r="B1354" s="138">
        <f>'Expenditures 15-22'!F182</f>
        <v>286767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286767</v>
      </c>
      <c r="C1358" s="2" t="s">
        <v>572</v>
      </c>
      <c r="D1358" s="2" t="str">
        <f t="shared" si="20"/>
        <v>Error?</v>
      </c>
    </row>
    <row r="1359" spans="1:4" x14ac:dyDescent="0.2">
      <c r="A1359" s="5">
        <v>1298</v>
      </c>
      <c r="B1359" s="138">
        <f>'Expenditures 15-22'!F210</f>
        <v>286767</v>
      </c>
      <c r="C1359" s="2" t="s">
        <v>572</v>
      </c>
      <c r="D1359" s="2" t="str">
        <f t="shared" si="20"/>
        <v>Error?</v>
      </c>
    </row>
    <row r="1360" spans="1:4" x14ac:dyDescent="0.2">
      <c r="A1360" s="5">
        <v>1299</v>
      </c>
      <c r="B1360" s="138">
        <f>'Expenditures 15-22'!G182</f>
        <v>598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598</v>
      </c>
      <c r="C1364" s="2" t="s">
        <v>572</v>
      </c>
      <c r="D1364" s="2" t="str">
        <f t="shared" si="20"/>
        <v>Error?</v>
      </c>
    </row>
    <row r="1365" spans="1:4" x14ac:dyDescent="0.2">
      <c r="A1365" s="5">
        <v>1304</v>
      </c>
      <c r="B1365" s="138">
        <f>'Expenditures 15-22'!G210</f>
        <v>598</v>
      </c>
      <c r="C1365" s="2" t="s">
        <v>572</v>
      </c>
      <c r="D1365" s="2" t="str">
        <f t="shared" si="20"/>
        <v>Error?</v>
      </c>
    </row>
    <row r="1366" spans="1:4" x14ac:dyDescent="0.2">
      <c r="A1366" s="5">
        <v>1305</v>
      </c>
      <c r="B1366" s="138">
        <f>'Expenditures 15-22'!H182</f>
        <v>562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562</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562</v>
      </c>
      <c r="C1376" s="2" t="s">
        <v>572</v>
      </c>
      <c r="D1376" s="2" t="str">
        <f t="shared" si="20"/>
        <v>Error?</v>
      </c>
    </row>
    <row r="1377" spans="1:4" x14ac:dyDescent="0.2">
      <c r="A1377" s="5">
        <v>1316</v>
      </c>
      <c r="B1377" s="138">
        <f>'Expenditures 15-22'!K182</f>
        <v>2384342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2445719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2445719</v>
      </c>
      <c r="C1388" s="2" t="s">
        <v>572</v>
      </c>
      <c r="D1388" s="2" t="str">
        <f t="shared" si="20"/>
        <v>Error?</v>
      </c>
    </row>
    <row r="1389" spans="1:4" x14ac:dyDescent="0.2">
      <c r="A1389" s="5">
        <v>1328</v>
      </c>
      <c r="B1389" s="138">
        <f>'Expenditures 15-22'!K211</f>
        <v>497737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22827</v>
      </c>
      <c r="D1407" s="2" t="str">
        <f t="shared" ref="D1407:D1470" si="21">IF(ISBLANK(B1407),"OK",IF(A1407-B1407=0,"OK","Error?"))</f>
        <v>Error?</v>
      </c>
    </row>
    <row r="1408" spans="1:4" x14ac:dyDescent="0.2">
      <c r="A1408" s="5">
        <v>1347</v>
      </c>
      <c r="B1408" s="138">
        <f>'Expenditures 15-22'!D223</f>
        <v>47866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261959</v>
      </c>
      <c r="C1410" s="2" t="s">
        <v>572</v>
      </c>
      <c r="D1410" s="2" t="str">
        <f t="shared" si="21"/>
        <v>Error?</v>
      </c>
    </row>
    <row r="1411" spans="1:4" x14ac:dyDescent="0.2">
      <c r="A1411" s="5">
        <v>1350</v>
      </c>
      <c r="B1411" s="138">
        <f>'Expenditures 15-22'!D232</f>
        <v>2476</v>
      </c>
      <c r="D1411" s="2" t="str">
        <f t="shared" si="21"/>
        <v>Error?</v>
      </c>
    </row>
    <row r="1412" spans="1:4" x14ac:dyDescent="0.2">
      <c r="A1412" s="5">
        <v>1351</v>
      </c>
      <c r="B1412" s="138">
        <f>'Expenditures 15-22'!D233</f>
        <v>34066</v>
      </c>
      <c r="D1412" s="2" t="str">
        <f t="shared" si="21"/>
        <v>Error?</v>
      </c>
    </row>
    <row r="1413" spans="1:4" x14ac:dyDescent="0.2">
      <c r="A1413" s="5">
        <v>1352</v>
      </c>
      <c r="B1413" s="138">
        <f>'Expenditures 15-22'!D234</f>
        <v>12779</v>
      </c>
      <c r="D1413" s="2" t="str">
        <f t="shared" si="21"/>
        <v>Error?</v>
      </c>
    </row>
    <row r="1414" spans="1:4" x14ac:dyDescent="0.2">
      <c r="A1414" s="5">
        <v>1353</v>
      </c>
      <c r="B1414" s="138">
        <f>'Expenditures 15-22'!D235</f>
        <v>1030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16122</v>
      </c>
      <c r="D1416" s="2" t="str">
        <f t="shared" si="21"/>
        <v>Error?</v>
      </c>
    </row>
    <row r="1417" spans="1:4" x14ac:dyDescent="0.2">
      <c r="A1417" s="5">
        <v>1356</v>
      </c>
      <c r="B1417" s="138">
        <f>'Expenditures 15-22'!D238</f>
        <v>66473</v>
      </c>
      <c r="C1417" s="2" t="s">
        <v>572</v>
      </c>
      <c r="D1417" s="2" t="str">
        <f t="shared" si="21"/>
        <v>Error?</v>
      </c>
    </row>
    <row r="1418" spans="1:4" x14ac:dyDescent="0.2">
      <c r="A1418" s="5">
        <v>1357</v>
      </c>
      <c r="B1418" s="138">
        <f>'Expenditures 15-22'!D240</f>
        <v>11189</v>
      </c>
      <c r="D1418" s="2" t="str">
        <f t="shared" si="21"/>
        <v>Error?</v>
      </c>
    </row>
    <row r="1419" spans="1:4" x14ac:dyDescent="0.2">
      <c r="A1419" s="5">
        <v>1358</v>
      </c>
      <c r="B1419" s="138">
        <f>'Expenditures 15-22'!D241</f>
        <v>51727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62916</v>
      </c>
      <c r="C1421" s="2" t="s">
        <v>572</v>
      </c>
      <c r="D1421" s="2" t="str">
        <f t="shared" si="21"/>
        <v>Error?</v>
      </c>
    </row>
    <row r="1422" spans="1:4" x14ac:dyDescent="0.2">
      <c r="A1422" s="5">
        <v>1361</v>
      </c>
      <c r="B1422" s="138">
        <f>'Expenditures 15-22'!D245</f>
        <v>435</v>
      </c>
      <c r="D1422" s="2" t="str">
        <f t="shared" si="21"/>
        <v>Error?</v>
      </c>
    </row>
    <row r="1423" spans="1:4" x14ac:dyDescent="0.2">
      <c r="A1423" s="5">
        <v>1362</v>
      </c>
      <c r="B1423" s="138">
        <f>'Expenditures 15-22'!D246</f>
        <v>14333</v>
      </c>
      <c r="D1423" s="2" t="str">
        <f t="shared" si="21"/>
        <v>Error?</v>
      </c>
    </row>
    <row r="1424" spans="1:4" x14ac:dyDescent="0.2">
      <c r="A1424" s="5">
        <v>1363</v>
      </c>
      <c r="B1424" s="138">
        <f>'Expenditures 15-22'!D257</f>
        <v>50124</v>
      </c>
      <c r="C1424" s="2" t="s">
        <v>572</v>
      </c>
      <c r="D1424" s="2" t="str">
        <f t="shared" si="21"/>
        <v>Error?</v>
      </c>
    </row>
    <row r="1425" spans="1:4" x14ac:dyDescent="0.2">
      <c r="A1425" s="5">
        <v>1364</v>
      </c>
      <c r="B1425" s="138">
        <f>'Expenditures 15-22'!D259</f>
        <v>23178</v>
      </c>
      <c r="D1425" s="2" t="str">
        <f t="shared" si="21"/>
        <v>Error?</v>
      </c>
    </row>
    <row r="1426" spans="1:4" x14ac:dyDescent="0.2">
      <c r="A1426" s="5">
        <v>1365</v>
      </c>
      <c r="B1426" s="138">
        <f>'Expenditures 15-22'!D260</f>
        <v>10215</v>
      </c>
      <c r="D1426" s="2" t="str">
        <f t="shared" si="21"/>
        <v>Error?</v>
      </c>
    </row>
    <row r="1427" spans="1:4" x14ac:dyDescent="0.2">
      <c r="A1427" s="5">
        <v>1366</v>
      </c>
      <c r="B1427" s="138">
        <f>'Expenditures 15-22'!D261</f>
        <v>33393</v>
      </c>
      <c r="C1427" s="2" t="s">
        <v>572</v>
      </c>
      <c r="D1427" s="2" t="str">
        <f t="shared" si="21"/>
        <v>Error?</v>
      </c>
    </row>
    <row r="1428" spans="1:4" x14ac:dyDescent="0.2">
      <c r="A1428" s="5">
        <v>1367</v>
      </c>
      <c r="B1428" s="138">
        <f>'Expenditures 15-22'!D263</f>
        <v>14017</v>
      </c>
      <c r="D1428" s="2" t="str">
        <f t="shared" si="21"/>
        <v>Error?</v>
      </c>
    </row>
    <row r="1429" spans="1:4" x14ac:dyDescent="0.2">
      <c r="A1429" s="5">
        <v>1368</v>
      </c>
      <c r="B1429" s="138">
        <f>'Expenditures 15-22'!D264</f>
        <v>23344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119804</v>
      </c>
      <c r="D1431" s="2" t="str">
        <f t="shared" si="21"/>
        <v>Error?</v>
      </c>
    </row>
    <row r="1432" spans="1:4" x14ac:dyDescent="0.2">
      <c r="A1432" s="5">
        <v>1371</v>
      </c>
      <c r="B1432" s="138">
        <f>'Expenditures 15-22'!D267</f>
        <v>233671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390836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14022</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14022</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617764</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879723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22827</v>
      </c>
      <c r="C1471" s="2" t="s">
        <v>572</v>
      </c>
      <c r="D1471" s="2" t="str">
        <f t="shared" ref="D1471:D1534" si="22">IF(ISBLANK(B1471),"OK",IF(A1471-B1471=0,"OK","Error?"))</f>
        <v>Error?</v>
      </c>
    </row>
    <row r="1472" spans="1:4" x14ac:dyDescent="0.2">
      <c r="A1472" s="5">
        <v>1411</v>
      </c>
      <c r="B1472" s="138">
        <f>'Expenditures 15-22'!K223</f>
        <v>47866</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261959</v>
      </c>
      <c r="C1474" s="2" t="s">
        <v>572</v>
      </c>
      <c r="D1474" s="2" t="str">
        <f t="shared" si="22"/>
        <v>Error?</v>
      </c>
    </row>
    <row r="1475" spans="1:4" x14ac:dyDescent="0.2">
      <c r="A1475" s="5">
        <v>1414</v>
      </c>
      <c r="B1475" s="138">
        <f>'Expenditures 15-22'!K232</f>
        <v>2476</v>
      </c>
      <c r="C1475" s="2" t="s">
        <v>572</v>
      </c>
      <c r="D1475" s="2" t="str">
        <f t="shared" si="22"/>
        <v>Error?</v>
      </c>
    </row>
    <row r="1476" spans="1:4" x14ac:dyDescent="0.2">
      <c r="A1476" s="5">
        <v>1415</v>
      </c>
      <c r="B1476" s="138">
        <f>'Expenditures 15-22'!K233</f>
        <v>34066</v>
      </c>
      <c r="C1476" s="2" t="s">
        <v>572</v>
      </c>
      <c r="D1476" s="2" t="str">
        <f t="shared" si="22"/>
        <v>Error?</v>
      </c>
    </row>
    <row r="1477" spans="1:4" x14ac:dyDescent="0.2">
      <c r="A1477" s="5">
        <v>1416</v>
      </c>
      <c r="B1477" s="138">
        <f>'Expenditures 15-22'!K234</f>
        <v>12779</v>
      </c>
      <c r="C1477" s="2" t="s">
        <v>572</v>
      </c>
      <c r="D1477" s="2" t="str">
        <f t="shared" si="22"/>
        <v>Error?</v>
      </c>
    </row>
    <row r="1478" spans="1:4" x14ac:dyDescent="0.2">
      <c r="A1478" s="5">
        <v>1417</v>
      </c>
      <c r="B1478" s="138">
        <f>'Expenditures 15-22'!K235</f>
        <v>1030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16122</v>
      </c>
      <c r="C1480" s="2" t="s">
        <v>572</v>
      </c>
      <c r="D1480" s="2" t="str">
        <f t="shared" si="22"/>
        <v>Error?</v>
      </c>
    </row>
    <row r="1481" spans="1:4" x14ac:dyDescent="0.2">
      <c r="A1481" s="5">
        <v>1420</v>
      </c>
      <c r="B1481" s="138">
        <f>'Expenditures 15-22'!K238</f>
        <v>66473</v>
      </c>
      <c r="C1481" s="2" t="s">
        <v>572</v>
      </c>
      <c r="D1481" s="2" t="str">
        <f t="shared" si="22"/>
        <v>Error?</v>
      </c>
    </row>
    <row r="1482" spans="1:4" x14ac:dyDescent="0.2">
      <c r="A1482" s="5">
        <v>1421</v>
      </c>
      <c r="B1482" s="138">
        <f>'Expenditures 15-22'!K240</f>
        <v>11189</v>
      </c>
      <c r="C1482" s="2" t="s">
        <v>572</v>
      </c>
      <c r="D1482" s="2" t="str">
        <f t="shared" si="22"/>
        <v>Error?</v>
      </c>
    </row>
    <row r="1483" spans="1:4" x14ac:dyDescent="0.2">
      <c r="A1483" s="5">
        <v>1422</v>
      </c>
      <c r="B1483" s="138">
        <f>'Expenditures 15-22'!K241</f>
        <v>51727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62916</v>
      </c>
      <c r="C1485" s="2" t="s">
        <v>572</v>
      </c>
      <c r="D1485" s="2" t="str">
        <f t="shared" si="22"/>
        <v>Error?</v>
      </c>
    </row>
    <row r="1486" spans="1:4" x14ac:dyDescent="0.2">
      <c r="A1486" s="5">
        <v>1425</v>
      </c>
      <c r="B1486" s="138">
        <f>'Expenditures 15-22'!K245</f>
        <v>435</v>
      </c>
      <c r="C1486" s="2" t="s">
        <v>572</v>
      </c>
      <c r="D1486" s="2" t="str">
        <f t="shared" si="22"/>
        <v>Error?</v>
      </c>
    </row>
    <row r="1487" spans="1:4" x14ac:dyDescent="0.2">
      <c r="A1487" s="5">
        <v>1426</v>
      </c>
      <c r="B1487" s="138">
        <f>'Expenditures 15-22'!K246</f>
        <v>14333</v>
      </c>
      <c r="C1487" s="2" t="s">
        <v>572</v>
      </c>
      <c r="D1487" s="2" t="str">
        <f t="shared" si="22"/>
        <v>Error?</v>
      </c>
    </row>
    <row r="1488" spans="1:4" x14ac:dyDescent="0.2">
      <c r="A1488" s="5">
        <v>1427</v>
      </c>
      <c r="B1488" s="138">
        <f>'Expenditures 15-22'!K257</f>
        <v>50124</v>
      </c>
      <c r="C1488" s="2" t="s">
        <v>572</v>
      </c>
      <c r="D1488" s="2" t="str">
        <f t="shared" si="22"/>
        <v>Error?</v>
      </c>
    </row>
    <row r="1489" spans="1:4" x14ac:dyDescent="0.2">
      <c r="A1489" s="5">
        <v>1428</v>
      </c>
      <c r="B1489" s="138">
        <f>'Expenditures 15-22'!K259</f>
        <v>23178</v>
      </c>
      <c r="C1489" s="2" t="s">
        <v>572</v>
      </c>
      <c r="D1489" s="2" t="str">
        <f t="shared" si="22"/>
        <v>Error?</v>
      </c>
    </row>
    <row r="1490" spans="1:4" x14ac:dyDescent="0.2">
      <c r="A1490" s="5">
        <v>1429</v>
      </c>
      <c r="B1490" s="138">
        <f>'Expenditures 15-22'!K260</f>
        <v>10215</v>
      </c>
      <c r="C1490" s="2" t="s">
        <v>572</v>
      </c>
      <c r="D1490" s="2" t="str">
        <f t="shared" si="22"/>
        <v>Error?</v>
      </c>
    </row>
    <row r="1491" spans="1:4" x14ac:dyDescent="0.2">
      <c r="A1491" s="5">
        <v>1430</v>
      </c>
      <c r="B1491" s="138">
        <f>'Expenditures 15-22'!K261</f>
        <v>33393</v>
      </c>
      <c r="C1491" s="2" t="s">
        <v>572</v>
      </c>
      <c r="D1491" s="2" t="str">
        <f t="shared" si="22"/>
        <v>Error?</v>
      </c>
    </row>
    <row r="1492" spans="1:4" x14ac:dyDescent="0.2">
      <c r="A1492" s="5">
        <v>1431</v>
      </c>
      <c r="B1492" s="138">
        <f>'Expenditures 15-22'!K263</f>
        <v>14017</v>
      </c>
      <c r="C1492" s="2" t="s">
        <v>572</v>
      </c>
      <c r="D1492" s="2" t="str">
        <f t="shared" si="22"/>
        <v>Error?</v>
      </c>
    </row>
    <row r="1493" spans="1:4" x14ac:dyDescent="0.2">
      <c r="A1493" s="5">
        <v>1432</v>
      </c>
      <c r="B1493" s="138">
        <f>'Expenditures 15-22'!K264</f>
        <v>23344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119804</v>
      </c>
      <c r="C1495" s="2" t="s">
        <v>572</v>
      </c>
      <c r="D1495" s="2" t="str">
        <f t="shared" si="22"/>
        <v>Error?</v>
      </c>
    </row>
    <row r="1496" spans="1:4" x14ac:dyDescent="0.2">
      <c r="A1496" s="5">
        <v>1435</v>
      </c>
      <c r="B1496" s="138">
        <f>'Expenditures 15-22'!K267</f>
        <v>233671</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390836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14022</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14022</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617764</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879723</v>
      </c>
      <c r="C1517" s="2" t="s">
        <v>572</v>
      </c>
      <c r="D1517" s="2" t="str">
        <f t="shared" si="22"/>
        <v>Error?</v>
      </c>
    </row>
    <row r="1518" spans="1:4" x14ac:dyDescent="0.2">
      <c r="A1518" s="5">
        <v>1457</v>
      </c>
      <c r="B1518" s="138">
        <f>'Expenditures 15-22'!K296</f>
        <v>145080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1608880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1608880</v>
      </c>
      <c r="C1535" s="2" t="s">
        <v>572</v>
      </c>
      <c r="D1535" s="2" t="str">
        <f t="shared" ref="D1535:D1598" si="23">IF(ISBLANK(B1535),"OK",IF(A1535-B1535=0,"OK","Error?"))</f>
        <v>Error?</v>
      </c>
    </row>
    <row r="1536" spans="1:4" x14ac:dyDescent="0.2">
      <c r="A1536" s="5">
        <v>1475</v>
      </c>
      <c r="B1536" s="138">
        <f>'Expenditures 15-22'!E312</f>
        <v>1608880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1608880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1608880</v>
      </c>
      <c r="C1559" s="2" t="s">
        <v>572</v>
      </c>
      <c r="D1559" s="2" t="str">
        <f t="shared" si="23"/>
        <v>Error?</v>
      </c>
    </row>
    <row r="1560" spans="1:4" x14ac:dyDescent="0.2">
      <c r="A1560" s="5">
        <v>1499</v>
      </c>
      <c r="B1560" s="138">
        <f>'Expenditures 15-22'!K312</f>
        <v>1608880</v>
      </c>
      <c r="C1560" s="2" t="s">
        <v>572</v>
      </c>
      <c r="D1560" s="2" t="str">
        <f t="shared" si="23"/>
        <v>Error?</v>
      </c>
    </row>
    <row r="1561" spans="1:4" x14ac:dyDescent="0.2">
      <c r="A1561" s="5">
        <v>1500</v>
      </c>
      <c r="B1561" s="138">
        <f>'Expenditures 15-22'!K313</f>
        <v>-1399368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8736621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9281088</v>
      </c>
      <c r="C1630" s="2" t="s">
        <v>572</v>
      </c>
      <c r="D1630" s="2" t="str">
        <f t="shared" si="24"/>
        <v>Error?</v>
      </c>
    </row>
    <row r="1631" spans="1:4" x14ac:dyDescent="0.2">
      <c r="A1631" s="5">
        <v>1570</v>
      </c>
      <c r="B1631" s="138">
        <f>'Acct Summary 7-8'!D79</f>
        <v>3313373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3653164</v>
      </c>
      <c r="C1644" s="2" t="s">
        <v>572</v>
      </c>
      <c r="D1644" s="2" t="str">
        <f t="shared" si="24"/>
        <v>Error?</v>
      </c>
    </row>
    <row r="1645" spans="1:4" x14ac:dyDescent="0.2">
      <c r="A1645" s="5">
        <v>1584</v>
      </c>
      <c r="B1645" s="138">
        <f>'Acct Summary 7-8'!E79</f>
        <v>4896212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5833819</v>
      </c>
      <c r="C1658" s="2" t="s">
        <v>572</v>
      </c>
      <c r="D1658" s="2" t="str">
        <f t="shared" si="24"/>
        <v>Error?</v>
      </c>
    </row>
    <row r="1659" spans="1:4" x14ac:dyDescent="0.2">
      <c r="A1659" s="5">
        <v>1598</v>
      </c>
      <c r="B1659" s="138">
        <f>'Acct Summary 7-8'!F79</f>
        <v>2473366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2971103</v>
      </c>
      <c r="C1672" s="2" t="s">
        <v>572</v>
      </c>
      <c r="D1672" s="2" t="str">
        <f t="shared" si="25"/>
        <v>Error?</v>
      </c>
    </row>
    <row r="1673" spans="1:4" x14ac:dyDescent="0.2">
      <c r="A1673" s="5">
        <v>1612</v>
      </c>
      <c r="B1673" s="138">
        <f>'Acct Summary 7-8'!G79</f>
        <v>361317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506397</v>
      </c>
      <c r="C1686" s="2" t="s">
        <v>572</v>
      </c>
      <c r="D1686" s="2" t="str">
        <f t="shared" si="25"/>
        <v>Error?</v>
      </c>
    </row>
    <row r="1687" spans="1:4" x14ac:dyDescent="0.2">
      <c r="A1687" s="5">
        <v>1626</v>
      </c>
      <c r="B1687" s="138">
        <f>'Acct Summary 7-8'!H79</f>
        <v>1398192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11198824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16385886</v>
      </c>
      <c r="C1744" s="2" t="s">
        <v>572</v>
      </c>
      <c r="D1744" s="2" t="str">
        <f t="shared" si="26"/>
        <v>Error?</v>
      </c>
    </row>
    <row r="1745" spans="1:5" x14ac:dyDescent="0.2">
      <c r="A1745" s="5">
        <v>1684</v>
      </c>
      <c r="B1745" s="138">
        <f>'Tax Sched 23'!B5</f>
        <v>3358041</v>
      </c>
      <c r="C1745" s="2" t="s">
        <v>572</v>
      </c>
      <c r="D1745" s="2" t="str">
        <f t="shared" si="26"/>
        <v>Error?</v>
      </c>
    </row>
    <row r="1746" spans="1:5" x14ac:dyDescent="0.2">
      <c r="A1746" s="5">
        <v>1685</v>
      </c>
      <c r="B1746" s="138">
        <f>'Tax Sched 23'!B6</f>
        <v>8852061</v>
      </c>
      <c r="C1746" s="2" t="s">
        <v>572</v>
      </c>
      <c r="D1746" s="2" t="str">
        <f t="shared" si="26"/>
        <v>Error?</v>
      </c>
    </row>
    <row r="1747" spans="1:5" x14ac:dyDescent="0.2">
      <c r="A1747" s="5">
        <v>1686</v>
      </c>
      <c r="B1747" s="138">
        <f>'Tax Sched 23'!B7</f>
        <v>1612439</v>
      </c>
      <c r="C1747" s="2" t="s">
        <v>572</v>
      </c>
      <c r="D1747" s="2" t="str">
        <f t="shared" si="26"/>
        <v>Error?</v>
      </c>
    </row>
    <row r="1748" spans="1:5" x14ac:dyDescent="0.2">
      <c r="A1748" s="5">
        <v>1687</v>
      </c>
      <c r="B1748" s="138">
        <f>'Tax Sched 23'!B8</f>
        <v>388655</v>
      </c>
      <c r="C1748" s="2" t="s">
        <v>572</v>
      </c>
      <c r="D1748" s="2" t="str">
        <f t="shared" si="26"/>
        <v>Error?</v>
      </c>
    </row>
    <row r="1749" spans="1:5" x14ac:dyDescent="0.2">
      <c r="A1749" s="5">
        <v>1688</v>
      </c>
      <c r="B1749" s="138">
        <f>'Tax Sched 23'!B10</f>
        <v>672661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1198995</v>
      </c>
      <c r="C1752" s="2" t="s">
        <v>572</v>
      </c>
      <c r="D1752" s="2" t="str">
        <f t="shared" si="26"/>
        <v>Error?</v>
      </c>
    </row>
    <row r="1753" spans="1:5" x14ac:dyDescent="0.2">
      <c r="A1753" s="5">
        <v>1692</v>
      </c>
      <c r="B1753" s="138">
        <f>'Tax Sched 23'!B12</f>
        <v>672661</v>
      </c>
      <c r="C1753" s="2" t="s">
        <v>572</v>
      </c>
      <c r="D1753" s="2" t="str">
        <f t="shared" si="26"/>
        <v>Error?</v>
      </c>
    </row>
    <row r="1754" spans="1:5" x14ac:dyDescent="0.2">
      <c r="A1754" s="5">
        <v>1693</v>
      </c>
      <c r="B1754" s="138">
        <f>'Tax Sched 23'!B14</f>
        <v>268740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34570703</v>
      </c>
      <c r="C1759" s="2" t="s">
        <v>572</v>
      </c>
      <c r="D1759" s="2" t="str">
        <f t="shared" si="26"/>
        <v>Error?</v>
      </c>
    </row>
    <row r="1760" spans="1:5" x14ac:dyDescent="0.2">
      <c r="A1760" s="5">
        <v>1699</v>
      </c>
      <c r="B1760" s="138">
        <f>'Tax Sched 23'!D4</f>
        <v>10567511</v>
      </c>
      <c r="C1760" s="2" t="s">
        <v>572</v>
      </c>
      <c r="D1760" s="2" t="str">
        <f t="shared" si="26"/>
        <v>Error?</v>
      </c>
    </row>
    <row r="1761" spans="1:5" x14ac:dyDescent="0.2">
      <c r="A1761" s="5">
        <v>1700</v>
      </c>
      <c r="B1761" s="138">
        <f>'Tax Sched 23'!D5</f>
        <v>2165751</v>
      </c>
      <c r="C1761" s="2" t="s">
        <v>572</v>
      </c>
      <c r="D1761" s="2" t="str">
        <f t="shared" si="26"/>
        <v>Error?</v>
      </c>
    </row>
    <row r="1762" spans="1:5" s="8" customFormat="1" x14ac:dyDescent="0.2">
      <c r="A1762" s="5">
        <v>1701</v>
      </c>
      <c r="B1762" s="138">
        <f>'Tax Sched 23'!D6</f>
        <v>5937462</v>
      </c>
      <c r="C1762" s="2" t="s">
        <v>572</v>
      </c>
      <c r="D1762" s="2" t="str">
        <f t="shared" si="26"/>
        <v>Error?</v>
      </c>
      <c r="E1762" s="9"/>
    </row>
    <row r="1763" spans="1:5" x14ac:dyDescent="0.2">
      <c r="A1763" s="5">
        <v>1702</v>
      </c>
      <c r="B1763" s="138">
        <f>'Tax Sched 23'!D7</f>
        <v>1040140</v>
      </c>
      <c r="C1763" s="2" t="s">
        <v>572</v>
      </c>
      <c r="D1763" s="2" t="str">
        <f t="shared" si="26"/>
        <v>Error?</v>
      </c>
    </row>
    <row r="1764" spans="1:5" x14ac:dyDescent="0.2">
      <c r="A1764" s="5">
        <v>1703</v>
      </c>
      <c r="B1764" s="138">
        <f>'Tax Sched 23'!D8</f>
        <v>249955</v>
      </c>
      <c r="C1764" s="2" t="s">
        <v>572</v>
      </c>
      <c r="D1764" s="2" t="str">
        <f t="shared" si="26"/>
        <v>Error?</v>
      </c>
    </row>
    <row r="1765" spans="1:5" x14ac:dyDescent="0.2">
      <c r="A1765" s="5">
        <v>1704</v>
      </c>
      <c r="B1765" s="138">
        <f>'Tax Sched 23'!D10</f>
        <v>434203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797038</v>
      </c>
      <c r="C1768" s="2" t="s">
        <v>572</v>
      </c>
      <c r="D1768" s="2" t="str">
        <f t="shared" si="26"/>
        <v>Error?</v>
      </c>
    </row>
    <row r="1769" spans="1:5" x14ac:dyDescent="0.2">
      <c r="A1769" s="5">
        <v>1708</v>
      </c>
      <c r="B1769" s="138">
        <f>'Tax Sched 23'!D12</f>
        <v>434203</v>
      </c>
      <c r="C1769" s="2" t="s">
        <v>572</v>
      </c>
      <c r="D1769" s="2" t="str">
        <f t="shared" si="26"/>
        <v>Error?</v>
      </c>
    </row>
    <row r="1770" spans="1:5" x14ac:dyDescent="0.2">
      <c r="A1770" s="5">
        <v>1709</v>
      </c>
      <c r="B1770" s="138">
        <f>'Tax Sched 23'!D14</f>
        <v>173356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22549089</v>
      </c>
      <c r="C1775" s="2" t="s">
        <v>572</v>
      </c>
      <c r="D1775" s="2" t="str">
        <f t="shared" si="26"/>
        <v>Error?</v>
      </c>
    </row>
    <row r="1776" spans="1:5" x14ac:dyDescent="0.2">
      <c r="A1776" s="5">
        <v>1715</v>
      </c>
      <c r="B1776" s="138">
        <f>'Tax Sched 23'!C4</f>
        <v>5818375</v>
      </c>
      <c r="D1776" s="2" t="str">
        <f t="shared" si="26"/>
        <v>Error?</v>
      </c>
    </row>
    <row r="1777" spans="1:4" x14ac:dyDescent="0.2">
      <c r="A1777" s="5">
        <v>1716</v>
      </c>
      <c r="B1777" s="138">
        <f>'Tax Sched 23'!C5</f>
        <v>1192290</v>
      </c>
      <c r="D1777" s="2" t="str">
        <f t="shared" si="26"/>
        <v>Error?</v>
      </c>
    </row>
    <row r="1778" spans="1:4" x14ac:dyDescent="0.2">
      <c r="A1778" s="5">
        <v>1717</v>
      </c>
      <c r="B1778" s="138">
        <f>'Tax Sched 23'!C6</f>
        <v>2914599</v>
      </c>
      <c r="D1778" s="2" t="str">
        <f t="shared" si="26"/>
        <v>Error?</v>
      </c>
    </row>
    <row r="1779" spans="1:4" x14ac:dyDescent="0.2">
      <c r="A1779" s="5">
        <v>1718</v>
      </c>
      <c r="B1779" s="138">
        <f>'Tax Sched 23'!C7</f>
        <v>572299</v>
      </c>
      <c r="D1779" s="2" t="str">
        <f t="shared" si="26"/>
        <v>Error?</v>
      </c>
    </row>
    <row r="1780" spans="1:4" x14ac:dyDescent="0.2">
      <c r="A1780" s="5">
        <v>1719</v>
      </c>
      <c r="B1780" s="138">
        <f>'Tax Sched 23'!C8</f>
        <v>138700</v>
      </c>
      <c r="D1780" s="2" t="str">
        <f t="shared" si="26"/>
        <v>Error?</v>
      </c>
    </row>
    <row r="1781" spans="1:4" x14ac:dyDescent="0.2">
      <c r="A1781" s="5">
        <v>1720</v>
      </c>
      <c r="B1781" s="138">
        <f>'Tax Sched 23'!C10</f>
        <v>238458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401957</v>
      </c>
      <c r="D1784" s="2" t="str">
        <f t="shared" si="26"/>
        <v>Error?</v>
      </c>
    </row>
    <row r="1785" spans="1:4" x14ac:dyDescent="0.2">
      <c r="A1785" s="5">
        <v>1724</v>
      </c>
      <c r="B1785" s="138">
        <f>'Tax Sched 23'!C12</f>
        <v>238458</v>
      </c>
      <c r="D1785" s="2" t="str">
        <f t="shared" si="26"/>
        <v>Error?</v>
      </c>
    </row>
    <row r="1786" spans="1:4" x14ac:dyDescent="0.2">
      <c r="A1786" s="5">
        <v>1725</v>
      </c>
      <c r="B1786" s="138">
        <f>'Tax Sched 23'!C14</f>
        <v>95384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12021614</v>
      </c>
      <c r="C1791" s="2" t="s">
        <v>572</v>
      </c>
      <c r="D1791" s="2" t="str">
        <f t="shared" ref="D1791:D1854" si="27">IF(ISBLANK(B1791),"OK",IF(A1791-B1791=0,"OK","Error?"))</f>
        <v>Error?</v>
      </c>
    </row>
    <row r="1792" spans="1:4" x14ac:dyDescent="0.2">
      <c r="A1792" s="5">
        <v>1731</v>
      </c>
      <c r="B1792" s="138">
        <f>'Tax Sched 23'!F4</f>
        <v>11269466</v>
      </c>
      <c r="C1792" s="2" t="s">
        <v>572</v>
      </c>
      <c r="D1792" s="2" t="str">
        <f t="shared" si="27"/>
        <v>Error?</v>
      </c>
    </row>
    <row r="1793" spans="1:4" x14ac:dyDescent="0.2">
      <c r="A1793" s="5">
        <v>1732</v>
      </c>
      <c r="B1793" s="138">
        <f>'Tax Sched 23'!F5</f>
        <v>2309317</v>
      </c>
      <c r="C1793" s="2" t="s">
        <v>572</v>
      </c>
      <c r="D1793" s="2" t="str">
        <f t="shared" si="27"/>
        <v>Error?</v>
      </c>
    </row>
    <row r="1794" spans="1:4" x14ac:dyDescent="0.2">
      <c r="A1794" s="5">
        <v>1733</v>
      </c>
      <c r="B1794" s="138">
        <f>'Tax Sched 23'!F6</f>
        <v>5635311</v>
      </c>
      <c r="C1794" s="2" t="s">
        <v>572</v>
      </c>
      <c r="D1794" s="2" t="str">
        <f t="shared" si="27"/>
        <v>Error?</v>
      </c>
    </row>
    <row r="1795" spans="1:4" x14ac:dyDescent="0.2">
      <c r="A1795" s="5">
        <v>1734</v>
      </c>
      <c r="B1795" s="138">
        <f>'Tax Sched 23'!F7</f>
        <v>1108472</v>
      </c>
      <c r="C1795" s="2" t="s">
        <v>572</v>
      </c>
      <c r="D1795" s="2" t="str">
        <f t="shared" si="27"/>
        <v>Error?</v>
      </c>
    </row>
    <row r="1796" spans="1:4" x14ac:dyDescent="0.2">
      <c r="A1796" s="5">
        <v>1735</v>
      </c>
      <c r="B1796" s="138">
        <f>'Tax Sched 23'!F8</f>
        <v>267869</v>
      </c>
      <c r="C1796" s="2" t="s">
        <v>572</v>
      </c>
      <c r="D1796" s="2" t="str">
        <f t="shared" si="27"/>
        <v>Error?</v>
      </c>
    </row>
    <row r="1797" spans="1:4" x14ac:dyDescent="0.2">
      <c r="A1797" s="5">
        <v>1736</v>
      </c>
      <c r="B1797" s="138">
        <f>'Tax Sched 23'!F10</f>
        <v>461864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776598</v>
      </c>
      <c r="C1800" s="2" t="s">
        <v>572</v>
      </c>
      <c r="D1800" s="2" t="str">
        <f t="shared" si="27"/>
        <v>Error?</v>
      </c>
    </row>
    <row r="1801" spans="1:4" x14ac:dyDescent="0.2">
      <c r="A1801" s="5">
        <v>1740</v>
      </c>
      <c r="B1801" s="138">
        <f>'Tax Sched 23'!F12</f>
        <v>461864</v>
      </c>
      <c r="C1801" s="2" t="s">
        <v>572</v>
      </c>
      <c r="D1801" s="2" t="str">
        <f t="shared" si="27"/>
        <v>Error?</v>
      </c>
    </row>
    <row r="1802" spans="1:4" x14ac:dyDescent="0.2">
      <c r="A1802" s="5">
        <v>1741</v>
      </c>
      <c r="B1802" s="138">
        <f>'Tax Sched 23'!F14</f>
        <v>184744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23271057</v>
      </c>
      <c r="C1807" s="2" t="s">
        <v>572</v>
      </c>
      <c r="D1807" s="2" t="str">
        <f t="shared" si="27"/>
        <v>Error?</v>
      </c>
    </row>
    <row r="1808" spans="1:4" x14ac:dyDescent="0.2">
      <c r="A1808" s="5">
        <v>1747</v>
      </c>
      <c r="B1808" s="138">
        <f>'Tax Sched 23'!E4</f>
        <v>17087841</v>
      </c>
      <c r="D1808" s="2" t="str">
        <f t="shared" si="27"/>
        <v>Error?</v>
      </c>
    </row>
    <row r="1809" spans="1:4" x14ac:dyDescent="0.2">
      <c r="A1809" s="5">
        <v>1748</v>
      </c>
      <c r="B1809" s="138">
        <f>'Tax Sched 23'!E5</f>
        <v>3501607</v>
      </c>
      <c r="D1809" s="2" t="str">
        <f t="shared" si="27"/>
        <v>Error?</v>
      </c>
    </row>
    <row r="1810" spans="1:4" x14ac:dyDescent="0.2">
      <c r="A1810" s="5">
        <v>1749</v>
      </c>
      <c r="B1810" s="138">
        <f>'Tax Sched 23'!E6</f>
        <v>8549910</v>
      </c>
      <c r="D1810" s="2" t="str">
        <f t="shared" si="27"/>
        <v>Error?</v>
      </c>
    </row>
    <row r="1811" spans="1:4" x14ac:dyDescent="0.2">
      <c r="A1811" s="5">
        <v>1750</v>
      </c>
      <c r="B1811" s="138">
        <f>'Tax Sched 23'!E7</f>
        <v>1680771</v>
      </c>
      <c r="D1811" s="2" t="str">
        <f t="shared" si="27"/>
        <v>Error?</v>
      </c>
    </row>
    <row r="1812" spans="1:4" x14ac:dyDescent="0.2">
      <c r="A1812" s="5">
        <v>1751</v>
      </c>
      <c r="B1812" s="138">
        <f>'Tax Sched 23'!E8</f>
        <v>406569</v>
      </c>
      <c r="D1812" s="2" t="str">
        <f t="shared" si="27"/>
        <v>Error?</v>
      </c>
    </row>
    <row r="1813" spans="1:4" x14ac:dyDescent="0.2">
      <c r="A1813" s="5">
        <v>1752</v>
      </c>
      <c r="B1813" s="138">
        <f>'Tax Sched 23'!E10</f>
        <v>700322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1178555</v>
      </c>
      <c r="D1816" s="2" t="str">
        <f t="shared" si="27"/>
        <v>Error?</v>
      </c>
    </row>
    <row r="1817" spans="1:4" x14ac:dyDescent="0.2">
      <c r="A1817" s="5">
        <v>1756</v>
      </c>
      <c r="B1817" s="138">
        <f>'Tax Sched 23'!E12</f>
        <v>700322</v>
      </c>
      <c r="D1817" s="2" t="str">
        <f t="shared" si="27"/>
        <v>Error?</v>
      </c>
    </row>
    <row r="1818" spans="1:4" x14ac:dyDescent="0.2">
      <c r="A1818" s="5">
        <v>1757</v>
      </c>
      <c r="B1818" s="138">
        <f>'Tax Sched 23'!E14</f>
        <v>280128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35292671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51890000</v>
      </c>
      <c r="C1939" s="2" t="s">
        <v>572</v>
      </c>
      <c r="D1939" s="2" t="str">
        <f t="shared" si="29"/>
        <v>Error?</v>
      </c>
    </row>
    <row r="1940" spans="1:5" x14ac:dyDescent="0.2">
      <c r="A1940" s="5">
        <v>1879</v>
      </c>
      <c r="B1940" s="138">
        <f>'Short-Term Long-Term Debt 24'!F49</f>
        <v>18745000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268740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268740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268740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5855792</v>
      </c>
      <c r="D2008" s="2" t="str">
        <f t="shared" si="30"/>
        <v>Error?</v>
      </c>
    </row>
    <row r="2009" spans="1:4" x14ac:dyDescent="0.2">
      <c r="A2009" s="5">
        <v>1948</v>
      </c>
      <c r="B2009" s="138">
        <f>'Cap Outlay Deprec 26'!C8</f>
        <v>92486597</v>
      </c>
      <c r="D2009" s="2" t="str">
        <f t="shared" si="30"/>
        <v>Error?</v>
      </c>
    </row>
    <row r="2010" spans="1:4" x14ac:dyDescent="0.2">
      <c r="A2010" s="5">
        <v>1949</v>
      </c>
      <c r="B2010" s="138">
        <f>'Cap Outlay Deprec 26'!C10</f>
        <v>3879114</v>
      </c>
      <c r="D2010" s="2" t="str">
        <f t="shared" si="30"/>
        <v>Error?</v>
      </c>
    </row>
    <row r="2011" spans="1:4" x14ac:dyDescent="0.2">
      <c r="A2011" s="5">
        <v>1950</v>
      </c>
      <c r="B2011" s="138">
        <f>'Cap Outlay Deprec 26'!C12</f>
        <v>3035720</v>
      </c>
      <c r="D2011" s="2" t="str">
        <f t="shared" si="30"/>
        <v>Error?</v>
      </c>
    </row>
    <row r="2012" spans="1:4" x14ac:dyDescent="0.2">
      <c r="A2012" s="5">
        <v>1951</v>
      </c>
      <c r="B2012" s="138">
        <f>'Cap Outlay Deprec 26'!C13</f>
        <v>10280004</v>
      </c>
      <c r="D2012" s="2" t="str">
        <f t="shared" si="30"/>
        <v>Error?</v>
      </c>
    </row>
    <row r="2013" spans="1:4" x14ac:dyDescent="0.2">
      <c r="A2013" s="5">
        <v>1952</v>
      </c>
      <c r="B2013" s="138">
        <f>'Cap Outlay Deprec 26'!C16</f>
        <v>115537227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38250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130553</v>
      </c>
      <c r="D2018" s="2" t="str">
        <f t="shared" si="30"/>
        <v>Error?</v>
      </c>
    </row>
    <row r="2019" spans="1:4" x14ac:dyDescent="0.2">
      <c r="A2019" s="5">
        <v>1958</v>
      </c>
      <c r="B2019" s="138">
        <f>'Cap Outlay Deprec 26'!D16</f>
        <v>1867591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5855792</v>
      </c>
      <c r="C2026" s="2" t="s">
        <v>572</v>
      </c>
      <c r="D2026" s="2" t="str">
        <f t="shared" si="30"/>
        <v>Error?</v>
      </c>
    </row>
    <row r="2027" spans="1:4" x14ac:dyDescent="0.2">
      <c r="A2027" s="5">
        <v>1966</v>
      </c>
      <c r="B2027" s="138">
        <f>'Cap Outlay Deprec 26'!F8</f>
        <v>92486597</v>
      </c>
      <c r="C2027" s="2" t="s">
        <v>572</v>
      </c>
      <c r="D2027" s="2" t="str">
        <f t="shared" si="30"/>
        <v>Error?</v>
      </c>
    </row>
    <row r="2028" spans="1:4" x14ac:dyDescent="0.2">
      <c r="A2028" s="5">
        <v>1967</v>
      </c>
      <c r="B2028" s="138">
        <f>'Cap Outlay Deprec 26'!F10</f>
        <v>3917364</v>
      </c>
      <c r="C2028" s="2" t="s">
        <v>572</v>
      </c>
      <c r="D2028" s="2" t="str">
        <f t="shared" si="30"/>
        <v>Error?</v>
      </c>
    </row>
    <row r="2029" spans="1:4" x14ac:dyDescent="0.2">
      <c r="A2029" s="5">
        <v>1968</v>
      </c>
      <c r="B2029" s="138">
        <f>'Cap Outlay Deprec 26'!F12</f>
        <v>3035720</v>
      </c>
      <c r="C2029" s="2" t="s">
        <v>572</v>
      </c>
      <c r="D2029" s="2" t="str">
        <f t="shared" si="30"/>
        <v>Error?</v>
      </c>
    </row>
    <row r="2030" spans="1:4" x14ac:dyDescent="0.2">
      <c r="A2030" s="5">
        <v>1969</v>
      </c>
      <c r="B2030" s="138">
        <f>'Cap Outlay Deprec 26'!F13</f>
        <v>10410557</v>
      </c>
      <c r="C2030" s="2" t="s">
        <v>572</v>
      </c>
      <c r="D2030" s="2" t="str">
        <f t="shared" si="30"/>
        <v>Error?</v>
      </c>
    </row>
    <row r="2031" spans="1:4" x14ac:dyDescent="0.2">
      <c r="A2031" s="5">
        <v>1970</v>
      </c>
      <c r="B2031" s="138">
        <f>'Cap Outlay Deprec 26'!F16</f>
        <v>117404818</v>
      </c>
      <c r="C2031" s="2" t="s">
        <v>572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0</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0</v>
      </c>
      <c r="C2055" s="2" t="s">
        <v>572</v>
      </c>
      <c r="D2055" s="2" t="str">
        <f t="shared" si="31"/>
        <v>Error?</v>
      </c>
    </row>
    <row r="2056" spans="1:4" x14ac:dyDescent="0.2">
      <c r="A2056" s="5">
        <v>1995</v>
      </c>
      <c r="B2056" s="138">
        <f>'Cap Outlay Deprec 26'!L5</f>
        <v>5855792</v>
      </c>
      <c r="C2056" s="2" t="s">
        <v>572</v>
      </c>
      <c r="D2056" s="2" t="str">
        <f t="shared" si="31"/>
        <v>Error?</v>
      </c>
    </row>
    <row r="2057" spans="1:4" x14ac:dyDescent="0.2">
      <c r="A2057" s="5">
        <v>1996</v>
      </c>
      <c r="B2057" s="138">
        <f>'Cap Outlay Deprec 26'!L8</f>
        <v>92486597</v>
      </c>
      <c r="C2057" s="2" t="s">
        <v>572</v>
      </c>
      <c r="D2057" s="2" t="str">
        <f t="shared" si="31"/>
        <v>Error?</v>
      </c>
    </row>
    <row r="2058" spans="1:4" x14ac:dyDescent="0.2">
      <c r="A2058" s="5">
        <v>1997</v>
      </c>
      <c r="B2058" s="138">
        <f>'Cap Outlay Deprec 26'!L10</f>
        <v>3917364</v>
      </c>
      <c r="C2058" s="2" t="s">
        <v>572</v>
      </c>
      <c r="D2058" s="2" t="str">
        <f t="shared" si="31"/>
        <v>Error?</v>
      </c>
    </row>
    <row r="2059" spans="1:4" x14ac:dyDescent="0.2">
      <c r="A2059" s="5">
        <v>1998</v>
      </c>
      <c r="B2059" s="138">
        <f>'Cap Outlay Deprec 26'!L12</f>
        <v>3035720</v>
      </c>
      <c r="C2059" s="2" t="s">
        <v>572</v>
      </c>
      <c r="D2059" s="2" t="str">
        <f t="shared" si="31"/>
        <v>Error?</v>
      </c>
    </row>
    <row r="2060" spans="1:4" x14ac:dyDescent="0.2">
      <c r="A2060" s="5">
        <v>1999</v>
      </c>
      <c r="B2060" s="138">
        <f>'Cap Outlay Deprec 26'!L13</f>
        <v>10410557</v>
      </c>
      <c r="C2060" s="2" t="s">
        <v>572</v>
      </c>
      <c r="D2060" s="2" t="str">
        <f t="shared" si="31"/>
        <v>Error?</v>
      </c>
    </row>
    <row r="2061" spans="1:4" x14ac:dyDescent="0.2">
      <c r="A2061" s="5">
        <v>2000</v>
      </c>
      <c r="B2061" s="138">
        <f>'Cap Outlay Deprec 26'!L16</f>
        <v>117404818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951857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951857</v>
      </c>
      <c r="C2088" s="2" t="s">
        <v>572</v>
      </c>
      <c r="D2088" s="2" t="str">
        <f t="shared" si="31"/>
        <v>Error?</v>
      </c>
    </row>
    <row r="2089" spans="1:4" x14ac:dyDescent="0.2">
      <c r="A2089" s="5">
        <v>2028</v>
      </c>
      <c r="B2089" s="138">
        <f>'Expenditures 15-22'!K92</f>
        <v>1229513</v>
      </c>
      <c r="C2089" s="2" t="s">
        <v>572</v>
      </c>
      <c r="D2089" s="2" t="str">
        <f t="shared" si="31"/>
        <v>Error?</v>
      </c>
    </row>
    <row r="2090" spans="1:4" x14ac:dyDescent="0.2">
      <c r="A2090" s="10">
        <v>2029</v>
      </c>
      <c r="D2090" s="2" t="str">
        <f t="shared" si="31"/>
        <v>OK</v>
      </c>
    </row>
    <row r="2091" spans="1:4" x14ac:dyDescent="0.2">
      <c r="A2091" s="5">
        <v>2030</v>
      </c>
      <c r="B2091" s="138">
        <f>'Expenditures 15-22'!H137</f>
        <v>321511</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321511</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11675000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4172400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636630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21417757</v>
      </c>
      <c r="C2551" s="2" t="s">
        <v>572</v>
      </c>
      <c r="D2551" s="2" t="str">
        <f t="shared" si="38"/>
        <v>Error?</v>
      </c>
    </row>
    <row r="2552" spans="1:4" x14ac:dyDescent="0.2">
      <c r="A2552" s="10">
        <v>2491</v>
      </c>
      <c r="D2552" s="2" t="str">
        <f t="shared" si="38"/>
        <v>OK</v>
      </c>
    </row>
    <row r="2553" spans="1:4" x14ac:dyDescent="0.2">
      <c r="A2553" s="5">
        <v>2492</v>
      </c>
      <c r="B2553" s="138">
        <f>'Acct Summary 7-8'!C6</f>
        <v>6268819</v>
      </c>
      <c r="C2553" s="2" t="s">
        <v>572</v>
      </c>
      <c r="D2553" s="2" t="str">
        <f t="shared" si="38"/>
        <v>Error?</v>
      </c>
    </row>
    <row r="2554" spans="1:4" x14ac:dyDescent="0.2">
      <c r="A2554" s="5">
        <v>2493</v>
      </c>
      <c r="B2554" s="138">
        <f>'Acct Summary 7-8'!C7</f>
        <v>557024</v>
      </c>
      <c r="C2554" s="2" t="s">
        <v>572</v>
      </c>
      <c r="D2554" s="2" t="str">
        <f t="shared" si="38"/>
        <v>Error?</v>
      </c>
    </row>
    <row r="2555" spans="1:4" x14ac:dyDescent="0.2">
      <c r="A2555" s="5">
        <v>2494</v>
      </c>
      <c r="B2555" s="138">
        <f>'Acct Summary 7-8'!C8</f>
        <v>28243600</v>
      </c>
      <c r="C2555" s="2" t="s">
        <v>572</v>
      </c>
      <c r="D2555" s="2" t="str">
        <f t="shared" si="38"/>
        <v>Error?</v>
      </c>
    </row>
    <row r="2556" spans="1:4" x14ac:dyDescent="0.2">
      <c r="A2556" s="5">
        <v>2495</v>
      </c>
      <c r="B2556" s="138">
        <f>'Acct Summary 7-8'!C12</f>
        <v>19699684</v>
      </c>
      <c r="C2556" s="2" t="s">
        <v>572</v>
      </c>
      <c r="D2556" s="2" t="str">
        <f t="shared" si="38"/>
        <v>Error?</v>
      </c>
    </row>
    <row r="2557" spans="1:4" x14ac:dyDescent="0.2">
      <c r="A2557" s="5">
        <v>2496</v>
      </c>
      <c r="B2557" s="138">
        <f>'Acct Summary 7-8'!C13</f>
        <v>5812372</v>
      </c>
      <c r="C2557" s="2" t="s">
        <v>572</v>
      </c>
      <c r="D2557" s="2" t="str">
        <f t="shared" si="38"/>
        <v>Error?</v>
      </c>
    </row>
    <row r="2558" spans="1:4" x14ac:dyDescent="0.2">
      <c r="A2558" s="5">
        <v>2497</v>
      </c>
      <c r="B2558" s="138">
        <f>'Acct Summary 7-8'!C14</f>
        <v>5707</v>
      </c>
      <c r="C2558" s="2" t="s">
        <v>572</v>
      </c>
      <c r="D2558" s="2" t="str">
        <f t="shared" si="38"/>
        <v>Error?</v>
      </c>
    </row>
    <row r="2559" spans="1:4" x14ac:dyDescent="0.2">
      <c r="A2559" s="5">
        <v>2498</v>
      </c>
      <c r="B2559" s="138">
        <f>'Acct Summary 7-8'!C15</f>
        <v>2181370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27699133</v>
      </c>
      <c r="C2561" s="2" t="s">
        <v>572</v>
      </c>
      <c r="D2561" s="2" t="str">
        <f t="shared" si="39"/>
        <v>Error?</v>
      </c>
    </row>
    <row r="2562" spans="1:4" x14ac:dyDescent="0.2">
      <c r="A2562" s="5">
        <v>2501</v>
      </c>
      <c r="B2562" s="138">
        <f>'Acct Summary 7-8'!C20</f>
        <v>544467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3763088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3763088</v>
      </c>
      <c r="C2568" s="2" t="s">
        <v>572</v>
      </c>
      <c r="D2568" s="2" t="str">
        <f t="shared" si="39"/>
        <v>Error?</v>
      </c>
    </row>
    <row r="2569" spans="1:4" x14ac:dyDescent="0.2">
      <c r="A2569" s="5">
        <v>2508</v>
      </c>
      <c r="B2569" s="138">
        <f>'Acct Summary 7-8'!D13</f>
        <v>3576786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321511</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3898297</v>
      </c>
      <c r="C2573" s="2" t="s">
        <v>572</v>
      </c>
      <c r="D2573" s="2" t="str">
        <f t="shared" si="39"/>
        <v>Error?</v>
      </c>
    </row>
    <row r="2574" spans="1:4" x14ac:dyDescent="0.2">
      <c r="A2574" s="5">
        <v>2513</v>
      </c>
      <c r="B2574" s="138">
        <f>'Acct Summary 7-8'!D20</f>
        <v>-135209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1660290</v>
      </c>
      <c r="C2591" s="2" t="s">
        <v>572</v>
      </c>
      <c r="D2591" s="2" t="str">
        <f t="shared" si="39"/>
        <v>Error?</v>
      </c>
    </row>
    <row r="2592" spans="1:4" x14ac:dyDescent="0.2">
      <c r="A2592" s="10">
        <v>2531</v>
      </c>
      <c r="D2592" s="2" t="str">
        <f t="shared" si="39"/>
        <v>OK</v>
      </c>
    </row>
    <row r="2593" spans="1:4" x14ac:dyDescent="0.2">
      <c r="A2593" s="5">
        <v>2532</v>
      </c>
      <c r="B2593" s="138">
        <f>'Acct Summary 7-8'!F6</f>
        <v>1283166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2943456</v>
      </c>
      <c r="C2595" s="2" t="s">
        <v>572</v>
      </c>
      <c r="D2595" s="2" t="str">
        <f t="shared" si="39"/>
        <v>Error?</v>
      </c>
    </row>
    <row r="2596" spans="1:4" x14ac:dyDescent="0.2">
      <c r="A2596" s="5">
        <v>2535</v>
      </c>
      <c r="B2596" s="138">
        <f>'Acct Summary 7-8'!F13</f>
        <v>2445719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2445719</v>
      </c>
      <c r="C2600" s="2" t="s">
        <v>572</v>
      </c>
      <c r="D2600" s="2" t="str">
        <f t="shared" si="39"/>
        <v>Error?</v>
      </c>
    </row>
    <row r="2601" spans="1:4" x14ac:dyDescent="0.2">
      <c r="A2601" s="5">
        <v>2540</v>
      </c>
      <c r="B2601" s="138">
        <f>'Acct Summary 7-8'!F20</f>
        <v>497737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1024803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1024803</v>
      </c>
      <c r="C2606" s="2" t="s">
        <v>572</v>
      </c>
      <c r="D2606" s="2" t="str">
        <f t="shared" si="39"/>
        <v>Error?</v>
      </c>
    </row>
    <row r="2607" spans="1:4" x14ac:dyDescent="0.2">
      <c r="A2607" s="5">
        <v>2546</v>
      </c>
      <c r="B2607" s="138">
        <f>'Acct Summary 7-8'!G12</f>
        <v>261959</v>
      </c>
      <c r="C2607" s="2" t="s">
        <v>572</v>
      </c>
      <c r="D2607" s="2" t="str">
        <f t="shared" si="39"/>
        <v>Error?</v>
      </c>
    </row>
    <row r="2608" spans="1:4" x14ac:dyDescent="0.2">
      <c r="A2608" s="5">
        <v>2547</v>
      </c>
      <c r="B2608" s="138">
        <f>'Acct Summary 7-8'!G13</f>
        <v>617764</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879723</v>
      </c>
      <c r="C2612" s="2" t="s">
        <v>572</v>
      </c>
      <c r="D2612" s="2" t="str">
        <f t="shared" si="39"/>
        <v>Error?</v>
      </c>
    </row>
    <row r="2613" spans="1:4" x14ac:dyDescent="0.2">
      <c r="A2613" s="5">
        <v>2552</v>
      </c>
      <c r="B2613" s="138">
        <f>'Acct Summary 7-8'!G20</f>
        <v>145080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8976704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8976704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9157213</v>
      </c>
      <c r="C2634" s="2" t="s">
        <v>572</v>
      </c>
      <c r="D2634" s="2" t="str">
        <f t="shared" si="40"/>
        <v>Error?</v>
      </c>
    </row>
    <row r="2635" spans="1:4" x14ac:dyDescent="0.2">
      <c r="A2635" s="5">
        <v>2574</v>
      </c>
      <c r="B2635" s="138">
        <f>'Acct Summary 7-8'!E17</f>
        <v>9157213</v>
      </c>
      <c r="C2635" s="2" t="s">
        <v>572</v>
      </c>
      <c r="D2635" s="2" t="str">
        <f t="shared" si="40"/>
        <v>Error?</v>
      </c>
    </row>
    <row r="2636" spans="1:4" x14ac:dyDescent="0.2">
      <c r="A2636" s="5">
        <v>2575</v>
      </c>
      <c r="B2636" s="138">
        <f>'Acct Summary 7-8'!E20</f>
        <v>-180509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209512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209512</v>
      </c>
      <c r="C2658" s="2" t="s">
        <v>572</v>
      </c>
      <c r="D2658" s="2" t="str">
        <f t="shared" si="40"/>
        <v>Error?</v>
      </c>
    </row>
    <row r="2659" spans="1:4" x14ac:dyDescent="0.2">
      <c r="A2659" s="5">
        <v>2598</v>
      </c>
      <c r="B2659" s="138">
        <f>'Acct Summary 7-8'!H13</f>
        <v>1608880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1608880</v>
      </c>
      <c r="C2661" s="2" t="s">
        <v>572</v>
      </c>
      <c r="D2661" s="2" t="str">
        <f t="shared" si="40"/>
        <v>Error?</v>
      </c>
    </row>
    <row r="2662" spans="1:4" x14ac:dyDescent="0.2">
      <c r="A2662" s="5">
        <v>2601</v>
      </c>
      <c r="B2662" s="138">
        <f>'Acct Summary 7-8'!H20</f>
        <v>-1399368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1698788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13561446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13630584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443519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1890740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13630584</v>
      </c>
      <c r="D2912" s="2" t="str">
        <f t="shared" si="44"/>
        <v>Error?</v>
      </c>
    </row>
    <row r="2913" spans="1:4" x14ac:dyDescent="0.2">
      <c r="A2913" s="5">
        <v>2852</v>
      </c>
      <c r="B2913" s="138">
        <f>'Assets-Liab 5-6'!I41</f>
        <v>13630584</v>
      </c>
      <c r="C2913" s="2" t="s">
        <v>572</v>
      </c>
      <c r="D2913" s="2" t="str">
        <f t="shared" si="44"/>
        <v>Error?</v>
      </c>
    </row>
    <row r="2914" spans="1:4" x14ac:dyDescent="0.2">
      <c r="A2914" s="5">
        <v>2853</v>
      </c>
      <c r="B2914" s="138">
        <f>'Assets-Liab 5-6'!L33</f>
        <v>558426</v>
      </c>
      <c r="D2914" s="2" t="str">
        <f t="shared" si="44"/>
        <v>Error?</v>
      </c>
    </row>
    <row r="2915" spans="1:4" x14ac:dyDescent="0.2">
      <c r="A2915" s="10">
        <v>2854</v>
      </c>
      <c r="D2915" s="2" t="str">
        <f t="shared" si="44"/>
        <v>OK</v>
      </c>
    </row>
    <row r="2916" spans="1:4" x14ac:dyDescent="0.2">
      <c r="A2916" s="5">
        <v>2855</v>
      </c>
      <c r="B2916" s="138">
        <f>'Assets-Liab 5-6'!L34</f>
        <v>558426</v>
      </c>
      <c r="C2916" s="2" t="s">
        <v>572</v>
      </c>
      <c r="D2916" s="2" t="str">
        <f t="shared" si="44"/>
        <v>Error?</v>
      </c>
    </row>
    <row r="2917" spans="1:4" x14ac:dyDescent="0.2">
      <c r="A2917" s="5">
        <v>2856</v>
      </c>
      <c r="B2917" s="138">
        <f>'Assets-Liab 5-6'!L41</f>
        <v>1890740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188205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763652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188205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763652</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321511</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321511</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1332314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775232</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1016820</v>
      </c>
      <c r="C3225" s="2" t="s">
        <v>572</v>
      </c>
      <c r="D3225" s="2" t="str">
        <f t="shared" si="49"/>
        <v>Error?</v>
      </c>
    </row>
    <row r="3226" spans="1:4" x14ac:dyDescent="0.2">
      <c r="A3226" s="5">
        <v>3165</v>
      </c>
      <c r="B3226" s="138">
        <f>'Acct Summary 7-8'!I8</f>
        <v>1016820</v>
      </c>
      <c r="C3226" s="2" t="s">
        <v>572</v>
      </c>
      <c r="D3226" s="2" t="str">
        <f t="shared" si="49"/>
        <v>Error?</v>
      </c>
    </row>
    <row r="3227" spans="1:4" x14ac:dyDescent="0.2">
      <c r="A3227" s="5">
        <v>3166</v>
      </c>
      <c r="B3227" s="138">
        <f>'Acct Summary 7-8'!I20</f>
        <v>1016820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544467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475000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475000</v>
      </c>
      <c r="C3238" s="2" t="s">
        <v>572</v>
      </c>
      <c r="D3238" s="2" t="str">
        <f t="shared" si="49"/>
        <v>Error?</v>
      </c>
    </row>
    <row r="3239" spans="1:4" x14ac:dyDescent="0.2">
      <c r="A3239" s="5">
        <v>3178</v>
      </c>
      <c r="B3239" s="138">
        <f>'Acct Summary 7-8'!D78</f>
        <v>339791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497737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145080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1118116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1118116</v>
      </c>
      <c r="C3277" s="2" t="s">
        <v>572</v>
      </c>
      <c r="D3277" s="2" t="str">
        <f t="shared" si="50"/>
        <v>Error?</v>
      </c>
    </row>
    <row r="3278" spans="1:4" x14ac:dyDescent="0.2">
      <c r="A3278" s="5">
        <v>3217</v>
      </c>
      <c r="B3278" s="138">
        <f>'Acct Summary 7-8'!E78</f>
        <v>937607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11200000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11200000</v>
      </c>
      <c r="C3299" s="2" t="s">
        <v>572</v>
      </c>
      <c r="D3299" s="2" t="str">
        <f t="shared" si="50"/>
        <v>Error?</v>
      </c>
    </row>
    <row r="3300" spans="1:4" x14ac:dyDescent="0.2">
      <c r="A3300" s="5">
        <v>3239</v>
      </c>
      <c r="B3300" s="138">
        <f>'Acct Summary 7-8'!H78</f>
        <v>9800632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11200000</v>
      </c>
      <c r="C3317" s="2" t="s">
        <v>572</v>
      </c>
      <c r="D3317" s="2" t="str">
        <f t="shared" si="50"/>
        <v>Error?</v>
      </c>
    </row>
    <row r="3318" spans="1:4" x14ac:dyDescent="0.2">
      <c r="A3318" s="5">
        <v>3257</v>
      </c>
      <c r="B3318" s="138">
        <f>'Acct Summary 7-8'!I76</f>
        <v>11675000</v>
      </c>
      <c r="C3318" s="2" t="s">
        <v>572</v>
      </c>
      <c r="D3318" s="2" t="str">
        <f t="shared" si="50"/>
        <v>Error?</v>
      </c>
    </row>
    <row r="3319" spans="1:4" x14ac:dyDescent="0.2">
      <c r="A3319" s="5">
        <v>3258</v>
      </c>
      <c r="B3319" s="138">
        <f>'Acct Summary 7-8'!I77</f>
        <v>-475000</v>
      </c>
      <c r="C3319" s="2" t="s">
        <v>572</v>
      </c>
      <c r="D3319" s="2" t="str">
        <f t="shared" si="50"/>
        <v>Error?</v>
      </c>
    </row>
    <row r="3320" spans="1:4" x14ac:dyDescent="0.2">
      <c r="A3320" s="5">
        <v>3259</v>
      </c>
      <c r="B3320" s="138">
        <f>'Acct Summary 7-8'!I78</f>
        <v>541820</v>
      </c>
      <c r="C3320" s="2" t="s">
        <v>572</v>
      </c>
      <c r="D3320" s="2" t="str">
        <f t="shared" si="50"/>
        <v>Error?</v>
      </c>
    </row>
    <row r="3321" spans="1:4" x14ac:dyDescent="0.2">
      <c r="A3321" s="5">
        <v>3260</v>
      </c>
      <c r="B3321" s="138">
        <f>'Acct Summary 7-8'!I79</f>
        <v>13088764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13630584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1168084</v>
      </c>
      <c r="D3366" s="2" t="str">
        <f t="shared" si="51"/>
        <v>Error?</v>
      </c>
    </row>
    <row r="3367" spans="1:4" x14ac:dyDescent="0.2">
      <c r="A3367" s="5">
        <v>3306</v>
      </c>
      <c r="B3367" s="138">
        <f>'Expenditures 15-22'!C19</f>
        <v>114821</v>
      </c>
      <c r="D3367" s="2" t="str">
        <f t="shared" si="51"/>
        <v>Error?</v>
      </c>
    </row>
    <row r="3368" spans="1:4" x14ac:dyDescent="0.2">
      <c r="A3368" s="5">
        <v>3307</v>
      </c>
      <c r="B3368" s="138">
        <f>'Expenditures 15-22'!D8</f>
        <v>364255</v>
      </c>
      <c r="D3368" s="2" t="str">
        <f t="shared" si="51"/>
        <v>Error?</v>
      </c>
    </row>
    <row r="3369" spans="1:4" x14ac:dyDescent="0.2">
      <c r="A3369" s="5">
        <v>3308</v>
      </c>
      <c r="B3369" s="138">
        <f>'Expenditures 15-22'!D19</f>
        <v>25142</v>
      </c>
      <c r="D3369" s="2" t="str">
        <f t="shared" si="51"/>
        <v>Error?</v>
      </c>
    </row>
    <row r="3370" spans="1:4" x14ac:dyDescent="0.2">
      <c r="A3370" s="5">
        <v>3309</v>
      </c>
      <c r="B3370" s="138">
        <f>'Expenditures 15-22'!E8</f>
        <v>61198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21863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27720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1643120</v>
      </c>
      <c r="C3380" s="2" t="s">
        <v>572</v>
      </c>
      <c r="D3380" s="2" t="str">
        <f t="shared" si="51"/>
        <v>Error?</v>
      </c>
    </row>
    <row r="3381" spans="1:4" x14ac:dyDescent="0.2">
      <c r="A3381" s="5">
        <v>3320</v>
      </c>
      <c r="B3381" s="138">
        <f>'Expenditures 15-22'!K19</f>
        <v>139963</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132254</v>
      </c>
      <c r="D3387" s="2" t="str">
        <f t="shared" si="51"/>
        <v>Error?</v>
      </c>
    </row>
    <row r="3388" spans="1:4" x14ac:dyDescent="0.2">
      <c r="A3388" s="5">
        <v>3327</v>
      </c>
      <c r="B3388" s="138">
        <f>'Expenditures 15-22'!D217</f>
        <v>43910</v>
      </c>
      <c r="D3388" s="2" t="str">
        <f t="shared" si="51"/>
        <v>Error?</v>
      </c>
    </row>
    <row r="3389" spans="1:4" x14ac:dyDescent="0.2">
      <c r="A3389" s="5">
        <v>3328</v>
      </c>
      <c r="B3389" s="138">
        <f>'Expenditures 15-22'!D228</f>
        <v>6333</v>
      </c>
      <c r="D3389" s="2" t="str">
        <f t="shared" si="51"/>
        <v>Error?</v>
      </c>
    </row>
    <row r="3390" spans="1:4" x14ac:dyDescent="0.2">
      <c r="A3390" s="5">
        <v>3329</v>
      </c>
      <c r="B3390" s="138">
        <f>'Expenditures 15-22'!K215</f>
        <v>132254</v>
      </c>
      <c r="C3390" s="2" t="s">
        <v>572</v>
      </c>
      <c r="D3390" s="2" t="str">
        <f t="shared" si="51"/>
        <v>Error?</v>
      </c>
    </row>
    <row r="3391" spans="1:4" x14ac:dyDescent="0.2">
      <c r="A3391" s="5">
        <v>3330</v>
      </c>
      <c r="B3391" s="138">
        <f>'Expenditures 15-22'!K217</f>
        <v>43910</v>
      </c>
      <c r="C3391" s="2" t="s">
        <v>572</v>
      </c>
      <c r="D3391" s="2" t="str">
        <f t="shared" ref="D3391:D3454" si="52">IF(ISBLANK(B3391),"OK",IF(A3391-B3391=0,"OK","Error?"))</f>
        <v>Error?</v>
      </c>
    </row>
    <row r="3392" spans="1:4" x14ac:dyDescent="0.2">
      <c r="A3392" s="5">
        <v>3331</v>
      </c>
      <c r="B3392" s="138">
        <f>'Expenditures 15-22'!K228</f>
        <v>6333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1745953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710528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1569235</v>
      </c>
      <c r="D3417" s="2" t="str">
        <f t="shared" si="52"/>
        <v>Error?</v>
      </c>
    </row>
    <row r="3418" spans="1:4" x14ac:dyDescent="0.2">
      <c r="A3418" s="10">
        <v>3357</v>
      </c>
      <c r="D3418" s="2" t="str">
        <f t="shared" si="52"/>
        <v>OK</v>
      </c>
    </row>
    <row r="3419" spans="1:4" x14ac:dyDescent="0.2">
      <c r="A3419" s="5">
        <v>3358</v>
      </c>
      <c r="B3419" s="138">
        <f>'Assets-Liab 5-6'!F4</f>
        <v>111820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184923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9782000</v>
      </c>
      <c r="D3425" s="2" t="str">
        <f t="shared" si="52"/>
        <v>Error?</v>
      </c>
    </row>
    <row r="3426" spans="1:4" x14ac:dyDescent="0.2">
      <c r="A3426" s="10">
        <v>3365</v>
      </c>
      <c r="D3426" s="2" t="str">
        <f t="shared" si="52"/>
        <v>OK</v>
      </c>
    </row>
    <row r="3427" spans="1:4" x14ac:dyDescent="0.2">
      <c r="A3427" s="5">
        <v>3366</v>
      </c>
      <c r="B3427" s="138">
        <f>'Assets-Liab 5-6'!I4</f>
        <v>69138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1447221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487902</v>
      </c>
      <c r="C3446" s="2" t="s">
        <v>572</v>
      </c>
      <c r="D3446" s="2" t="str">
        <f t="shared" si="52"/>
        <v>Error?</v>
      </c>
    </row>
    <row r="3447" spans="1:4" x14ac:dyDescent="0.2">
      <c r="A3447" s="5">
        <v>3386</v>
      </c>
      <c r="B3447" s="138">
        <f>'Tax Sched 23'!D16</f>
        <v>315266</v>
      </c>
      <c r="C3447" s="2" t="s">
        <v>572</v>
      </c>
      <c r="D3447" s="2" t="str">
        <f t="shared" si="52"/>
        <v>Error?</v>
      </c>
    </row>
    <row r="3448" spans="1:4" x14ac:dyDescent="0.2">
      <c r="A3448" s="5">
        <v>3387</v>
      </c>
      <c r="B3448" s="138">
        <f>'Tax Sched 23'!C16</f>
        <v>172636</v>
      </c>
      <c r="D3448" s="2" t="str">
        <f t="shared" si="52"/>
        <v>Error?</v>
      </c>
    </row>
    <row r="3449" spans="1:4" x14ac:dyDescent="0.2">
      <c r="A3449" s="5">
        <v>3388</v>
      </c>
      <c r="B3449" s="138">
        <f>'Tax Sched 23'!F16</f>
        <v>333688</v>
      </c>
      <c r="C3449" s="2" t="s">
        <v>572</v>
      </c>
      <c r="D3449" s="2" t="str">
        <f t="shared" si="52"/>
        <v>Error?</v>
      </c>
    </row>
    <row r="3450" spans="1:4" x14ac:dyDescent="0.2">
      <c r="A3450" s="5">
        <v>3389</v>
      </c>
      <c r="B3450" s="138">
        <f>'Tax Sched 23'!E16</f>
        <v>506324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1698788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1698788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1698788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9286554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1170238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10456792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10456792</v>
      </c>
      <c r="D3567" s="2" t="str">
        <f t="shared" si="54"/>
        <v>Error?</v>
      </c>
    </row>
    <row r="3568" spans="1:4" x14ac:dyDescent="0.2">
      <c r="A3568" s="5">
        <v>3507</v>
      </c>
      <c r="B3568" s="138">
        <f>'Assets-Liab 5-6'!K41</f>
        <v>10456792</v>
      </c>
      <c r="C3568" s="2" t="s">
        <v>572</v>
      </c>
      <c r="D3568" s="2" t="str">
        <f t="shared" si="54"/>
        <v>Error?</v>
      </c>
    </row>
    <row r="3569" spans="1:4" x14ac:dyDescent="0.2">
      <c r="A3569" s="5">
        <v>3508</v>
      </c>
      <c r="B3569" s="138">
        <f>'Acct Summary 7-8'!K4</f>
        <v>715433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715433</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715433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7906698</v>
      </c>
      <c r="D3579" s="2" t="str">
        <f t="shared" si="54"/>
        <v>Error?</v>
      </c>
    </row>
    <row r="3580" spans="1:4" x14ac:dyDescent="0.2">
      <c r="A3580" s="5">
        <v>3519</v>
      </c>
      <c r="B3580" s="138">
        <f>'Acct Summary 7-8'!K34</f>
        <v>893302</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8800000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8800000</v>
      </c>
      <c r="C3587" s="2" t="s">
        <v>572</v>
      </c>
      <c r="D3587" s="2" t="str">
        <f t="shared" si="55"/>
        <v>Error?</v>
      </c>
    </row>
    <row r="3588" spans="1:4" x14ac:dyDescent="0.2">
      <c r="A3588" s="5">
        <v>3527</v>
      </c>
      <c r="B3588" s="138">
        <f>'Acct Summary 7-8'!K78</f>
        <v>9515433</v>
      </c>
      <c r="C3588" s="2" t="s">
        <v>572</v>
      </c>
      <c r="D3588" s="2" t="str">
        <f t="shared" si="55"/>
        <v>Error?</v>
      </c>
    </row>
    <row r="3589" spans="1:4" x14ac:dyDescent="0.2">
      <c r="A3589" s="5">
        <v>3528</v>
      </c>
      <c r="B3589" s="138">
        <f>'Acct Summary 7-8'!K79</f>
        <v>941359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10456792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715433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672662</v>
      </c>
      <c r="C3725" s="2" t="s">
        <v>572</v>
      </c>
      <c r="D3725" s="2" t="str">
        <f t="shared" si="57"/>
        <v>Error?</v>
      </c>
    </row>
    <row r="3726" spans="1:4" x14ac:dyDescent="0.2">
      <c r="A3726" s="5">
        <v>3665</v>
      </c>
      <c r="B3726" s="138">
        <f>'Tax Sched 23'!D13</f>
        <v>434204</v>
      </c>
      <c r="C3726" s="2" t="s">
        <v>572</v>
      </c>
      <c r="D3726" s="2" t="str">
        <f t="shared" si="57"/>
        <v>Error?</v>
      </c>
    </row>
    <row r="3727" spans="1:4" x14ac:dyDescent="0.2">
      <c r="A3727" s="5">
        <v>3666</v>
      </c>
      <c r="B3727" s="138">
        <f>'Tax Sched 23'!C13</f>
        <v>238458</v>
      </c>
      <c r="D3727" s="2" t="str">
        <f t="shared" si="57"/>
        <v>Error?</v>
      </c>
    </row>
    <row r="3728" spans="1:4" x14ac:dyDescent="0.2">
      <c r="A3728" s="5">
        <v>3667</v>
      </c>
      <c r="B3728" s="138">
        <f>'Tax Sched 23'!F13</f>
        <v>461864</v>
      </c>
      <c r="C3728" s="2" t="s">
        <v>572</v>
      </c>
      <c r="D3728" s="2" t="str">
        <f t="shared" si="57"/>
        <v>Error?</v>
      </c>
    </row>
    <row r="3729" spans="1:4" x14ac:dyDescent="0.2">
      <c r="A3729" s="5">
        <v>3668</v>
      </c>
      <c r="B3729" s="138">
        <f>'Tax Sched 23'!E13</f>
        <v>700322</v>
      </c>
      <c r="D3729" s="2" t="str">
        <f t="shared" si="57"/>
        <v>Error?</v>
      </c>
    </row>
    <row r="3730" spans="1:4" x14ac:dyDescent="0.2">
      <c r="A3730" s="5">
        <v>3669</v>
      </c>
      <c r="B3730" s="138">
        <f>'ICR Computation 30'!E10</f>
        <v>5718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52270</v>
      </c>
      <c r="D4081" s="2" t="str">
        <f t="shared" si="62"/>
        <v>Error?</v>
      </c>
    </row>
    <row r="4082" spans="1:4" x14ac:dyDescent="0.2">
      <c r="A4082" s="5">
        <v>4021</v>
      </c>
      <c r="B4082" s="138">
        <f>'Expenditures 15-22'!D180</f>
        <v>9107</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61377</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1769705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30013305</v>
      </c>
      <c r="C4122" s="2" t="s">
        <v>572</v>
      </c>
      <c r="D4122" s="2" t="str">
        <f t="shared" si="63"/>
        <v>Error?</v>
      </c>
    </row>
    <row r="4123" spans="1:4" x14ac:dyDescent="0.2">
      <c r="A4123" s="5">
        <v>4062</v>
      </c>
      <c r="B4123" s="138">
        <f>'Acct Summary 7-8'!D10</f>
        <v>3763088</v>
      </c>
      <c r="C4123" s="2" t="s">
        <v>572</v>
      </c>
      <c r="D4123" s="2" t="str">
        <f t="shared" si="63"/>
        <v>Error?</v>
      </c>
    </row>
    <row r="4124" spans="1:4" x14ac:dyDescent="0.2">
      <c r="A4124" s="5">
        <v>4063</v>
      </c>
      <c r="B4124" s="138">
        <f>'Acct Summary 7-8'!E10</f>
        <v>8976704</v>
      </c>
      <c r="C4124" s="2" t="s">
        <v>572</v>
      </c>
      <c r="D4124" s="2" t="str">
        <f t="shared" si="63"/>
        <v>Error?</v>
      </c>
    </row>
    <row r="4125" spans="1:4" x14ac:dyDescent="0.2">
      <c r="A4125" s="5">
        <v>4064</v>
      </c>
      <c r="B4125" s="138">
        <f>'Acct Summary 7-8'!F10</f>
        <v>2943456</v>
      </c>
      <c r="C4125" s="2" t="s">
        <v>572</v>
      </c>
      <c r="D4125" s="2" t="str">
        <f t="shared" si="63"/>
        <v>Error?</v>
      </c>
    </row>
    <row r="4126" spans="1:4" x14ac:dyDescent="0.2">
      <c r="A4126" s="5">
        <v>4065</v>
      </c>
      <c r="B4126" s="138">
        <f>'Acct Summary 7-8'!G10</f>
        <v>1024803</v>
      </c>
      <c r="C4126" s="2" t="s">
        <v>572</v>
      </c>
      <c r="D4126" s="2" t="str">
        <f t="shared" si="63"/>
        <v>Error?</v>
      </c>
    </row>
    <row r="4127" spans="1:4" x14ac:dyDescent="0.2">
      <c r="A4127" s="5">
        <v>4066</v>
      </c>
      <c r="B4127" s="138">
        <f>'Acct Summary 7-8'!H10</f>
        <v>209512</v>
      </c>
      <c r="C4127" s="2" t="s">
        <v>572</v>
      </c>
      <c r="D4127" s="2" t="str">
        <f t="shared" si="63"/>
        <v>Error?</v>
      </c>
    </row>
    <row r="4128" spans="1:4" x14ac:dyDescent="0.2">
      <c r="A4128" s="5">
        <v>4067</v>
      </c>
      <c r="B4128" s="138">
        <f>'Acct Summary 7-8'!I10</f>
        <v>1016820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715433</v>
      </c>
      <c r="C4130" s="2" t="s">
        <v>572</v>
      </c>
      <c r="D4130" s="2" t="str">
        <f t="shared" si="63"/>
        <v>Error?</v>
      </c>
    </row>
    <row r="4131" spans="1:4" x14ac:dyDescent="0.2">
      <c r="A4131" s="5">
        <v>4070</v>
      </c>
      <c r="B4131" s="138">
        <f>'Acct Summary 7-8'!C18</f>
        <v>1769705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29468838</v>
      </c>
      <c r="C4136" s="2" t="s">
        <v>572</v>
      </c>
      <c r="D4136" s="2" t="str">
        <f t="shared" si="63"/>
        <v>Error?</v>
      </c>
    </row>
    <row r="4137" spans="1:4" x14ac:dyDescent="0.2">
      <c r="A4137" s="5">
        <v>4076</v>
      </c>
      <c r="B4137" s="138">
        <f>'Acct Summary 7-8'!D19</f>
        <v>3898297</v>
      </c>
      <c r="C4137" s="2" t="s">
        <v>572</v>
      </c>
      <c r="D4137" s="2" t="str">
        <f t="shared" si="63"/>
        <v>Error?</v>
      </c>
    </row>
    <row r="4138" spans="1:4" x14ac:dyDescent="0.2">
      <c r="A4138" s="5">
        <v>4077</v>
      </c>
      <c r="B4138" s="138">
        <f>'Acct Summary 7-8'!E19</f>
        <v>9157213</v>
      </c>
      <c r="C4138" s="2" t="s">
        <v>572</v>
      </c>
      <c r="D4138" s="2" t="str">
        <f t="shared" si="63"/>
        <v>Error?</v>
      </c>
    </row>
    <row r="4139" spans="1:4" x14ac:dyDescent="0.2">
      <c r="A4139" s="5">
        <v>4078</v>
      </c>
      <c r="B4139" s="138">
        <f>'Acct Summary 7-8'!F19</f>
        <v>2445719</v>
      </c>
      <c r="C4139" s="2" t="s">
        <v>572</v>
      </c>
      <c r="D4139" s="2" t="str">
        <f t="shared" si="63"/>
        <v>Error?</v>
      </c>
    </row>
    <row r="4140" spans="1:4" x14ac:dyDescent="0.2">
      <c r="A4140" s="5">
        <v>4079</v>
      </c>
      <c r="B4140" s="138">
        <f>'Acct Summary 7-8'!G19</f>
        <v>879723</v>
      </c>
      <c r="C4140" s="2" t="s">
        <v>572</v>
      </c>
      <c r="D4140" s="2" t="str">
        <f t="shared" si="63"/>
        <v>Error?</v>
      </c>
    </row>
    <row r="4141" spans="1:4" x14ac:dyDescent="0.2">
      <c r="A4141" s="5">
        <v>4080</v>
      </c>
      <c r="B4141" s="138">
        <f>'Acct Summary 7-8'!H19</f>
        <v>1608880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63680000</v>
      </c>
      <c r="C4171" s="2" t="s">
        <v>572</v>
      </c>
      <c r="D4171" s="2" t="str">
        <f t="shared" si="64"/>
        <v>Error?</v>
      </c>
    </row>
    <row r="4172" spans="1:4" x14ac:dyDescent="0.2">
      <c r="A4172" s="5">
        <v>4111</v>
      </c>
      <c r="B4172" s="138">
        <f>'Short-Term Long-Term Debt 24'!J49</f>
        <v>57846181</v>
      </c>
      <c r="C4172" s="2" t="s">
        <v>572</v>
      </c>
      <c r="D4172" s="2" t="str">
        <f t="shared" si="64"/>
        <v>Error?</v>
      </c>
    </row>
    <row r="4173" spans="1:4" x14ac:dyDescent="0.2">
      <c r="A4173" s="5">
        <v>4112</v>
      </c>
      <c r="B4173" s="138">
        <f>'Short-Term Long-Term Debt 24'!H49</f>
        <v>6955000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1220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1590</v>
      </c>
      <c r="C4268" s="2" t="s">
        <v>572</v>
      </c>
      <c r="D4268" s="2" t="str">
        <f t="shared" si="65"/>
        <v>Error?</v>
      </c>
    </row>
    <row r="4269" spans="1:5" x14ac:dyDescent="0.2">
      <c r="A4269" s="12">
        <v>4208</v>
      </c>
      <c r="B4269" s="138">
        <f>'FP Info 3'!J16</f>
        <v>29535939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7775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83349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13259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1400642729</v>
      </c>
      <c r="D4995" s="2" t="str">
        <f t="shared" si="77"/>
        <v>Error?</v>
      </c>
    </row>
    <row r="4996" spans="1:4" x14ac:dyDescent="0.2">
      <c r="A4996" s="12">
        <v>4935</v>
      </c>
      <c r="B4996" s="138">
        <f>'FP Info 3'!H31</f>
        <v>96644348.301000014</v>
      </c>
      <c r="D4996" s="2" t="str">
        <f t="shared" si="77"/>
        <v>Error?</v>
      </c>
    </row>
    <row r="4997" spans="1:4" x14ac:dyDescent="0.2">
      <c r="A4997" s="12">
        <v>4936</v>
      </c>
      <c r="B4997" s="138">
        <f>'FP Info 3'!H37</f>
        <v>63680000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672662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16385886</v>
      </c>
      <c r="D5061" s="2" t="str">
        <f t="shared" si="78"/>
        <v>Error?</v>
      </c>
    </row>
    <row r="5062" spans="1:4" x14ac:dyDescent="0.2">
      <c r="A5062" s="10">
        <v>5001</v>
      </c>
      <c r="D5062" s="2" t="str">
        <f t="shared" si="78"/>
        <v>OK</v>
      </c>
    </row>
    <row r="5063" spans="1:4" x14ac:dyDescent="0.2">
      <c r="A5063" s="5">
        <v>5002</v>
      </c>
      <c r="B5063" s="138">
        <f>'Revenues 9-14'!C7</f>
        <v>268740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17327288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313991</v>
      </c>
      <c r="D5069" s="2" t="str">
        <f t="shared" si="78"/>
        <v>Error?</v>
      </c>
    </row>
    <row r="5070" spans="1:4" x14ac:dyDescent="0.2">
      <c r="A5070" s="5">
        <v>5009</v>
      </c>
      <c r="B5070" s="138">
        <f>'Revenues 9-14'!C17</f>
        <v>24689</v>
      </c>
      <c r="D5070" s="2" t="str">
        <f t="shared" si="78"/>
        <v>Error?</v>
      </c>
    </row>
    <row r="5071" spans="1:4" x14ac:dyDescent="0.2">
      <c r="A5071" s="5">
        <v>5010</v>
      </c>
      <c r="B5071" s="138">
        <f>'Revenues 9-14'!C18</f>
        <v>338680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13060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13060</v>
      </c>
      <c r="C5087" s="2" t="s">
        <v>572</v>
      </c>
      <c r="D5087" s="2" t="str">
        <f t="shared" si="78"/>
        <v>Error?</v>
      </c>
    </row>
    <row r="5088" spans="1:4" x14ac:dyDescent="0.2">
      <c r="A5088" s="5">
        <v>5027</v>
      </c>
      <c r="B5088" s="138">
        <f>'Revenues 9-14'!C65</f>
        <v>273421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273421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1018474</v>
      </c>
      <c r="C5096" s="2" t="s">
        <v>572</v>
      </c>
      <c r="D5096" s="2" t="str">
        <f t="shared" si="78"/>
        <v>Error?</v>
      </c>
    </row>
    <row r="5097" spans="1:4" x14ac:dyDescent="0.2">
      <c r="A5097" s="5">
        <v>5036</v>
      </c>
      <c r="B5097" s="138">
        <f>'Revenues 9-14'!C77</f>
        <v>74984</v>
      </c>
      <c r="D5097" s="2" t="str">
        <f t="shared" si="78"/>
        <v>Error?</v>
      </c>
    </row>
    <row r="5098" spans="1:4" x14ac:dyDescent="0.2">
      <c r="A5098" s="5">
        <v>5037</v>
      </c>
      <c r="B5098" s="138">
        <f>'Revenues 9-14'!C78</f>
        <v>28182</v>
      </c>
      <c r="D5098" s="2" t="str">
        <f t="shared" si="78"/>
        <v>Error?</v>
      </c>
    </row>
    <row r="5099" spans="1:4" x14ac:dyDescent="0.2">
      <c r="A5099" s="5">
        <v>5038</v>
      </c>
      <c r="B5099" s="138">
        <f>'Revenues 9-14'!C79</f>
        <v>250415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870</v>
      </c>
      <c r="D5101" s="2" t="str">
        <f t="shared" si="78"/>
        <v>Error?</v>
      </c>
    </row>
    <row r="5102" spans="1:4" x14ac:dyDescent="0.2">
      <c r="A5102" s="5">
        <v>5041</v>
      </c>
      <c r="B5102" s="138">
        <f>'Revenues 9-14'!C82</f>
        <v>354451</v>
      </c>
      <c r="C5102" s="2" t="s">
        <v>572</v>
      </c>
      <c r="D5102" s="2" t="str">
        <f t="shared" si="78"/>
        <v>Error?</v>
      </c>
    </row>
    <row r="5103" spans="1:4" x14ac:dyDescent="0.2">
      <c r="A5103" s="5">
        <v>5042</v>
      </c>
      <c r="B5103" s="138">
        <f>'Revenues 9-14'!C84</f>
        <v>555495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45688</v>
      </c>
      <c r="D5111" s="2" t="str">
        <f t="shared" si="78"/>
        <v>Error?</v>
      </c>
    </row>
    <row r="5112" spans="1:4" x14ac:dyDescent="0.2">
      <c r="A5112" s="5">
        <v>5051</v>
      </c>
      <c r="B5112" s="138">
        <f>'Revenues 9-14'!C93</f>
        <v>601183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110149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201074</v>
      </c>
      <c r="D5119" s="2" t="str">
        <f t="shared" ref="D5119:D5182" si="79">IF(ISBLANK(B5119),"OK",IF(A5119-B5119=0,"OK","Error?"))</f>
        <v>Error?</v>
      </c>
    </row>
    <row r="5120" spans="1:4" x14ac:dyDescent="0.2">
      <c r="A5120" s="5">
        <v>5059</v>
      </c>
      <c r="B5120" s="138">
        <f>'Revenues 9-14'!C108</f>
        <v>1491200</v>
      </c>
      <c r="C5120" s="2" t="s">
        <v>572</v>
      </c>
      <c r="D5120" s="2" t="str">
        <f t="shared" si="79"/>
        <v>Error?</v>
      </c>
    </row>
    <row r="5121" spans="1:4" x14ac:dyDescent="0.2">
      <c r="A5121" s="5">
        <v>5060</v>
      </c>
      <c r="B5121" s="138">
        <f>'Revenues 9-14'!C109</f>
        <v>21417757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5558390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5558390</v>
      </c>
      <c r="C5132" s="2" t="s">
        <v>572</v>
      </c>
      <c r="D5132" s="2" t="str">
        <f t="shared" si="79"/>
        <v>Error?</v>
      </c>
    </row>
    <row r="5133" spans="1:4" x14ac:dyDescent="0.2">
      <c r="A5133" s="5">
        <v>5072</v>
      </c>
      <c r="B5133" s="138">
        <f>'Revenues 9-14'!C125</f>
        <v>412877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412877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63028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65993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913</v>
      </c>
      <c r="D5167" s="2" t="str">
        <f t="shared" si="79"/>
        <v>Error?</v>
      </c>
    </row>
    <row r="5168" spans="1:4" x14ac:dyDescent="0.2">
      <c r="A5168" s="5">
        <v>5107</v>
      </c>
      <c r="B5168" s="138">
        <f>'Revenues 9-14'!C148</f>
        <v>97387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120000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710429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6268819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5718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5718</v>
      </c>
      <c r="C5246" s="2" t="s">
        <v>572</v>
      </c>
      <c r="D5246" s="2" t="str">
        <f t="shared" si="80"/>
        <v>Error?</v>
      </c>
    </row>
    <row r="5247" spans="1:4" x14ac:dyDescent="0.2">
      <c r="A5247" s="5">
        <v>5186</v>
      </c>
      <c r="B5247" s="138">
        <f>'Revenues 9-14'!C200</f>
        <v>240263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240263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219680</v>
      </c>
      <c r="D5278" s="2" t="str">
        <f t="shared" si="81"/>
        <v>Error?</v>
      </c>
    </row>
    <row r="5279" spans="1:4" x14ac:dyDescent="0.2">
      <c r="A5279" s="5">
        <v>5218</v>
      </c>
      <c r="B5279" s="138">
        <f>'Revenues 9-14'!C214</f>
        <v>239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219919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557024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557024</v>
      </c>
      <c r="C5326" s="2" t="s">
        <v>572</v>
      </c>
      <c r="D5326" s="2" t="str">
        <f t="shared" si="82"/>
        <v>Error?</v>
      </c>
    </row>
    <row r="5327" spans="1:5" x14ac:dyDescent="0.2">
      <c r="A5327" s="5">
        <v>5266</v>
      </c>
      <c r="B5327" s="138">
        <f>'Revenues 9-14'!C268</f>
        <v>28243600</v>
      </c>
      <c r="C5327" s="2" t="s">
        <v>572</v>
      </c>
      <c r="D5327" s="2" t="str">
        <f t="shared" si="82"/>
        <v>Error?</v>
      </c>
    </row>
    <row r="5328" spans="1:5" x14ac:dyDescent="0.2">
      <c r="A5328" s="5">
        <v>5267</v>
      </c>
      <c r="B5328" s="138">
        <f>'Revenues 9-14'!D5</f>
        <v>3358041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3358041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179403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179403</v>
      </c>
      <c r="C5339" s="2" t="s">
        <v>572</v>
      </c>
      <c r="D5339" s="2" t="str">
        <f t="shared" si="82"/>
        <v>Error?</v>
      </c>
    </row>
    <row r="5340" spans="1:4" x14ac:dyDescent="0.2">
      <c r="A5340" s="5">
        <v>5279</v>
      </c>
      <c r="B5340" s="138">
        <f>'Revenues 9-14'!D65</f>
        <v>59845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59845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16441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19358</v>
      </c>
      <c r="D5354" s="2" t="str">
        <f t="shared" si="82"/>
        <v>Error?</v>
      </c>
    </row>
    <row r="5355" spans="1:4" x14ac:dyDescent="0.2">
      <c r="A5355" s="5">
        <v>5294</v>
      </c>
      <c r="B5355" s="138">
        <f>'Revenues 9-14'!D108</f>
        <v>165799</v>
      </c>
      <c r="C5355" s="2" t="s">
        <v>572</v>
      </c>
      <c r="D5355" s="2" t="str">
        <f t="shared" si="82"/>
        <v>Error?</v>
      </c>
    </row>
    <row r="5356" spans="1:4" x14ac:dyDescent="0.2">
      <c r="A5356" s="5">
        <v>5295</v>
      </c>
      <c r="B5356" s="138">
        <f>'Revenues 9-14'!D109</f>
        <v>3763088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3763088</v>
      </c>
      <c r="C5508" s="2" t="s">
        <v>572</v>
      </c>
      <c r="D5508" s="2" t="str">
        <f t="shared" si="85"/>
        <v>Error?</v>
      </c>
    </row>
    <row r="5509" spans="1:4" x14ac:dyDescent="0.2">
      <c r="A5509" s="5">
        <v>5448</v>
      </c>
      <c r="B5509" s="138">
        <f>'Revenues 9-14'!E5</f>
        <v>8852061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8852061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124643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124643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8976704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8976704</v>
      </c>
      <c r="C5552" s="2" t="s">
        <v>572</v>
      </c>
      <c r="D5552" s="2" t="str">
        <f t="shared" si="85"/>
        <v>Error?</v>
      </c>
    </row>
    <row r="5553" spans="1:4" x14ac:dyDescent="0.2">
      <c r="A5553" s="5">
        <v>5492</v>
      </c>
      <c r="B5553" s="138">
        <f>'Revenues 9-14'!F5</f>
        <v>1612439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1612439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29005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29005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15914</v>
      </c>
      <c r="D5585" s="2" t="str">
        <f t="shared" si="86"/>
        <v>Error?</v>
      </c>
    </row>
    <row r="5586" spans="1:4" x14ac:dyDescent="0.2">
      <c r="A5586" s="5">
        <v>5525</v>
      </c>
      <c r="B5586" s="138">
        <f>'Revenues 9-14'!F107</f>
        <v>2932</v>
      </c>
      <c r="D5586" s="2" t="str">
        <f t="shared" si="86"/>
        <v>Error?</v>
      </c>
    </row>
    <row r="5587" spans="1:4" x14ac:dyDescent="0.2">
      <c r="A5587" s="5">
        <v>5526</v>
      </c>
      <c r="B5587" s="138">
        <f>'Revenues 9-14'!F108</f>
        <v>18846</v>
      </c>
      <c r="C5587" s="2" t="s">
        <v>572</v>
      </c>
      <c r="D5587" s="2" t="str">
        <f t="shared" si="86"/>
        <v>Error?</v>
      </c>
    </row>
    <row r="5588" spans="1:4" x14ac:dyDescent="0.2">
      <c r="A5588" s="5">
        <v>5527</v>
      </c>
      <c r="B5588" s="138">
        <f>'Revenues 9-14'!F109</f>
        <v>1660290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295359</v>
      </c>
      <c r="D5615" s="2" t="str">
        <f t="shared" si="86"/>
        <v>Error?</v>
      </c>
    </row>
    <row r="5616" spans="1:4" x14ac:dyDescent="0.2">
      <c r="A5616" s="10">
        <v>5555</v>
      </c>
      <c r="D5616" s="2" t="str">
        <f t="shared" si="86"/>
        <v>OK</v>
      </c>
    </row>
    <row r="5617" spans="1:5" x14ac:dyDescent="0.2">
      <c r="A5617" s="5">
        <v>5556</v>
      </c>
      <c r="B5617" s="138">
        <f>'Revenues 9-14'!F153</f>
        <v>987807</v>
      </c>
      <c r="D5617" s="2" t="str">
        <f t="shared" si="86"/>
        <v>Error?</v>
      </c>
    </row>
    <row r="5618" spans="1:5" x14ac:dyDescent="0.2">
      <c r="A5618" s="5">
        <v>5557</v>
      </c>
      <c r="B5618" s="138">
        <f>'Revenues 9-14'!F155</f>
        <v>1283166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1283166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1283166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2943456</v>
      </c>
      <c r="C5720" s="2" t="s">
        <v>572</v>
      </c>
      <c r="D5720" s="2" t="str">
        <f t="shared" si="88"/>
        <v>Error?</v>
      </c>
    </row>
    <row r="5721" spans="1:4" x14ac:dyDescent="0.2">
      <c r="A5721" s="5">
        <v>5660</v>
      </c>
      <c r="B5721" s="138">
        <f>'Revenues 9-14'!G5</f>
        <v>388655</v>
      </c>
      <c r="D5721" s="2" t="str">
        <f t="shared" si="88"/>
        <v>Error?</v>
      </c>
    </row>
    <row r="5722" spans="1:4" x14ac:dyDescent="0.2">
      <c r="A5722" s="5">
        <v>5661</v>
      </c>
      <c r="B5722" s="138">
        <f>'Revenues 9-14'!G7</f>
        <v>0</v>
      </c>
      <c r="D5722" s="2" t="str">
        <f t="shared" si="88"/>
        <v>Error?</v>
      </c>
    </row>
    <row r="5723" spans="1:4" x14ac:dyDescent="0.2">
      <c r="A5723" s="5">
        <v>5662</v>
      </c>
      <c r="B5723" s="138">
        <f>'Revenues 9-14'!G8</f>
        <v>487902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876557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89701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89701</v>
      </c>
      <c r="C5730" s="2" t="s">
        <v>572</v>
      </c>
      <c r="D5730" s="2" t="str">
        <f t="shared" si="88"/>
        <v>Error?</v>
      </c>
    </row>
    <row r="5731" spans="1:4" x14ac:dyDescent="0.2">
      <c r="A5731" s="5">
        <v>5670</v>
      </c>
      <c r="B5731" s="138">
        <f>'Revenues 9-14'!G65</f>
        <v>22545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22545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36000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1024803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27832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27832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181680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209512</v>
      </c>
      <c r="C5915" s="2" t="s">
        <v>572</v>
      </c>
      <c r="D5915" s="2" t="str">
        <f t="shared" si="91"/>
        <v>Error?</v>
      </c>
    </row>
    <row r="5916" spans="1:4" x14ac:dyDescent="0.2">
      <c r="A5916" s="5">
        <v>5855</v>
      </c>
      <c r="B5916" s="138">
        <f>'Revenues 9-14'!I5</f>
        <v>672661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672661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14915</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14915</v>
      </c>
      <c r="C5923" s="2" t="s">
        <v>572</v>
      </c>
      <c r="D5923" s="2" t="str">
        <f t="shared" si="91"/>
        <v>Error?</v>
      </c>
    </row>
    <row r="5924" spans="1:4" x14ac:dyDescent="0.2">
      <c r="A5924" s="5">
        <v>5863</v>
      </c>
      <c r="B5924" s="138">
        <f>'Revenues 9-14'!I65</f>
        <v>240744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240744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88500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1016820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672661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672661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16772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16772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26000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715433</v>
      </c>
      <c r="C6023" s="2" t="s">
        <v>572</v>
      </c>
      <c r="D6023" s="2" t="str">
        <f t="shared" si="93"/>
        <v>Error?</v>
      </c>
    </row>
    <row r="6024" spans="1:5" x14ac:dyDescent="0.2">
      <c r="A6024" s="5">
        <v>5963</v>
      </c>
      <c r="B6024" s="138">
        <f>'Revenues 9-14'!G109</f>
        <v>1024803</v>
      </c>
      <c r="C6024" s="2" t="s">
        <v>572</v>
      </c>
      <c r="D6024" s="2" t="str">
        <f t="shared" si="93"/>
        <v>Error?</v>
      </c>
    </row>
    <row r="6025" spans="1:5" x14ac:dyDescent="0.2">
      <c r="A6025" s="5">
        <v>5964</v>
      </c>
      <c r="B6025" s="138">
        <f>'Revenues 9-14'!H109</f>
        <v>209512</v>
      </c>
      <c r="C6025" s="2" t="s">
        <v>572</v>
      </c>
      <c r="D6025" s="2" t="str">
        <f t="shared" si="93"/>
        <v>Error?</v>
      </c>
    </row>
    <row r="6026" spans="1:5" x14ac:dyDescent="0.2">
      <c r="A6026" s="5">
        <v>5965</v>
      </c>
      <c r="B6026" s="138">
        <f>'Revenues 9-14'!I109</f>
        <v>1016820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715433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1018474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2641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2237744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2237744</v>
      </c>
      <c r="D6215" s="2" t="str">
        <f t="shared" si="96"/>
        <v>Error?</v>
      </c>
      <c r="E6215" s="2" t="s">
        <v>190</v>
      </c>
    </row>
    <row r="6216" spans="1:5" x14ac:dyDescent="0.2">
      <c r="A6216">
        <v>6155</v>
      </c>
      <c r="B6216" s="138">
        <f>'Assets-Liab 5-6'!J41</f>
        <v>2237744</v>
      </c>
      <c r="D6216" s="2" t="str">
        <f t="shared" si="96"/>
        <v>Error?</v>
      </c>
      <c r="E6216" s="2" t="s">
        <v>190</v>
      </c>
    </row>
    <row r="6217" spans="1:5" x14ac:dyDescent="0.2">
      <c r="A6217">
        <v>6156</v>
      </c>
      <c r="B6217" s="138">
        <f>'Assets-Liab 5-6'!J4</f>
        <v>18846</v>
      </c>
      <c r="D6217" s="2" t="str">
        <f t="shared" si="96"/>
        <v>Error?</v>
      </c>
      <c r="E6217" s="2" t="s">
        <v>190</v>
      </c>
    </row>
    <row r="6218" spans="1:5" x14ac:dyDescent="0.2">
      <c r="A6218">
        <v>6157</v>
      </c>
      <c r="B6218" s="138">
        <f>'Assets-Liab 5-6'!J5</f>
        <v>2218898</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1272706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1272706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1272706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1087050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1087050</v>
      </c>
      <c r="D6229" s="2" t="str">
        <f t="shared" si="96"/>
        <v>Error?</v>
      </c>
      <c r="E6229" s="2" t="s">
        <v>190</v>
      </c>
    </row>
    <row r="6230" spans="1:5" x14ac:dyDescent="0.2">
      <c r="A6230">
        <v>6169</v>
      </c>
      <c r="B6230" s="138">
        <f>'Acct Summary 7-8'!J20</f>
        <v>185656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185656</v>
      </c>
      <c r="D6263" s="2" t="str">
        <f t="shared" si="96"/>
        <v>Error?</v>
      </c>
      <c r="E6263" s="2" t="s">
        <v>190</v>
      </c>
    </row>
    <row r="6264" spans="1:5" x14ac:dyDescent="0.2">
      <c r="A6264">
        <v>6203</v>
      </c>
      <c r="B6264" s="138">
        <f>'Acct Summary 7-8'!J79</f>
        <v>2052088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2237744</v>
      </c>
      <c r="D6266" s="2" t="str">
        <f t="shared" si="96"/>
        <v>Error?</v>
      </c>
      <c r="E6266" s="2" t="s">
        <v>190</v>
      </c>
    </row>
    <row r="6267" spans="1:5" x14ac:dyDescent="0.2">
      <c r="A6267">
        <v>6206</v>
      </c>
      <c r="B6267" s="138">
        <f>'Acct Summary 7-8'!C82</f>
        <v>544467</v>
      </c>
      <c r="D6267" s="2" t="str">
        <f t="shared" si="96"/>
        <v>Error?</v>
      </c>
      <c r="E6267" s="2" t="s">
        <v>190</v>
      </c>
    </row>
    <row r="6268" spans="1:5" x14ac:dyDescent="0.2">
      <c r="A6268">
        <v>6207</v>
      </c>
      <c r="B6268" s="138">
        <f>'Acct Summary 7-8'!D82</f>
        <v>339791</v>
      </c>
      <c r="D6268" s="2" t="str">
        <f t="shared" si="96"/>
        <v>Error?</v>
      </c>
      <c r="E6268" s="2" t="s">
        <v>190</v>
      </c>
    </row>
    <row r="6269" spans="1:5" x14ac:dyDescent="0.2">
      <c r="A6269">
        <v>6208</v>
      </c>
      <c r="B6269" s="138">
        <f>'Acct Summary 7-8'!E82</f>
        <v>937607</v>
      </c>
      <c r="D6269" s="2" t="str">
        <f t="shared" si="96"/>
        <v>Error?</v>
      </c>
      <c r="E6269" s="2" t="s">
        <v>190</v>
      </c>
    </row>
    <row r="6270" spans="1:5" x14ac:dyDescent="0.2">
      <c r="A6270">
        <v>6209</v>
      </c>
      <c r="B6270" s="138">
        <f>'Acct Summary 7-8'!F82</f>
        <v>497737</v>
      </c>
      <c r="D6270" s="2" t="str">
        <f t="shared" si="96"/>
        <v>Error?</v>
      </c>
      <c r="E6270" s="2" t="s">
        <v>190</v>
      </c>
    </row>
    <row r="6271" spans="1:5" x14ac:dyDescent="0.2">
      <c r="A6271">
        <v>6210</v>
      </c>
      <c r="B6271" s="138">
        <f>'Acct Summary 7-8'!G82</f>
        <v>145080</v>
      </c>
      <c r="D6271" s="2" t="str">
        <f t="shared" ref="D6271:D6334" si="97">IF(ISBLANK(B6271),"OK",IF(A6271-B6271=0,"OK","Error?"))</f>
        <v>Error?</v>
      </c>
      <c r="E6271" s="2" t="s">
        <v>190</v>
      </c>
    </row>
    <row r="6272" spans="1:5" x14ac:dyDescent="0.2">
      <c r="A6272">
        <v>6211</v>
      </c>
      <c r="B6272" s="138">
        <f>'Acct Summary 7-8'!H82</f>
        <v>9800632</v>
      </c>
      <c r="D6272" s="2" t="str">
        <f t="shared" si="97"/>
        <v>Error?</v>
      </c>
      <c r="E6272" s="2" t="s">
        <v>190</v>
      </c>
    </row>
    <row r="6273" spans="1:5" x14ac:dyDescent="0.2">
      <c r="A6273">
        <v>6212</v>
      </c>
      <c r="B6273" s="138">
        <f>'Acct Summary 7-8'!I82</f>
        <v>541820</v>
      </c>
      <c r="D6273" s="2" t="str">
        <f t="shared" si="97"/>
        <v>Error?</v>
      </c>
      <c r="E6273" s="2" t="s">
        <v>190</v>
      </c>
    </row>
    <row r="6274" spans="1:5" x14ac:dyDescent="0.2">
      <c r="A6274">
        <v>6213</v>
      </c>
      <c r="B6274" s="138">
        <f>'Acct Summary 7-8'!J82</f>
        <v>185656</v>
      </c>
      <c r="D6274" s="2" t="str">
        <f t="shared" si="97"/>
        <v>Error?</v>
      </c>
      <c r="E6274" s="2" t="s">
        <v>190</v>
      </c>
    </row>
    <row r="6275" spans="1:5" x14ac:dyDescent="0.2">
      <c r="A6275">
        <v>6214</v>
      </c>
      <c r="B6275" s="138">
        <f>'Acct Summary 7-8'!K82</f>
        <v>9515433</v>
      </c>
      <c r="D6275" s="2" t="str">
        <f t="shared" si="97"/>
        <v>Error?</v>
      </c>
      <c r="E6275" s="2" t="s">
        <v>190</v>
      </c>
    </row>
    <row r="6276" spans="1:5" x14ac:dyDescent="0.2">
      <c r="A6276">
        <v>6215</v>
      </c>
      <c r="B6276" s="138">
        <f>'Acct Summary 7-8'!C83</f>
        <v>5.8664135066923188E-2</v>
      </c>
      <c r="D6276" s="2" t="str">
        <f t="shared" si="97"/>
        <v>Error?</v>
      </c>
      <c r="E6276" s="2" t="s">
        <v>190</v>
      </c>
    </row>
    <row r="6277" spans="1:5" x14ac:dyDescent="0.2">
      <c r="A6277">
        <v>6216</v>
      </c>
      <c r="B6277" s="138">
        <f>'Acct Summary 7-8'!D83</f>
        <v>9.301279657852754E-2</v>
      </c>
      <c r="D6277" s="2" t="str">
        <f t="shared" si="97"/>
        <v>Error?</v>
      </c>
      <c r="E6277" s="2" t="s">
        <v>190</v>
      </c>
    </row>
    <row r="6278" spans="1:5" x14ac:dyDescent="0.2">
      <c r="A6278">
        <v>6217</v>
      </c>
      <c r="B6278" s="138">
        <f>'Acct Summary 7-8'!E83</f>
        <v>0.16071924754607572</v>
      </c>
      <c r="D6278" s="2" t="str">
        <f t="shared" si="97"/>
        <v>Error?</v>
      </c>
      <c r="E6278" s="2" t="s">
        <v>190</v>
      </c>
    </row>
    <row r="6279" spans="1:5" x14ac:dyDescent="0.2">
      <c r="A6279">
        <v>6218</v>
      </c>
      <c r="B6279" s="138">
        <f>'Acct Summary 7-8'!F83</f>
        <v>0.16752599960351425</v>
      </c>
      <c r="D6279" s="2" t="str">
        <f t="shared" si="97"/>
        <v>Error?</v>
      </c>
      <c r="E6279" s="2" t="s">
        <v>190</v>
      </c>
    </row>
    <row r="6280" spans="1:5" x14ac:dyDescent="0.2">
      <c r="A6280">
        <v>6219</v>
      </c>
      <c r="B6280" s="138">
        <f>'Acct Summary 7-8'!G83</f>
        <v>0.28649458823808199</v>
      </c>
      <c r="D6280" s="2" t="str">
        <f t="shared" si="97"/>
        <v>Error?</v>
      </c>
      <c r="E6280" s="2" t="s">
        <v>190</v>
      </c>
    </row>
    <row r="6281" spans="1:5" x14ac:dyDescent="0.2">
      <c r="A6281">
        <v>6220</v>
      </c>
      <c r="B6281" s="138">
        <f>'Acct Summary 7-8'!H83</f>
        <v>0.87514831914493874</v>
      </c>
      <c r="D6281" s="2" t="str">
        <f t="shared" si="97"/>
        <v>Error?</v>
      </c>
      <c r="E6281" s="2" t="s">
        <v>190</v>
      </c>
    </row>
    <row r="6282" spans="1:5" x14ac:dyDescent="0.2">
      <c r="A6282">
        <v>6221</v>
      </c>
      <c r="B6282" s="138">
        <f>'Acct Summary 7-8'!I83</f>
        <v>3.9750314439938893E-2</v>
      </c>
      <c r="D6282" s="2" t="str">
        <f t="shared" si="97"/>
        <v>Error?</v>
      </c>
      <c r="E6282" s="2" t="s">
        <v>190</v>
      </c>
    </row>
    <row r="6283" spans="1:5" x14ac:dyDescent="0.2">
      <c r="A6283">
        <v>6222</v>
      </c>
      <c r="B6283" s="138">
        <f>'Acct Summary 7-8'!J83</f>
        <v>8.2965701170464534E-2</v>
      </c>
      <c r="D6283" s="2" t="str">
        <f t="shared" si="97"/>
        <v>Error?</v>
      </c>
      <c r="E6283" s="2" t="s">
        <v>190</v>
      </c>
    </row>
    <row r="6284" spans="1:5" x14ac:dyDescent="0.2">
      <c r="A6284">
        <v>6223</v>
      </c>
      <c r="B6284" s="138">
        <f>'Acct Summary 7-8'!K83</f>
        <v>0.90997631013412139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1198995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1198995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23694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23694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181680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1110677</v>
      </c>
      <c r="D6330" s="2" t="str">
        <f t="shared" si="97"/>
        <v>Error?</v>
      </c>
      <c r="E6330" s="2" t="s">
        <v>190</v>
      </c>
    </row>
    <row r="6331" spans="1:5" x14ac:dyDescent="0.2">
      <c r="A6331">
        <v>6270</v>
      </c>
      <c r="B6331" s="138">
        <f>'Revenues 9-14'!D100</f>
        <v>130000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36000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88500</v>
      </c>
      <c r="D6336" s="2" t="str">
        <f t="shared" si="98"/>
        <v>Error?</v>
      </c>
      <c r="E6336" s="2" t="s">
        <v>190</v>
      </c>
    </row>
    <row r="6337" spans="1:5" x14ac:dyDescent="0.2">
      <c r="A6337">
        <v>6276</v>
      </c>
      <c r="B6337" s="138">
        <f>'Revenues 9-14'!J100</f>
        <v>50000</v>
      </c>
      <c r="D6337" s="2" t="str">
        <f t="shared" si="98"/>
        <v>Error?</v>
      </c>
      <c r="E6337" s="2" t="s">
        <v>190</v>
      </c>
    </row>
    <row r="6338" spans="1:5" x14ac:dyDescent="0.2">
      <c r="A6338">
        <v>6277</v>
      </c>
      <c r="B6338" s="138">
        <f>'Revenues 9-14'!K100</f>
        <v>26000</v>
      </c>
      <c r="D6338" s="2" t="str">
        <f t="shared" si="98"/>
        <v>Error?</v>
      </c>
      <c r="E6338" s="2" t="s">
        <v>190</v>
      </c>
    </row>
    <row r="6339" spans="1:5" x14ac:dyDescent="0.2">
      <c r="A6339">
        <v>6278</v>
      </c>
      <c r="B6339" s="138">
        <f>'Revenues 9-14'!C101</f>
        <v>69300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17</v>
      </c>
      <c r="D6350" s="2" t="str">
        <f t="shared" si="98"/>
        <v>Error?</v>
      </c>
      <c r="E6350" s="2" t="s">
        <v>190</v>
      </c>
    </row>
    <row r="6351" spans="1:5" x14ac:dyDescent="0.2">
      <c r="A6351">
        <v>6290</v>
      </c>
      <c r="B6351" s="138">
        <f>'Revenues 9-14'!J108</f>
        <v>50017</v>
      </c>
      <c r="D6351" s="2" t="str">
        <f t="shared" si="98"/>
        <v>Error?</v>
      </c>
      <c r="E6351" s="2" t="s">
        <v>190</v>
      </c>
    </row>
    <row r="6352" spans="1:5" x14ac:dyDescent="0.2">
      <c r="A6352">
        <v>6291</v>
      </c>
      <c r="B6352" s="138">
        <f>'Revenues 9-14'!J109</f>
        <v>1272706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2965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832182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1570605</v>
      </c>
      <c r="D6880" s="2" t="str">
        <f t="shared" si="106"/>
        <v>Error?</v>
      </c>
    </row>
    <row r="6881" spans="1:4" x14ac:dyDescent="0.2">
      <c r="A6881">
        <v>6820</v>
      </c>
      <c r="B6881" s="138">
        <f>'Expenditures 15-22'!K22</f>
        <v>1570605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77348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77348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77348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180</v>
      </c>
      <c r="D6981" s="2" t="str">
        <f t="shared" si="108"/>
        <v>Error?</v>
      </c>
    </row>
    <row r="6982" spans="1:4" x14ac:dyDescent="0.2">
      <c r="A6982">
        <v>6921</v>
      </c>
      <c r="B6982" s="138">
        <f>'Expenditures 15-22'!K85</f>
        <v>180</v>
      </c>
      <c r="D6982" s="2" t="str">
        <f t="shared" si="108"/>
        <v>Error?</v>
      </c>
    </row>
    <row r="6983" spans="1:4" x14ac:dyDescent="0.2">
      <c r="A6983">
        <v>6922</v>
      </c>
      <c r="B6983" s="138">
        <f>'Expenditures 15-22'!H86</f>
        <v>1229333</v>
      </c>
      <c r="D6983" s="2" t="str">
        <f t="shared" si="108"/>
        <v>Error?</v>
      </c>
    </row>
    <row r="6984" spans="1:4" x14ac:dyDescent="0.2">
      <c r="A6984">
        <v>6923</v>
      </c>
      <c r="B6984" s="138">
        <f>'Expenditures 15-22'!K86</f>
        <v>1229333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1229513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77348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1087050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1272706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8769</v>
      </c>
      <c r="D7079" s="2" t="str">
        <f t="shared" si="109"/>
        <v>Error?</v>
      </c>
    </row>
    <row r="7080" spans="1:4" x14ac:dyDescent="0.2">
      <c r="A7080">
        <v>7019</v>
      </c>
      <c r="B7080" s="138">
        <f>'Expenditures 15-22'!K226</f>
        <v>8769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35356</v>
      </c>
      <c r="D7093" s="2" t="str">
        <f t="shared" si="109"/>
        <v>Error?</v>
      </c>
    </row>
    <row r="7094" spans="1:4" x14ac:dyDescent="0.2">
      <c r="A7094">
        <v>7033</v>
      </c>
      <c r="B7094" s="138">
        <f>'Expenditures 15-22'!K254</f>
        <v>35356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147112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147112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181726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181726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226541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226541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254227</v>
      </c>
      <c r="D7172" s="2" t="str">
        <f t="shared" si="111"/>
        <v>Error?</v>
      </c>
    </row>
    <row r="7173" spans="1:4" x14ac:dyDescent="0.2">
      <c r="A7173">
        <v>7112</v>
      </c>
      <c r="B7173" s="138">
        <f>'Expenditures 15-22'!D325</f>
        <v>79563</v>
      </c>
      <c r="D7173" s="2" t="str">
        <f t="shared" si="111"/>
        <v>Error?</v>
      </c>
    </row>
    <row r="7174" spans="1:4" x14ac:dyDescent="0.2">
      <c r="A7174">
        <v>7113</v>
      </c>
      <c r="B7174" s="138">
        <f>'Expenditures 15-22'!E325</f>
        <v>7563</v>
      </c>
      <c r="D7174" s="2" t="str">
        <f t="shared" si="111"/>
        <v>Error?</v>
      </c>
    </row>
    <row r="7175" spans="1:4" x14ac:dyDescent="0.2">
      <c r="A7175">
        <v>7114</v>
      </c>
      <c r="B7175" s="138">
        <f>'Expenditures 15-22'!F325</f>
        <v>10508</v>
      </c>
      <c r="D7175" s="2" t="str">
        <f t="shared" si="111"/>
        <v>Error?</v>
      </c>
    </row>
    <row r="7176" spans="1:4" x14ac:dyDescent="0.2">
      <c r="A7176">
        <v>7115</v>
      </c>
      <c r="B7176" s="138">
        <f>'Expenditures 15-22'!G325</f>
        <v>98398</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450259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81412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81412</v>
      </c>
      <c r="D7198" s="2" t="str">
        <f t="shared" si="111"/>
        <v>Error?</v>
      </c>
    </row>
    <row r="7199" spans="1:4" x14ac:dyDescent="0.2">
      <c r="A7199">
        <v>7138</v>
      </c>
      <c r="B7199" s="138">
        <f>'Expenditures 15-22'!C330</f>
        <v>254227</v>
      </c>
      <c r="D7199" s="2" t="str">
        <f t="shared" si="111"/>
        <v>Error?</v>
      </c>
    </row>
    <row r="7200" spans="1:4" x14ac:dyDescent="0.2">
      <c r="A7200">
        <v>7139</v>
      </c>
      <c r="B7200" s="138">
        <f>'Expenditures 15-22'!D330</f>
        <v>79563</v>
      </c>
      <c r="D7200" s="2" t="str">
        <f t="shared" si="111"/>
        <v>Error?</v>
      </c>
    </row>
    <row r="7201" spans="1:4" x14ac:dyDescent="0.2">
      <c r="A7201">
        <v>7140</v>
      </c>
      <c r="B7201" s="138">
        <f>'Expenditures 15-22'!E330</f>
        <v>644354</v>
      </c>
      <c r="D7201" s="2" t="str">
        <f t="shared" si="111"/>
        <v>Error?</v>
      </c>
    </row>
    <row r="7202" spans="1:4" x14ac:dyDescent="0.2">
      <c r="A7202">
        <v>7141</v>
      </c>
      <c r="B7202" s="138">
        <f>'Expenditures 15-22'!F330</f>
        <v>10508</v>
      </c>
      <c r="D7202" s="2" t="str">
        <f t="shared" si="111"/>
        <v>Error?</v>
      </c>
    </row>
    <row r="7203" spans="1:4" x14ac:dyDescent="0.2">
      <c r="A7203">
        <v>7142</v>
      </c>
      <c r="B7203" s="138">
        <f>'Expenditures 15-22'!G330</f>
        <v>98398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1087050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254227</v>
      </c>
      <c r="D7216" s="2" t="str">
        <f t="shared" si="111"/>
        <v>Error?</v>
      </c>
    </row>
    <row r="7217" spans="1:4" x14ac:dyDescent="0.2">
      <c r="A7217">
        <v>7156</v>
      </c>
      <c r="B7217" s="138">
        <f>'Expenditures 15-22'!D342</f>
        <v>79563</v>
      </c>
      <c r="D7217" s="2" t="str">
        <f t="shared" si="111"/>
        <v>Error?</v>
      </c>
    </row>
    <row r="7218" spans="1:4" x14ac:dyDescent="0.2">
      <c r="A7218">
        <v>7157</v>
      </c>
      <c r="B7218" s="138">
        <f>'Expenditures 15-22'!E342</f>
        <v>644354</v>
      </c>
      <c r="D7218" s="2" t="str">
        <f t="shared" si="111"/>
        <v>Error?</v>
      </c>
    </row>
    <row r="7219" spans="1:4" x14ac:dyDescent="0.2">
      <c r="A7219">
        <v>7158</v>
      </c>
      <c r="B7219" s="138">
        <f>'Expenditures 15-22'!F342</f>
        <v>10508</v>
      </c>
      <c r="D7219" s="2" t="str">
        <f t="shared" si="111"/>
        <v>Error?</v>
      </c>
    </row>
    <row r="7220" spans="1:4" x14ac:dyDescent="0.2">
      <c r="A7220">
        <v>7159</v>
      </c>
      <c r="B7220" s="138">
        <f>'Expenditures 15-22'!G342</f>
        <v>98398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1087050</v>
      </c>
      <c r="D7224" s="2" t="str">
        <f t="shared" si="111"/>
        <v>Error?</v>
      </c>
    </row>
    <row r="7225" spans="1:4" x14ac:dyDescent="0.2">
      <c r="A7225">
        <v>7164</v>
      </c>
      <c r="B7225" s="138">
        <f>'Expenditures 15-22'!K343</f>
        <v>185656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626876</v>
      </c>
      <c r="D7263" s="2" t="str">
        <f t="shared" si="112"/>
        <v>Error?</v>
      </c>
    </row>
    <row r="7264" spans="1:4" x14ac:dyDescent="0.2">
      <c r="A7264">
        <f t="shared" si="113"/>
        <v>7203</v>
      </c>
      <c r="B7264" s="138">
        <f>'Expenditures 15-22'!D17</f>
        <v>164187</v>
      </c>
      <c r="D7264" s="2" t="str">
        <f t="shared" si="112"/>
        <v>Error?</v>
      </c>
    </row>
    <row r="7265" spans="1:5" x14ac:dyDescent="0.2">
      <c r="A7265">
        <f t="shared" si="113"/>
        <v>7204</v>
      </c>
      <c r="B7265" s="138">
        <f>'Expenditures 15-22'!E17</f>
        <v>775</v>
      </c>
      <c r="D7265" s="2" t="str">
        <f t="shared" si="112"/>
        <v>Error?</v>
      </c>
    </row>
    <row r="7266" spans="1:5" x14ac:dyDescent="0.2">
      <c r="A7266">
        <f t="shared" si="113"/>
        <v>7205</v>
      </c>
      <c r="B7266" s="138">
        <f>'Expenditures 15-22'!F17</f>
        <v>9266</v>
      </c>
      <c r="D7266" s="2" t="str">
        <f t="shared" si="112"/>
        <v>Error?</v>
      </c>
    </row>
    <row r="7267" spans="1:5" x14ac:dyDescent="0.2">
      <c r="A7267">
        <f t="shared" si="113"/>
        <v>7206</v>
      </c>
      <c r="B7267" s="138">
        <f>'Expenditures 15-22'!G17</f>
        <v>31078</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77348</v>
      </c>
      <c r="D7624" s="2" t="str">
        <f t="shared" si="124"/>
        <v>Error?</v>
      </c>
      <c r="E7624" s="2" t="s">
        <v>19</v>
      </c>
    </row>
    <row r="7625" spans="1:5" x14ac:dyDescent="0.2">
      <c r="A7625">
        <f t="shared" si="123"/>
        <v>7564</v>
      </c>
      <c r="B7625" s="138">
        <f>'Cap Outlay Deprec 26'!I17</f>
        <v>7734.8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7734.8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69300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97387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166687</v>
      </c>
      <c r="D7719" s="2" t="str">
        <f t="shared" si="126"/>
        <v>Error?</v>
      </c>
      <c r="E7719" s="2" t="s">
        <v>826</v>
      </c>
    </row>
    <row r="7720" spans="1:6" x14ac:dyDescent="0.2">
      <c r="A7720">
        <v>7659</v>
      </c>
      <c r="B7720" s="138">
        <f>'Rest Tax Levies-Tort Im 25'!H14</f>
        <v>268740</v>
      </c>
      <c r="D7720" s="2" t="str">
        <f t="shared" si="126"/>
        <v>Error?</v>
      </c>
      <c r="E7720" s="2" t="s">
        <v>826</v>
      </c>
    </row>
    <row r="7721" spans="1:6" x14ac:dyDescent="0.2">
      <c r="A7721">
        <v>7660</v>
      </c>
      <c r="B7721" s="138">
        <f>'Rest Tax Levies-Tort Im 25'!K14</f>
        <v>166687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475000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11200000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1767352</v>
      </c>
      <c r="D7797" s="2" t="str">
        <f t="shared" si="127"/>
        <v>Error?</v>
      </c>
      <c r="E7797" s="4" t="s">
        <v>1902</v>
      </c>
    </row>
    <row r="7798" spans="1:5" x14ac:dyDescent="0.2">
      <c r="A7798">
        <v>7737</v>
      </c>
      <c r="B7798" s="138">
        <f>'Contracts Paid in CY 29'!F141</f>
        <v>179080</v>
      </c>
      <c r="D7798" s="2" t="str">
        <f t="shared" si="127"/>
        <v>Error?</v>
      </c>
      <c r="E7798" s="4" t="s">
        <v>1902</v>
      </c>
    </row>
    <row r="7799" spans="1:5" x14ac:dyDescent="0.2">
      <c r="A7799">
        <v>7738</v>
      </c>
      <c r="B7799" s="138">
        <f>'Contracts Paid in CY 29'!G141</f>
        <v>1588272</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1190</v>
      </c>
      <c r="B2" s="2410"/>
      <c r="C2" s="2410"/>
      <c r="D2" s="2410"/>
      <c r="E2" s="2410"/>
      <c r="F2" s="2410"/>
      <c r="G2" s="2410"/>
      <c r="H2" s="2410"/>
      <c r="I2" s="2410"/>
      <c r="J2" s="2410"/>
      <c r="K2" s="2410"/>
      <c r="L2" s="2410"/>
    </row>
    <row r="3" spans="1:29" ht="13.5" customHeight="1" x14ac:dyDescent="0.2">
      <c r="A3" s="2396" t="s">
        <v>1189</v>
      </c>
      <c r="B3" s="2396"/>
      <c r="C3" s="2396"/>
      <c r="D3" s="2396"/>
      <c r="E3" s="2396"/>
      <c r="F3" s="2396"/>
      <c r="G3" s="2396"/>
      <c r="H3" s="2396"/>
      <c r="I3" s="2396"/>
      <c r="J3" s="2396"/>
      <c r="K3" s="2396"/>
      <c r="L3" s="2396"/>
    </row>
    <row r="4" spans="1:29" ht="13.5" customHeight="1" x14ac:dyDescent="0.2">
      <c r="A4" s="2410" t="s">
        <v>1986</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0" t="str">
        <f>COVER!A17</f>
        <v>Minooka CHSD 111</v>
      </c>
      <c r="B7" s="2391"/>
      <c r="C7" s="2391"/>
      <c r="D7" s="2428"/>
      <c r="E7" s="2429">
        <f>COVER!A13</f>
        <v>24032111016</v>
      </c>
      <c r="F7" s="2430"/>
      <c r="G7" s="2397" t="str">
        <f>COVER!T23</f>
        <v>066-005100</v>
      </c>
      <c r="H7" s="2398"/>
      <c r="I7" s="2398"/>
      <c r="J7" s="2398"/>
      <c r="K7" s="2398"/>
      <c r="L7" s="239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0"/>
      <c r="B9" s="2401"/>
      <c r="C9" s="2401"/>
      <c r="D9" s="2401"/>
      <c r="E9" s="2401"/>
      <c r="F9" s="2402"/>
      <c r="G9" s="2403" t="str">
        <f>COVER!T13</f>
        <v>Mack &amp; Associates, P.C.</v>
      </c>
      <c r="H9" s="2404"/>
      <c r="I9" s="2404"/>
      <c r="J9" s="2404"/>
      <c r="K9" s="2404"/>
      <c r="L9" s="2405"/>
    </row>
    <row r="10" spans="1:29" ht="13.5" customHeight="1" x14ac:dyDescent="0.2">
      <c r="A10" s="2387" t="str">
        <f>COVER!A38</f>
        <v>Kenneth Lee</v>
      </c>
      <c r="B10" s="2388"/>
      <c r="C10" s="2388"/>
      <c r="D10" s="2388"/>
      <c r="E10" s="2388"/>
      <c r="F10" s="2389"/>
      <c r="G10" s="2403" t="str">
        <f>COVER!T17</f>
        <v>116 E. Washington St., Suite One</v>
      </c>
      <c r="H10" s="2416"/>
      <c r="I10" s="2416"/>
      <c r="J10" s="2416"/>
      <c r="K10" s="2416"/>
      <c r="L10" s="2417"/>
    </row>
    <row r="11" spans="1:29" ht="13.5" customHeight="1" x14ac:dyDescent="0.2">
      <c r="A11" s="1184" t="s">
        <v>1518</v>
      </c>
      <c r="B11" s="1185"/>
      <c r="C11" s="1186"/>
      <c r="D11" s="1191"/>
      <c r="E11" s="1186"/>
      <c r="F11" s="1190"/>
      <c r="G11" s="2403" t="str">
        <f>COVER!T19</f>
        <v>Morris</v>
      </c>
      <c r="H11" s="2416"/>
      <c r="I11" s="2416"/>
      <c r="J11" s="2416"/>
      <c r="K11" s="2416"/>
      <c r="L11" s="2417"/>
    </row>
    <row r="12" spans="1:29" ht="13.5" customHeight="1" x14ac:dyDescent="0.2">
      <c r="A12" s="2421" t="s">
        <v>1517</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1519</v>
      </c>
      <c r="H13" s="2412"/>
      <c r="I13" s="2424" t="str">
        <f>COVER!T25</f>
        <v>tmack@mackcpas.com</v>
      </c>
      <c r="J13" s="2425"/>
      <c r="K13" s="2425"/>
      <c r="L13" s="2426"/>
    </row>
    <row r="14" spans="1:29" ht="13.5" customHeight="1" x14ac:dyDescent="0.2">
      <c r="A14" s="2403" t="str">
        <f>COVER!A19</f>
        <v>2655 W Eames Street</v>
      </c>
      <c r="B14" s="2416"/>
      <c r="C14" s="2416"/>
      <c r="D14" s="2416"/>
      <c r="E14" s="2416"/>
      <c r="F14" s="2417"/>
      <c r="G14" s="1195" t="s">
        <v>1184</v>
      </c>
      <c r="H14" s="1193"/>
      <c r="I14" s="1193"/>
      <c r="J14" s="1193"/>
      <c r="K14" s="1193"/>
      <c r="L14" s="1194"/>
    </row>
    <row r="15" spans="1:29" ht="13.5" customHeight="1" x14ac:dyDescent="0.2">
      <c r="A15" s="2403" t="str">
        <f>COVER!A21</f>
        <v>Channahon</v>
      </c>
      <c r="B15" s="2416"/>
      <c r="C15" s="2416"/>
      <c r="D15" s="2416"/>
      <c r="E15" s="2416"/>
      <c r="F15" s="2417"/>
      <c r="G15" s="2413" t="str">
        <f>COVER!T15</f>
        <v>Tawnya Mack, CPA</v>
      </c>
      <c r="H15" s="2414"/>
      <c r="I15" s="2414"/>
      <c r="J15" s="2414"/>
      <c r="K15" s="2414"/>
      <c r="L15" s="2415"/>
    </row>
    <row r="16" spans="1:29" ht="12.2" customHeight="1" x14ac:dyDescent="0.2">
      <c r="A16" s="2393">
        <f>COVER!A25</f>
        <v>60410</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1183</v>
      </c>
      <c r="H17" s="1193"/>
      <c r="I17" s="1193"/>
      <c r="J17" s="1193"/>
      <c r="K17" s="1197" t="s">
        <v>1182</v>
      </c>
      <c r="L17" s="1190"/>
      <c r="M17" s="1183"/>
    </row>
    <row r="18" spans="1:13" ht="12.2" customHeight="1" x14ac:dyDescent="0.2">
      <c r="A18" s="2387"/>
      <c r="B18" s="2388"/>
      <c r="C18" s="2388"/>
      <c r="D18" s="2388"/>
      <c r="E18" s="2388"/>
      <c r="F18" s="2389"/>
      <c r="G18" s="2390" t="str">
        <f>COVER!T21</f>
        <v>815-942-3306</v>
      </c>
      <c r="H18" s="2391"/>
      <c r="I18" s="2391"/>
      <c r="J18" s="2391"/>
      <c r="K18" s="2390" t="str">
        <f>COVER!X21</f>
        <v>815-942-9430</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Minooka CHSD 111</v>
      </c>
      <c r="B1" s="2427"/>
      <c r="C1" s="2427"/>
      <c r="D1" s="2427"/>
    </row>
    <row r="2" spans="1:11" s="1212" customFormat="1" ht="12.75" x14ac:dyDescent="0.2">
      <c r="A2" s="2432">
        <f>'Single Audit Cover'!E7</f>
        <v>24032111016</v>
      </c>
      <c r="B2" s="2433"/>
      <c r="C2" s="2433"/>
      <c r="D2" s="2433"/>
    </row>
    <row r="3" spans="1:11" s="1212" customFormat="1" ht="12.75" x14ac:dyDescent="0.2">
      <c r="A3" s="2431" t="s">
        <v>1512</v>
      </c>
      <c r="B3" s="2427"/>
      <c r="C3" s="2427"/>
      <c r="D3" s="242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Minooka CHSD 111</v>
      </c>
      <c r="B1" s="2435"/>
      <c r="C1" s="2435"/>
      <c r="D1" s="2435"/>
      <c r="E1" s="2435"/>
    </row>
    <row r="2" spans="1:5" x14ac:dyDescent="0.2">
      <c r="A2" s="2436">
        <f>'Single Audit Cover'!E7</f>
        <v>24032111016</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557024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2058</v>
      </c>
      <c r="B17" s="1259" t="s">
        <v>1235</v>
      </c>
      <c r="C17" s="1259"/>
      <c r="D17" s="1261">
        <f>-SUM('Revenues 9-14'!C264:D264,'Revenues 9-14'!F264:G264)</f>
        <v>0</v>
      </c>
    </row>
    <row r="19" spans="1:4" ht="13.5" thickBot="1" x14ac:dyDescent="0.25">
      <c r="A19" s="1262" t="s">
        <v>1234</v>
      </c>
      <c r="D19" s="1263">
        <f>SUM(D10:D17)</f>
        <v>557024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557024</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0</v>
      </c>
    </row>
    <row r="49" spans="2:4" x14ac:dyDescent="0.2">
      <c r="B49" s="1269" t="s">
        <v>1225</v>
      </c>
      <c r="C49" s="1269"/>
      <c r="D49" s="1270">
        <f>D32-D47</f>
        <v>557024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Minooka CHSD 111</v>
      </c>
      <c r="C1" s="2439"/>
      <c r="D1" s="2439"/>
      <c r="E1" s="2439"/>
      <c r="F1" s="2439"/>
      <c r="G1" s="2439"/>
      <c r="H1" s="2439"/>
      <c r="I1" s="2439"/>
      <c r="J1" s="2439"/>
      <c r="K1" s="2439"/>
      <c r="L1" s="2439"/>
      <c r="M1" s="2439"/>
    </row>
    <row r="2" spans="2:14" ht="15" x14ac:dyDescent="0.2">
      <c r="B2" s="2440">
        <f>'Single Audit Cover'!E7</f>
        <v>24032111016</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1987</v>
      </c>
      <c r="K8" s="1316" t="s">
        <v>1260</v>
      </c>
      <c r="L8" s="1317" t="s">
        <v>1256</v>
      </c>
      <c r="M8" s="1318" t="s">
        <v>30</v>
      </c>
    </row>
    <row r="9" spans="2:14" ht="14.25" x14ac:dyDescent="0.2">
      <c r="B9" s="1322" t="s">
        <v>1258</v>
      </c>
      <c r="C9" s="1310" t="s">
        <v>1734</v>
      </c>
      <c r="D9" s="1311" t="s">
        <v>1735</v>
      </c>
      <c r="E9" s="1319" t="s">
        <v>1838</v>
      </c>
      <c r="F9" s="1320" t="s">
        <v>1987</v>
      </c>
      <c r="G9" s="1321" t="s">
        <v>1838</v>
      </c>
      <c r="H9" s="1314" t="s">
        <v>1581</v>
      </c>
      <c r="I9" s="1316" t="s">
        <v>1987</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Minooka CHSD 111</v>
      </c>
      <c r="B1" s="2444"/>
      <c r="C1" s="2444"/>
      <c r="D1" s="2444"/>
      <c r="E1" s="2444"/>
      <c r="F1" s="2444"/>
    </row>
    <row r="2" spans="1:7" ht="13.5" customHeight="1" x14ac:dyDescent="0.2">
      <c r="A2" s="2440">
        <f>'Single Audit Cover'!E7</f>
        <v>24032111016</v>
      </c>
      <c r="B2" s="2440"/>
      <c r="C2" s="2440"/>
      <c r="D2" s="2440"/>
      <c r="E2" s="2440"/>
      <c r="F2" s="2440"/>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1728</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3" t="s">
        <v>1730</v>
      </c>
      <c r="B13" s="2443"/>
      <c r="C13" s="2443"/>
      <c r="D13" s="2443"/>
      <c r="E13" s="2443"/>
      <c r="F13" s="2443"/>
    </row>
    <row r="14" spans="1:7" ht="9.75" customHeight="1" x14ac:dyDescent="0.2">
      <c r="C14" s="1257"/>
      <c r="D14" s="1257"/>
    </row>
    <row r="15" spans="1:7" ht="13.5" customHeight="1" x14ac:dyDescent="0.2">
      <c r="C15" s="1846" t="s">
        <v>1269</v>
      </c>
      <c r="D15" s="2448" t="s">
        <v>1268</v>
      </c>
      <c r="E15" s="2448"/>
      <c r="F15" s="2448"/>
    </row>
    <row r="16" spans="1:7" ht="13.5" customHeight="1" x14ac:dyDescent="0.2">
      <c r="A16" s="1279"/>
      <c r="B16" s="1273" t="s">
        <v>1267</v>
      </c>
      <c r="C16" s="1846" t="s">
        <v>1266</v>
      </c>
      <c r="D16" s="2449" t="s">
        <v>1587</v>
      </c>
      <c r="E16" s="2449"/>
      <c r="F16" s="2449"/>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1" t="s">
        <v>1731</v>
      </c>
      <c r="B32" s="2451"/>
      <c r="C32" s="2451"/>
      <c r="D32" s="2451"/>
      <c r="E32" s="2451"/>
      <c r="F32" s="2451"/>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52">
        <f>+C33+C34</f>
        <v>0</v>
      </c>
      <c r="F34" s="2453"/>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50" t="s">
        <v>1550</v>
      </c>
      <c r="C51" s="2450"/>
      <c r="D51" s="2450"/>
    </row>
    <row r="52" spans="1:5" ht="14.25" customHeight="1" x14ac:dyDescent="0.2">
      <c r="A52" s="1298"/>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7" colorId="8" zoomScale="110" zoomScaleNormal="110" workbookViewId="0">
      <selection activeCell="E119" sqref="E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2072</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2063</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t="s">
        <v>2081</v>
      </c>
      <c r="E118" s="322"/>
      <c r="F118" s="324"/>
      <c r="G118" s="1840"/>
      <c r="H118" s="322"/>
      <c r="I118" s="304"/>
    </row>
    <row r="119" spans="1:9" s="181" customFormat="1" ht="11.25" customHeight="1" x14ac:dyDescent="0.2">
      <c r="A119" s="325"/>
      <c r="B119" s="325"/>
      <c r="C119" s="326"/>
      <c r="D119" s="327" t="s">
        <v>360</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Minooka CHSD 111</v>
      </c>
      <c r="C1" s="2460"/>
      <c r="D1" s="2460"/>
      <c r="E1" s="2460"/>
      <c r="F1" s="2460"/>
      <c r="G1" s="2460"/>
      <c r="H1" s="2460"/>
      <c r="I1" s="2460"/>
      <c r="J1" s="1406"/>
    </row>
    <row r="2" spans="2:10" s="317" customFormat="1" ht="12.75" customHeight="1" x14ac:dyDescent="0.2">
      <c r="B2" s="2461">
        <f>'Single Audit Cover'!E7</f>
        <v>24032111016</v>
      </c>
      <c r="C2" s="2462"/>
      <c r="D2" s="2462"/>
      <c r="E2" s="2462"/>
      <c r="F2" s="2462"/>
      <c r="G2" s="2462"/>
      <c r="H2" s="2462"/>
      <c r="I2" s="2462"/>
      <c r="J2" s="1406"/>
    </row>
    <row r="3" spans="2:10" s="317" customFormat="1" ht="12.75" customHeight="1" x14ac:dyDescent="0.2">
      <c r="B3" s="2463" t="s">
        <v>1284</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1283</v>
      </c>
      <c r="C7" s="2464"/>
      <c r="D7" s="2464"/>
      <c r="E7" s="2464"/>
      <c r="F7" s="2464"/>
      <c r="G7" s="2464"/>
      <c r="H7" s="2464"/>
      <c r="I7" s="2464"/>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5"/>
      <c r="D11" s="2465"/>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6"/>
      <c r="E29" s="2466"/>
      <c r="F29" s="2466"/>
      <c r="G29" s="2466"/>
      <c r="H29" s="2466"/>
      <c r="I29" s="2466"/>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7" t="s">
        <v>1750</v>
      </c>
      <c r="D37" s="2468"/>
      <c r="E37" s="2468"/>
      <c r="F37" s="2469"/>
      <c r="G37" s="2467" t="s">
        <v>1591</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1592</v>
      </c>
      <c r="D43" s="2474"/>
      <c r="E43" s="2474"/>
      <c r="F43" s="2475"/>
      <c r="G43" s="2476">
        <f>SUM(G38:I42)</f>
        <v>0</v>
      </c>
      <c r="H43" s="2476"/>
      <c r="I43" s="2476"/>
    </row>
    <row r="44" spans="2:9" ht="12.75" customHeight="1" x14ac:dyDescent="0.2"/>
    <row r="45" spans="2:9" ht="12.75" customHeight="1" x14ac:dyDescent="0.2">
      <c r="B45" s="1419" t="s">
        <v>2061</v>
      </c>
      <c r="D45" s="2477">
        <v>0</v>
      </c>
      <c r="E45" s="2478"/>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9"/>
      <c r="F49" s="2479"/>
      <c r="G49" s="2479"/>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Minooka CHSD 111</v>
      </c>
      <c r="C1" s="2459"/>
      <c r="D1" s="2459"/>
      <c r="E1" s="2459"/>
      <c r="F1" s="2459"/>
      <c r="G1" s="2459"/>
      <c r="H1" s="2459"/>
      <c r="I1" s="2459"/>
      <c r="J1" s="2459"/>
      <c r="K1" s="2459"/>
      <c r="L1" s="1371"/>
      <c r="M1" s="1371"/>
    </row>
    <row r="2" spans="1:13" ht="12" customHeight="1" x14ac:dyDescent="0.2">
      <c r="B2" s="2461">
        <f>'Single Audit Cover'!E7</f>
        <v>24032111016</v>
      </c>
      <c r="C2" s="2461"/>
      <c r="D2" s="2461"/>
      <c r="E2" s="2461"/>
      <c r="F2" s="2461"/>
      <c r="G2" s="2461"/>
      <c r="H2" s="2461"/>
      <c r="I2" s="2461"/>
      <c r="J2" s="2461"/>
      <c r="K2" s="2461"/>
      <c r="L2" s="1372"/>
      <c r="M2" s="1373"/>
    </row>
    <row r="3" spans="1:13" ht="10.35" customHeight="1" x14ac:dyDescent="0.2">
      <c r="B3" s="2482" t="s">
        <v>1284</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Minooka CHSD 111</v>
      </c>
      <c r="C1" s="2486"/>
      <c r="D1" s="2486"/>
      <c r="E1" s="2486"/>
      <c r="F1" s="2486"/>
      <c r="G1" s="2486"/>
      <c r="H1" s="2486"/>
      <c r="I1" s="2486"/>
      <c r="J1" s="2486"/>
      <c r="K1" s="2486"/>
      <c r="L1" s="1449"/>
    </row>
    <row r="2" spans="1:12" ht="12.75" customHeight="1" x14ac:dyDescent="0.2">
      <c r="B2" s="2487">
        <f>'Single Audit Cover'!E7</f>
        <v>24032111016</v>
      </c>
      <c r="C2" s="2487"/>
      <c r="D2" s="2487"/>
      <c r="E2" s="2487"/>
      <c r="F2" s="2487"/>
      <c r="G2" s="2487"/>
      <c r="H2" s="2487"/>
      <c r="I2" s="2487"/>
      <c r="J2" s="2487"/>
      <c r="K2" s="2487"/>
      <c r="L2" s="1450"/>
    </row>
    <row r="3" spans="1:12" ht="12.75" customHeight="1" x14ac:dyDescent="0.2">
      <c r="B3" s="2482" t="s">
        <v>1284</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1168</v>
      </c>
      <c r="C5" s="1257"/>
      <c r="L5" s="322"/>
    </row>
    <row r="6" spans="1:12" ht="30.75" customHeight="1" x14ac:dyDescent="0.2">
      <c r="A6" s="322"/>
      <c r="B6" s="2488" t="s">
        <v>1307</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1988</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9"/>
      <c r="E14" s="2489"/>
      <c r="F14" s="2489"/>
      <c r="H14" s="1459" t="s">
        <v>1302</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0"/>
      <c r="E16" s="2490"/>
      <c r="F16" s="2490"/>
      <c r="G16" s="2490"/>
      <c r="H16" s="2490"/>
      <c r="I16" s="2490"/>
      <c r="J16" s="2490"/>
      <c r="K16" s="2490"/>
      <c r="L16" s="322"/>
    </row>
    <row r="17" spans="2:12" ht="13.5" customHeight="1" x14ac:dyDescent="0.2">
      <c r="B17" s="1384" t="s">
        <v>1300</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Minooka CHSD 111</v>
      </c>
      <c r="C1" s="2459"/>
      <c r="D1" s="2459"/>
      <c r="E1" s="1469"/>
    </row>
    <row r="2" spans="2:5" s="1279" customFormat="1" ht="12.75" customHeight="1" x14ac:dyDescent="0.2">
      <c r="B2" s="2461">
        <f>'Single Audit Cover'!E7</f>
        <v>24032111016</v>
      </c>
      <c r="C2" s="2461"/>
      <c r="D2" s="2461"/>
      <c r="E2" s="1470"/>
    </row>
    <row r="3" spans="2:5" ht="12.75" customHeight="1" x14ac:dyDescent="0.2">
      <c r="B3" s="2482" t="s">
        <v>1765</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Q29" sqref="Q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1400642729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1.2200000000000001E-2</v>
      </c>
      <c r="E10" s="356" t="s">
        <v>1004</v>
      </c>
      <c r="F10" s="355">
        <v>2.5000000000000001E-3</v>
      </c>
      <c r="G10" s="356" t="s">
        <v>1004</v>
      </c>
      <c r="H10" s="355">
        <v>1.1999999999999999E-3</v>
      </c>
      <c r="I10" s="356" t="s">
        <v>1005</v>
      </c>
      <c r="J10" s="1732">
        <f>ROUND(D10+F10+H10,5)</f>
        <v>1.5900000000000001E-2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35966964</v>
      </c>
      <c r="E16" s="356"/>
      <c r="F16" s="1733">
        <f>SUM('Acct Summary 7-8'!C17,'Acct Summary 7-8'!D17,'Acct Summary 7-8'!F17)</f>
        <v>34043149</v>
      </c>
      <c r="G16" s="356"/>
      <c r="H16" s="1733">
        <f>SUM(D16-F16)</f>
        <v>1923815</v>
      </c>
      <c r="I16" s="222"/>
      <c r="J16" s="1733">
        <f>SUM('Acct Summary 7-8'!C81,'Acct Summary 7-8'!D81,'Acct Summary 7-8'!F81,'Acct Summary 7-8'!I81)</f>
        <v>29535939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585</v>
      </c>
      <c r="D31" s="237" t="s">
        <v>1071</v>
      </c>
      <c r="E31" s="222"/>
      <c r="F31" s="222"/>
      <c r="G31" s="363"/>
      <c r="H31" s="1735">
        <f>IF(B31="X",(J7*0.069),IF(B32="X",(J7*0.138),"Enter x in a.or b."))</f>
        <v>96644348.301000014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63680000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Minooka CHSD 111</v>
      </c>
      <c r="E7" s="391"/>
      <c r="G7" s="252"/>
      <c r="H7" s="387"/>
      <c r="I7" s="387"/>
      <c r="J7" s="387"/>
      <c r="K7" s="387"/>
      <c r="L7" s="329"/>
      <c r="M7" s="329"/>
      <c r="N7" s="329"/>
      <c r="O7" s="329"/>
      <c r="P7" s="329"/>
    </row>
    <row r="8" spans="1:18" ht="12.75" x14ac:dyDescent="0.2">
      <c r="A8" s="329"/>
      <c r="B8" s="329"/>
      <c r="C8" s="389" t="s">
        <v>1124</v>
      </c>
      <c r="D8" s="392">
        <f>COVER!A13</f>
        <v>24032111016</v>
      </c>
      <c r="E8" s="393"/>
      <c r="G8" s="329"/>
      <c r="H8" s="329"/>
      <c r="I8" s="329"/>
      <c r="J8" s="329"/>
      <c r="K8" s="329"/>
      <c r="L8" s="329"/>
      <c r="M8" s="329"/>
      <c r="N8" s="329"/>
      <c r="O8" s="329"/>
      <c r="P8" s="329"/>
    </row>
    <row r="9" spans="1:18" ht="12.75" x14ac:dyDescent="0.2">
      <c r="A9" s="329"/>
      <c r="B9" s="329"/>
      <c r="C9" s="389" t="s">
        <v>712</v>
      </c>
      <c r="D9" s="394" t="str">
        <f>COVER!A15</f>
        <v>Grundy, Will, 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29535939</v>
      </c>
      <c r="I12" s="404"/>
      <c r="J12" s="404"/>
      <c r="K12" s="405">
        <f>TRUNC((H12/H13*100000),5)/100000</f>
        <v>0.82119633449999996</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35966964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34043149</v>
      </c>
      <c r="I17" s="404"/>
      <c r="J17" s="416"/>
      <c r="K17" s="405">
        <f>TRUNC((H17/H18*100000),5)/100000</f>
        <v>0.94651160990000005</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35966964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29528079</v>
      </c>
      <c r="I24" s="422"/>
      <c r="J24" s="422"/>
      <c r="K24" s="423">
        <f>TRUNC(((H24/H25*100000)/100000),2)</f>
        <v>312.25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94564.302779999998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18929686.482439999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63680000</v>
      </c>
      <c r="I32" s="420"/>
      <c r="J32" s="420"/>
      <c r="K32" s="423">
        <f>TRUNC(100-((((H32/H33*100))*100)/100),2)</f>
        <v>34.1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96644348.301000014</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4" activePane="bottomLeft" state="frozen"/>
      <selection pane="bottomLeft" activeCell="F40" sqref="F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59"/>
      <c r="D3" s="1560"/>
      <c r="E3" s="1560"/>
      <c r="F3" s="1560"/>
      <c r="G3" s="1560"/>
      <c r="H3" s="1560"/>
      <c r="I3" s="1560"/>
      <c r="J3" s="1560"/>
      <c r="K3" s="1560"/>
      <c r="L3" s="1560"/>
      <c r="M3" s="1561"/>
      <c r="N3" s="1562"/>
    </row>
    <row r="4" spans="1:14" ht="13.5" customHeight="1" x14ac:dyDescent="0.2">
      <c r="A4" s="463" t="s">
        <v>1650</v>
      </c>
      <c r="B4" s="464"/>
      <c r="C4" s="465">
        <v>1745953</v>
      </c>
      <c r="D4" s="466">
        <v>710528</v>
      </c>
      <c r="E4" s="466">
        <v>1569235</v>
      </c>
      <c r="F4" s="466">
        <v>111820</v>
      </c>
      <c r="G4" s="466">
        <v>184923</v>
      </c>
      <c r="H4" s="466">
        <v>9782000</v>
      </c>
      <c r="I4" s="466">
        <v>69138</v>
      </c>
      <c r="J4" s="467">
        <v>18846</v>
      </c>
      <c r="K4" s="466">
        <v>9286554</v>
      </c>
      <c r="L4" s="466">
        <v>1447221</v>
      </c>
      <c r="M4" s="468"/>
      <c r="N4" s="469"/>
    </row>
    <row r="5" spans="1:14" x14ac:dyDescent="0.2">
      <c r="A5" s="463" t="s">
        <v>991</v>
      </c>
      <c r="B5" s="470">
        <v>120</v>
      </c>
      <c r="C5" s="465">
        <v>7532301</v>
      </c>
      <c r="D5" s="466">
        <v>2940122</v>
      </c>
      <c r="E5" s="466">
        <v>4264584</v>
      </c>
      <c r="F5" s="466">
        <v>2856771</v>
      </c>
      <c r="G5" s="466">
        <v>320272</v>
      </c>
      <c r="H5" s="466">
        <v>1416824</v>
      </c>
      <c r="I5" s="466">
        <v>13561446</v>
      </c>
      <c r="J5" s="467">
        <v>2218898</v>
      </c>
      <c r="K5" s="471">
        <v>1170238</v>
      </c>
      <c r="L5" s="472">
        <v>443519</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2834</v>
      </c>
      <c r="D12" s="466">
        <v>2514</v>
      </c>
      <c r="E12" s="466"/>
      <c r="F12" s="466">
        <v>2512</v>
      </c>
      <c r="G12" s="466">
        <v>1202</v>
      </c>
      <c r="H12" s="466"/>
      <c r="I12" s="466"/>
      <c r="J12" s="467"/>
      <c r="K12" s="466"/>
      <c r="L12" s="466"/>
      <c r="M12" s="469"/>
      <c r="N12" s="469"/>
    </row>
    <row r="13" spans="1:14" ht="13.5" customHeight="1" thickBot="1" x14ac:dyDescent="0.25">
      <c r="A13" s="1736" t="s">
        <v>643</v>
      </c>
      <c r="B13" s="1709"/>
      <c r="C13" s="1737">
        <f>SUM(C4:C12)</f>
        <v>9281088</v>
      </c>
      <c r="D13" s="1737">
        <f t="shared" ref="D13:L13" si="0">SUM(D4:D12)</f>
        <v>3653164</v>
      </c>
      <c r="E13" s="1737">
        <f t="shared" si="0"/>
        <v>5833819</v>
      </c>
      <c r="F13" s="1737">
        <f t="shared" si="0"/>
        <v>2971103</v>
      </c>
      <c r="G13" s="1737">
        <f t="shared" si="0"/>
        <v>506397</v>
      </c>
      <c r="H13" s="1737">
        <f t="shared" si="0"/>
        <v>11198824</v>
      </c>
      <c r="I13" s="1737">
        <f t="shared" si="0"/>
        <v>13630584</v>
      </c>
      <c r="J13" s="1737">
        <f t="shared" si="0"/>
        <v>2237744</v>
      </c>
      <c r="K13" s="1737">
        <f t="shared" si="0"/>
        <v>10456792</v>
      </c>
      <c r="L13" s="1737">
        <f t="shared" si="0"/>
        <v>1890740</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5855792</v>
      </c>
      <c r="N16" s="484"/>
    </row>
    <row r="17" spans="1:14" s="485" customFormat="1" ht="12.75" customHeight="1" x14ac:dyDescent="0.2">
      <c r="A17" s="482" t="s">
        <v>1402</v>
      </c>
      <c r="B17" s="483">
        <v>230</v>
      </c>
      <c r="C17" s="477"/>
      <c r="D17" s="477"/>
      <c r="E17" s="477"/>
      <c r="F17" s="477"/>
      <c r="G17" s="477"/>
      <c r="H17" s="477"/>
      <c r="I17" s="477"/>
      <c r="J17" s="477"/>
      <c r="K17" s="477"/>
      <c r="L17" s="477"/>
      <c r="M17" s="467">
        <v>92486597</v>
      </c>
      <c r="N17" s="484"/>
    </row>
    <row r="18" spans="1:14" s="485" customFormat="1" ht="12.75" customHeight="1" x14ac:dyDescent="0.2">
      <c r="A18" s="482" t="s">
        <v>1403</v>
      </c>
      <c r="B18" s="483">
        <v>240</v>
      </c>
      <c r="C18" s="477"/>
      <c r="D18" s="477"/>
      <c r="E18" s="477"/>
      <c r="F18" s="477"/>
      <c r="G18" s="477"/>
      <c r="H18" s="477"/>
      <c r="I18" s="477"/>
      <c r="J18" s="477"/>
      <c r="K18" s="477"/>
      <c r="L18" s="477"/>
      <c r="M18" s="467">
        <v>3917364</v>
      </c>
      <c r="N18" s="484"/>
    </row>
    <row r="19" spans="1:14" s="485" customFormat="1" ht="12.75" customHeight="1" x14ac:dyDescent="0.2">
      <c r="A19" s="482" t="s">
        <v>1404</v>
      </c>
      <c r="B19" s="483">
        <v>250</v>
      </c>
      <c r="C19" s="477"/>
      <c r="D19" s="477"/>
      <c r="E19" s="477"/>
      <c r="F19" s="477"/>
      <c r="G19" s="477"/>
      <c r="H19" s="477"/>
      <c r="I19" s="477"/>
      <c r="J19" s="477"/>
      <c r="K19" s="477"/>
      <c r="L19" s="477"/>
      <c r="M19" s="467">
        <v>13446277</v>
      </c>
      <c r="N19" s="484"/>
    </row>
    <row r="20" spans="1:14" s="485" customFormat="1" ht="12.75" customHeight="1" x14ac:dyDescent="0.2">
      <c r="A20" s="482" t="s">
        <v>1405</v>
      </c>
      <c r="B20" s="483">
        <v>260</v>
      </c>
      <c r="C20" s="477"/>
      <c r="D20" s="477"/>
      <c r="E20" s="477"/>
      <c r="F20" s="477"/>
      <c r="G20" s="477"/>
      <c r="H20" s="477"/>
      <c r="I20" s="477"/>
      <c r="J20" s="477"/>
      <c r="K20" s="477"/>
      <c r="L20" s="477"/>
      <c r="M20" s="467">
        <v>1698788</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5833819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57846181</v>
      </c>
    </row>
    <row r="23" spans="1:14" ht="13.5" customHeight="1" thickBot="1" x14ac:dyDescent="0.25">
      <c r="A23" s="1736" t="s">
        <v>642</v>
      </c>
      <c r="B23" s="1741"/>
      <c r="C23" s="468"/>
      <c r="D23" s="468"/>
      <c r="E23" s="468"/>
      <c r="F23" s="468"/>
      <c r="G23" s="468"/>
      <c r="H23" s="468"/>
      <c r="I23" s="468"/>
      <c r="J23" s="468"/>
      <c r="K23" s="468"/>
      <c r="L23" s="468"/>
      <c r="M23" s="1688">
        <f>SUM(M15:M22)</f>
        <v>117404818</v>
      </c>
      <c r="N23" s="1688">
        <f>SUM(N21:N22)</f>
        <v>63680000</v>
      </c>
    </row>
    <row r="24" spans="1:14" ht="18" customHeight="1" thickTop="1" x14ac:dyDescent="0.2">
      <c r="A24" s="2118" t="s">
        <v>597</v>
      </c>
      <c r="B24" s="2119"/>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558426</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558426</v>
      </c>
      <c r="M34" s="468"/>
      <c r="N34" s="480"/>
    </row>
    <row r="35" spans="1:14" ht="18" customHeight="1" thickTop="1" x14ac:dyDescent="0.2">
      <c r="A35" s="2120" t="s">
        <v>528</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63680000</v>
      </c>
    </row>
    <row r="37" spans="1:14" ht="13.5" thickBot="1" x14ac:dyDescent="0.25">
      <c r="A37" s="1736" t="s">
        <v>652</v>
      </c>
      <c r="B37" s="1741"/>
      <c r="C37" s="477"/>
      <c r="D37" s="477"/>
      <c r="E37" s="477"/>
      <c r="F37" s="477"/>
      <c r="G37" s="477"/>
      <c r="H37" s="477"/>
      <c r="I37" s="477"/>
      <c r="J37" s="477"/>
      <c r="K37" s="477"/>
      <c r="L37" s="480"/>
      <c r="M37" s="468"/>
      <c r="N37" s="1688">
        <f>SUM(N36:N36)</f>
        <v>63680000</v>
      </c>
    </row>
    <row r="38" spans="1:14" s="329" customFormat="1" ht="13.5" customHeight="1" thickTop="1" x14ac:dyDescent="0.2">
      <c r="A38" s="496" t="s">
        <v>419</v>
      </c>
      <c r="B38" s="483">
        <v>714</v>
      </c>
      <c r="C38" s="466">
        <v>4172400</v>
      </c>
      <c r="D38" s="466"/>
      <c r="E38" s="466"/>
      <c r="F38" s="466"/>
      <c r="G38" s="466">
        <v>636630</v>
      </c>
      <c r="H38" s="466"/>
      <c r="I38" s="466"/>
      <c r="J38" s="467"/>
      <c r="K38" s="466"/>
      <c r="L38" s="481">
        <v>1332314</v>
      </c>
      <c r="M38" s="497"/>
      <c r="N38" s="497"/>
    </row>
    <row r="39" spans="1:14" s="329" customFormat="1" ht="13.5" customHeight="1" x14ac:dyDescent="0.2">
      <c r="A39" s="496" t="s">
        <v>341</v>
      </c>
      <c r="B39" s="483">
        <v>730</v>
      </c>
      <c r="C39" s="466">
        <v>5108688</v>
      </c>
      <c r="D39" s="466">
        <v>3653164</v>
      </c>
      <c r="E39" s="466">
        <v>5833819</v>
      </c>
      <c r="F39" s="466">
        <v>2971103</v>
      </c>
      <c r="G39" s="466">
        <v>-130233</v>
      </c>
      <c r="H39" s="466">
        <v>11198824</v>
      </c>
      <c r="I39" s="466">
        <v>13630584</v>
      </c>
      <c r="J39" s="467">
        <v>2237744</v>
      </c>
      <c r="K39" s="466">
        <v>10456792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117404818</v>
      </c>
      <c r="N40" s="497"/>
    </row>
    <row r="41" spans="1:14" ht="13.5" customHeight="1" thickBot="1" x14ac:dyDescent="0.25">
      <c r="A41" s="1736" t="s">
        <v>654</v>
      </c>
      <c r="B41" s="1706"/>
      <c r="C41" s="1688">
        <f>(SUM(C34,C37,C38,C39))</f>
        <v>9281088</v>
      </c>
      <c r="D41" s="1688">
        <f t="shared" ref="D41:L41" si="2">SUM(D34,D37,D38:D39)</f>
        <v>3653164</v>
      </c>
      <c r="E41" s="1688">
        <f t="shared" si="2"/>
        <v>5833819</v>
      </c>
      <c r="F41" s="1688">
        <f t="shared" si="2"/>
        <v>2971103</v>
      </c>
      <c r="G41" s="1688">
        <f t="shared" si="2"/>
        <v>506397</v>
      </c>
      <c r="H41" s="1688">
        <f t="shared" si="2"/>
        <v>11198824</v>
      </c>
      <c r="I41" s="1688">
        <f t="shared" si="2"/>
        <v>13630584</v>
      </c>
      <c r="J41" s="1688">
        <f t="shared" si="2"/>
        <v>2237744</v>
      </c>
      <c r="K41" s="1688">
        <f t="shared" si="2"/>
        <v>10456792</v>
      </c>
      <c r="L41" s="1688">
        <f t="shared" si="2"/>
        <v>1890740</v>
      </c>
      <c r="M41" s="1688">
        <f>SUM(M40)</f>
        <v>117404818</v>
      </c>
      <c r="N41" s="1688">
        <f>SUM(N37)</f>
        <v>63680000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6" activePane="bottomLeft" state="frozen"/>
      <selection pane="bottomLeft" activeCell="I33" sqref="I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73"/>
      <c r="D3" s="1574"/>
      <c r="E3" s="1574"/>
      <c r="F3" s="1574"/>
      <c r="G3" s="1574"/>
      <c r="H3" s="1574"/>
      <c r="I3" s="1574"/>
      <c r="J3" s="1574"/>
      <c r="K3" s="1575"/>
      <c r="L3" s="506"/>
    </row>
    <row r="4" spans="1:13" ht="15.75" customHeight="1" x14ac:dyDescent="0.2">
      <c r="A4" s="1928" t="s">
        <v>1498</v>
      </c>
      <c r="B4" s="1929">
        <v>1000</v>
      </c>
      <c r="C4" s="1742">
        <f>'Revenues 9-14'!C109</f>
        <v>21417757</v>
      </c>
      <c r="D4" s="1742">
        <f>'Revenues 9-14'!D109</f>
        <v>3763088</v>
      </c>
      <c r="E4" s="1742">
        <f>'Revenues 9-14'!E109</f>
        <v>8976704</v>
      </c>
      <c r="F4" s="1742">
        <f>'Revenues 9-14'!F109</f>
        <v>1660290</v>
      </c>
      <c r="G4" s="1742">
        <f>'Revenues 9-14'!G109</f>
        <v>1024803</v>
      </c>
      <c r="H4" s="1742">
        <f>'Revenues 9-14'!H109</f>
        <v>209512</v>
      </c>
      <c r="I4" s="1742">
        <f>'Revenues 9-14'!I109</f>
        <v>1016820</v>
      </c>
      <c r="J4" s="1742">
        <f>'Revenues 9-14'!J109</f>
        <v>1272706</v>
      </c>
      <c r="K4" s="1742">
        <f>'Revenues 9-14'!K109</f>
        <v>715433</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6268819</v>
      </c>
      <c r="D6" s="1743">
        <f>'Revenues 9-14'!D170</f>
        <v>0</v>
      </c>
      <c r="E6" s="1743">
        <f>'Revenues 9-14'!E170</f>
        <v>0</v>
      </c>
      <c r="F6" s="1743">
        <f>'Revenues 9-14'!F170</f>
        <v>1283166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557024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28243600</v>
      </c>
      <c r="D8" s="1688">
        <f t="shared" ref="D8:K8" si="0">SUM(D4:D7)</f>
        <v>3763088</v>
      </c>
      <c r="E8" s="1688">
        <f t="shared" si="0"/>
        <v>8976704</v>
      </c>
      <c r="F8" s="1688">
        <f t="shared" si="0"/>
        <v>2943456</v>
      </c>
      <c r="G8" s="1688">
        <f t="shared" si="0"/>
        <v>1024803</v>
      </c>
      <c r="H8" s="1688">
        <f t="shared" si="0"/>
        <v>209512</v>
      </c>
      <c r="I8" s="1688">
        <f t="shared" si="0"/>
        <v>1016820</v>
      </c>
      <c r="J8" s="1688">
        <f t="shared" si="0"/>
        <v>1272706</v>
      </c>
      <c r="K8" s="1688">
        <f t="shared" si="0"/>
        <v>715433</v>
      </c>
      <c r="L8" s="347"/>
    </row>
    <row r="9" spans="1:13" ht="15.75" thickTop="1" x14ac:dyDescent="0.2">
      <c r="A9" s="514" t="s">
        <v>1652</v>
      </c>
      <c r="B9" s="515">
        <v>3998</v>
      </c>
      <c r="C9" s="481">
        <v>1769705</v>
      </c>
      <c r="D9" s="516"/>
      <c r="E9" s="481"/>
      <c r="F9" s="481"/>
      <c r="G9" s="517"/>
      <c r="H9" s="481"/>
      <c r="I9" s="509" t="s">
        <v>1168</v>
      </c>
      <c r="J9" s="478"/>
      <c r="K9" s="481"/>
      <c r="L9" s="347"/>
    </row>
    <row r="10" spans="1:13" s="519" customFormat="1" ht="13.5" thickBot="1" x14ac:dyDescent="0.25">
      <c r="A10" s="1736" t="s">
        <v>1172</v>
      </c>
      <c r="B10" s="1709"/>
      <c r="C10" s="1688">
        <f>SUM(C8:C9)</f>
        <v>30013305</v>
      </c>
      <c r="D10" s="1688">
        <f t="shared" ref="D10:K10" si="1">SUM(D8:D9)</f>
        <v>3763088</v>
      </c>
      <c r="E10" s="1688">
        <f t="shared" si="1"/>
        <v>8976704</v>
      </c>
      <c r="F10" s="1688">
        <f t="shared" si="1"/>
        <v>2943456</v>
      </c>
      <c r="G10" s="1688">
        <f t="shared" si="1"/>
        <v>1024803</v>
      </c>
      <c r="H10" s="1688">
        <f t="shared" si="1"/>
        <v>209512</v>
      </c>
      <c r="I10" s="1688">
        <f t="shared" si="1"/>
        <v>1016820</v>
      </c>
      <c r="J10" s="1688">
        <f t="shared" si="1"/>
        <v>1272706</v>
      </c>
      <c r="K10" s="1688">
        <f t="shared" si="1"/>
        <v>715433</v>
      </c>
      <c r="L10" s="518"/>
    </row>
    <row r="11" spans="1:13" s="519" customFormat="1" ht="16.7" customHeight="1" thickTop="1" x14ac:dyDescent="0.2">
      <c r="A11" s="2116" t="s">
        <v>1175</v>
      </c>
      <c r="B11" s="2117"/>
      <c r="C11" s="1570"/>
      <c r="D11" s="1571"/>
      <c r="E11" s="1571"/>
      <c r="F11" s="1571"/>
      <c r="G11" s="1571"/>
      <c r="H11" s="1571"/>
      <c r="I11" s="1571"/>
      <c r="J11" s="1571"/>
      <c r="K11" s="1572"/>
      <c r="L11" s="518"/>
    </row>
    <row r="12" spans="1:13" ht="15.75" customHeight="1" x14ac:dyDescent="0.2">
      <c r="A12" s="1576" t="s">
        <v>455</v>
      </c>
      <c r="B12" s="1578">
        <v>1000</v>
      </c>
      <c r="C12" s="1742">
        <f>'Expenditures 15-22'!K33</f>
        <v>19699684</v>
      </c>
      <c r="D12" s="520" t="s">
        <v>1168</v>
      </c>
      <c r="E12" s="468" t="s">
        <v>1168</v>
      </c>
      <c r="F12" s="468" t="s">
        <v>1168</v>
      </c>
      <c r="G12" s="1742">
        <f>'Expenditures 15-22'!K229</f>
        <v>261959</v>
      </c>
      <c r="H12" s="521"/>
      <c r="I12" s="468" t="s">
        <v>1168</v>
      </c>
      <c r="J12" s="468" t="s">
        <v>1168</v>
      </c>
      <c r="K12" s="521" t="s">
        <v>1168</v>
      </c>
      <c r="L12" s="347"/>
    </row>
    <row r="13" spans="1:13" ht="15.75" customHeight="1" x14ac:dyDescent="0.2">
      <c r="A13" s="1576" t="s">
        <v>456</v>
      </c>
      <c r="B13" s="1578">
        <v>2000</v>
      </c>
      <c r="C13" s="1743">
        <f>'Expenditures 15-22'!K74</f>
        <v>5812372</v>
      </c>
      <c r="D13" s="1743">
        <f>'Expenditures 15-22'!K129</f>
        <v>3576786</v>
      </c>
      <c r="E13" s="469" t="s">
        <v>1168</v>
      </c>
      <c r="F13" s="1743">
        <f>'Expenditures 15-22'!K184</f>
        <v>2445719</v>
      </c>
      <c r="G13" s="1743">
        <f>'Expenditures 15-22'!K279</f>
        <v>617764</v>
      </c>
      <c r="H13" s="1743">
        <f>'Expenditures 15-22'!K303</f>
        <v>1608880</v>
      </c>
      <c r="I13" s="468" t="s">
        <v>1168</v>
      </c>
      <c r="J13" s="1743">
        <f>'Expenditures 15-22'!K330</f>
        <v>1087050</v>
      </c>
      <c r="K13" s="1747">
        <f>'Expenditures 15-22'!K352</f>
        <v>0</v>
      </c>
      <c r="L13" s="347"/>
    </row>
    <row r="14" spans="1:13" ht="15.75" customHeight="1" x14ac:dyDescent="0.2">
      <c r="A14" s="1576" t="s">
        <v>448</v>
      </c>
      <c r="B14" s="1578">
        <v>3000</v>
      </c>
      <c r="C14" s="1743">
        <f>'Expenditures 15-22'!K75</f>
        <v>5707</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2181370</v>
      </c>
      <c r="D15" s="1743">
        <f>'Expenditures 15-22'!K139</f>
        <v>321511</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9157213</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27699133</v>
      </c>
      <c r="D17" s="1688">
        <f t="shared" si="2"/>
        <v>3898297</v>
      </c>
      <c r="E17" s="1688">
        <f t="shared" si="2"/>
        <v>9157213</v>
      </c>
      <c r="F17" s="1688">
        <f t="shared" si="2"/>
        <v>2445719</v>
      </c>
      <c r="G17" s="1688">
        <f t="shared" si="2"/>
        <v>879723</v>
      </c>
      <c r="H17" s="1688">
        <f t="shared" si="2"/>
        <v>1608880</v>
      </c>
      <c r="I17" s="468"/>
      <c r="J17" s="1688">
        <f>SUM(J12:J16)</f>
        <v>1087050</v>
      </c>
      <c r="K17" s="1688">
        <f>SUM(K12:K16)</f>
        <v>0</v>
      </c>
      <c r="L17" s="347"/>
    </row>
    <row r="18" spans="1:12" ht="15" customHeight="1" thickTop="1" x14ac:dyDescent="0.2">
      <c r="A18" s="1744" t="s">
        <v>1653</v>
      </c>
      <c r="B18" s="1745">
        <v>4180</v>
      </c>
      <c r="C18" s="1742">
        <f t="shared" ref="C18:H18" si="3">C9</f>
        <v>1769705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29468838</v>
      </c>
      <c r="D19" s="1688">
        <f t="shared" si="4"/>
        <v>3898297</v>
      </c>
      <c r="E19" s="1688">
        <f t="shared" si="4"/>
        <v>9157213</v>
      </c>
      <c r="F19" s="1688">
        <f t="shared" si="4"/>
        <v>2445719</v>
      </c>
      <c r="G19" s="1688">
        <f t="shared" si="4"/>
        <v>879723</v>
      </c>
      <c r="H19" s="1688">
        <f t="shared" si="4"/>
        <v>1608880</v>
      </c>
      <c r="I19" s="468"/>
      <c r="J19" s="1688">
        <f>SUM(J17:J18)</f>
        <v>1087050</v>
      </c>
      <c r="K19" s="1688">
        <f>SUM(K17:K18)</f>
        <v>0</v>
      </c>
      <c r="L19" s="347"/>
    </row>
    <row r="20" spans="1:12" ht="16.5" thickTop="1" thickBot="1" x14ac:dyDescent="0.25">
      <c r="A20" s="2132" t="s">
        <v>1654</v>
      </c>
      <c r="B20" s="2133"/>
      <c r="C20" s="1746">
        <f>C8-C17</f>
        <v>544467</v>
      </c>
      <c r="D20" s="1746">
        <f t="shared" ref="D20:K20" si="5">D8-D17</f>
        <v>-135209</v>
      </c>
      <c r="E20" s="1746">
        <f t="shared" si="5"/>
        <v>-180509</v>
      </c>
      <c r="F20" s="1746">
        <f t="shared" si="5"/>
        <v>497737</v>
      </c>
      <c r="G20" s="1746">
        <f t="shared" si="5"/>
        <v>145080</v>
      </c>
      <c r="H20" s="1746">
        <f t="shared" si="5"/>
        <v>-1399368</v>
      </c>
      <c r="I20" s="1746">
        <f t="shared" si="5"/>
        <v>1016820</v>
      </c>
      <c r="J20" s="1746">
        <f t="shared" si="5"/>
        <v>185656</v>
      </c>
      <c r="K20" s="1746">
        <f t="shared" si="5"/>
        <v>715433</v>
      </c>
      <c r="L20" s="347"/>
    </row>
    <row r="21" spans="1:12" ht="16.7" customHeight="1" thickTop="1" x14ac:dyDescent="0.2">
      <c r="A21" s="2144" t="s">
        <v>594</v>
      </c>
      <c r="B21" s="2145"/>
      <c r="C21" s="1570"/>
      <c r="D21" s="1571"/>
      <c r="E21" s="1571"/>
      <c r="F21" s="1571"/>
      <c r="G21" s="1571"/>
      <c r="H21" s="1571"/>
      <c r="I21" s="1571"/>
      <c r="J21" s="1571"/>
      <c r="K21" s="1572"/>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v>475000</v>
      </c>
      <c r="E25" s="467"/>
      <c r="F25" s="467"/>
      <c r="G25" s="467"/>
      <c r="H25" s="467">
        <v>11200000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89" t="s">
        <v>411</v>
      </c>
      <c r="B33" s="525">
        <v>7210</v>
      </c>
      <c r="C33" s="467"/>
      <c r="D33" s="467"/>
      <c r="E33" s="467">
        <v>775232</v>
      </c>
      <c r="F33" s="467"/>
      <c r="G33" s="477"/>
      <c r="H33" s="467"/>
      <c r="I33" s="467">
        <v>10063070</v>
      </c>
      <c r="J33" s="467"/>
      <c r="K33" s="467">
        <v>7906698</v>
      </c>
      <c r="L33" s="524"/>
    </row>
    <row r="34" spans="1:12" s="485" customFormat="1" x14ac:dyDescent="0.2">
      <c r="A34" s="1489" t="s">
        <v>1000</v>
      </c>
      <c r="B34" s="525">
        <v>7220</v>
      </c>
      <c r="C34" s="467"/>
      <c r="D34" s="467"/>
      <c r="E34" s="467">
        <v>342884</v>
      </c>
      <c r="F34" s="467"/>
      <c r="G34" s="477"/>
      <c r="H34" s="478"/>
      <c r="I34" s="478">
        <v>1136930</v>
      </c>
      <c r="J34" s="478"/>
      <c r="K34" s="478">
        <v>893302</v>
      </c>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6" t="s">
        <v>373</v>
      </c>
      <c r="B44" s="2147"/>
      <c r="C44" s="1703">
        <f>SUM(C24:C43)</f>
        <v>0</v>
      </c>
      <c r="D44" s="1703">
        <f t="shared" ref="D44:K44" si="6">SUM(D24:D43)</f>
        <v>475000</v>
      </c>
      <c r="E44" s="1703">
        <f t="shared" si="6"/>
        <v>1118116</v>
      </c>
      <c r="F44" s="1703">
        <f t="shared" si="6"/>
        <v>0</v>
      </c>
      <c r="G44" s="1703">
        <f t="shared" si="6"/>
        <v>0</v>
      </c>
      <c r="H44" s="1703">
        <f t="shared" si="6"/>
        <v>11200000</v>
      </c>
      <c r="I44" s="1703">
        <f t="shared" si="6"/>
        <v>11200000</v>
      </c>
      <c r="J44" s="1703">
        <f t="shared" si="6"/>
        <v>0</v>
      </c>
      <c r="K44" s="1703">
        <f t="shared" si="6"/>
        <v>8800000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11675000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22" t="s">
        <v>439</v>
      </c>
      <c r="B76" s="2123"/>
      <c r="C76" s="1703">
        <f t="shared" ref="C76:K76" si="7">SUM(C47:C75)</f>
        <v>0</v>
      </c>
      <c r="D76" s="1703">
        <f t="shared" si="7"/>
        <v>0</v>
      </c>
      <c r="E76" s="1703">
        <f t="shared" si="7"/>
        <v>0</v>
      </c>
      <c r="F76" s="1703">
        <f t="shared" si="7"/>
        <v>0</v>
      </c>
      <c r="G76" s="1703">
        <f t="shared" si="7"/>
        <v>0</v>
      </c>
      <c r="H76" s="1703">
        <f t="shared" si="7"/>
        <v>0</v>
      </c>
      <c r="I76" s="1703">
        <f t="shared" si="7"/>
        <v>11675000</v>
      </c>
      <c r="J76" s="1703">
        <f t="shared" si="7"/>
        <v>0</v>
      </c>
      <c r="K76" s="1703">
        <f t="shared" si="7"/>
        <v>0</v>
      </c>
      <c r="L76" s="524"/>
    </row>
    <row r="77" spans="1:12" ht="14.25" thickTop="1" thickBot="1" x14ac:dyDescent="0.25">
      <c r="A77" s="2124" t="s">
        <v>1176</v>
      </c>
      <c r="B77" s="2125"/>
      <c r="C77" s="1703">
        <f t="shared" ref="C77:K77" si="8">C44-C76</f>
        <v>0</v>
      </c>
      <c r="D77" s="1703">
        <f t="shared" si="8"/>
        <v>475000</v>
      </c>
      <c r="E77" s="1703">
        <f t="shared" si="8"/>
        <v>1118116</v>
      </c>
      <c r="F77" s="1703">
        <f t="shared" si="8"/>
        <v>0</v>
      </c>
      <c r="G77" s="1703">
        <f t="shared" si="8"/>
        <v>0</v>
      </c>
      <c r="H77" s="1703">
        <f t="shared" si="8"/>
        <v>11200000</v>
      </c>
      <c r="I77" s="1703">
        <f t="shared" si="8"/>
        <v>-475000</v>
      </c>
      <c r="J77" s="1703">
        <f t="shared" si="8"/>
        <v>0</v>
      </c>
      <c r="K77" s="1703">
        <f t="shared" si="8"/>
        <v>8800000</v>
      </c>
      <c r="L77" s="347"/>
    </row>
    <row r="78" spans="1:12" ht="21.75" customHeight="1" thickTop="1" thickBot="1" x14ac:dyDescent="0.25">
      <c r="A78" s="2128" t="s">
        <v>596</v>
      </c>
      <c r="B78" s="2129"/>
      <c r="C78" s="1702">
        <f t="shared" ref="C78:K78" si="9">C20+C77</f>
        <v>544467</v>
      </c>
      <c r="D78" s="1702">
        <f t="shared" si="9"/>
        <v>339791</v>
      </c>
      <c r="E78" s="1702">
        <f t="shared" si="9"/>
        <v>937607</v>
      </c>
      <c r="F78" s="1702">
        <f t="shared" si="9"/>
        <v>497737</v>
      </c>
      <c r="G78" s="1702">
        <f t="shared" si="9"/>
        <v>145080</v>
      </c>
      <c r="H78" s="1702">
        <f t="shared" si="9"/>
        <v>9800632</v>
      </c>
      <c r="I78" s="1702">
        <f t="shared" si="9"/>
        <v>541820</v>
      </c>
      <c r="J78" s="1702">
        <f t="shared" si="9"/>
        <v>185656</v>
      </c>
      <c r="K78" s="1702">
        <f t="shared" si="9"/>
        <v>9515433</v>
      </c>
      <c r="L78" s="533"/>
    </row>
    <row r="79" spans="1:12" ht="13.5" thickTop="1" x14ac:dyDescent="0.2">
      <c r="A79" s="1494" t="s">
        <v>1946</v>
      </c>
      <c r="B79" s="534"/>
      <c r="C79" s="478">
        <v>8736621</v>
      </c>
      <c r="D79" s="535">
        <v>3313373</v>
      </c>
      <c r="E79" s="535">
        <v>4896212</v>
      </c>
      <c r="F79" s="535">
        <v>2473366</v>
      </c>
      <c r="G79" s="535">
        <v>361317</v>
      </c>
      <c r="H79" s="535">
        <v>1398192</v>
      </c>
      <c r="I79" s="535">
        <v>13088764</v>
      </c>
      <c r="J79" s="535">
        <v>2052088</v>
      </c>
      <c r="K79" s="535">
        <v>941359</v>
      </c>
      <c r="L79" s="347"/>
    </row>
    <row r="80" spans="1:12" x14ac:dyDescent="0.2">
      <c r="A80" s="2134" t="s">
        <v>1794</v>
      </c>
      <c r="B80" s="2135"/>
      <c r="C80" s="467"/>
      <c r="D80" s="467"/>
      <c r="E80" s="467"/>
      <c r="F80" s="467"/>
      <c r="G80" s="467"/>
      <c r="H80" s="467"/>
      <c r="I80" s="467"/>
      <c r="J80" s="467"/>
      <c r="K80" s="467"/>
      <c r="L80" s="347"/>
    </row>
    <row r="81" spans="1:12" ht="13.5" thickBot="1" x14ac:dyDescent="0.25">
      <c r="A81" s="2126" t="s">
        <v>1947</v>
      </c>
      <c r="B81" s="2127"/>
      <c r="C81" s="1688">
        <f>(SUM(C78:C80))</f>
        <v>9281088</v>
      </c>
      <c r="D81" s="1688">
        <f>SUM(D78:D80)</f>
        <v>3653164</v>
      </c>
      <c r="E81" s="1688">
        <f t="shared" ref="E81:K81" si="10">SUM(E78:E80)</f>
        <v>5833819</v>
      </c>
      <c r="F81" s="1688">
        <f t="shared" si="10"/>
        <v>2971103</v>
      </c>
      <c r="G81" s="1688">
        <f t="shared" si="10"/>
        <v>506397</v>
      </c>
      <c r="H81" s="1688">
        <f t="shared" si="10"/>
        <v>11198824</v>
      </c>
      <c r="I81" s="1688">
        <f t="shared" si="10"/>
        <v>13630584</v>
      </c>
      <c r="J81" s="1688">
        <f t="shared" si="10"/>
        <v>2237744</v>
      </c>
      <c r="K81" s="1688">
        <f t="shared" si="10"/>
        <v>10456792</v>
      </c>
      <c r="L81" s="347"/>
    </row>
    <row r="82" spans="1:12" ht="0.75" customHeight="1" thickTop="1" thickBot="1" x14ac:dyDescent="0.25">
      <c r="A82" s="536" t="s">
        <v>342</v>
      </c>
      <c r="B82" s="537"/>
      <c r="C82" s="538">
        <f>(C81-C79)</f>
        <v>544467</v>
      </c>
      <c r="D82" s="538">
        <f t="shared" ref="D82:K82" si="11">(D81-D79)</f>
        <v>339791</v>
      </c>
      <c r="E82" s="538">
        <f t="shared" si="11"/>
        <v>937607</v>
      </c>
      <c r="F82" s="538">
        <f t="shared" si="11"/>
        <v>497737</v>
      </c>
      <c r="G82" s="538">
        <f t="shared" si="11"/>
        <v>145080</v>
      </c>
      <c r="H82" s="538">
        <f t="shared" si="11"/>
        <v>9800632</v>
      </c>
      <c r="I82" s="538">
        <f t="shared" si="11"/>
        <v>541820</v>
      </c>
      <c r="J82" s="538">
        <f t="shared" si="11"/>
        <v>185656</v>
      </c>
      <c r="K82" s="538">
        <f t="shared" si="11"/>
        <v>9515433</v>
      </c>
    </row>
    <row r="83" spans="1:12" ht="14.25" hidden="1" thickTop="1" thickBot="1" x14ac:dyDescent="0.25">
      <c r="A83" s="539" t="s">
        <v>343</v>
      </c>
      <c r="B83" s="464"/>
      <c r="C83" s="540">
        <f>C82/C81</f>
        <v>5.8664135066923188E-2</v>
      </c>
      <c r="D83" s="540">
        <f t="shared" ref="D83:K83" si="12">D82/D81</f>
        <v>9.301279657852754E-2</v>
      </c>
      <c r="E83" s="540">
        <f t="shared" si="12"/>
        <v>0.16071924754607572</v>
      </c>
      <c r="F83" s="540">
        <f t="shared" si="12"/>
        <v>0.16752599960351425</v>
      </c>
      <c r="G83" s="540">
        <f t="shared" si="12"/>
        <v>0.28649458823808199</v>
      </c>
      <c r="H83" s="540">
        <f t="shared" si="12"/>
        <v>0.87514831914493874</v>
      </c>
      <c r="I83" s="540">
        <f t="shared" si="12"/>
        <v>3.9750314439938893E-2</v>
      </c>
      <c r="J83" s="540">
        <f t="shared" si="12"/>
        <v>8.2965701170464534E-2</v>
      </c>
      <c r="K83" s="540">
        <f t="shared" si="12"/>
        <v>0.90997631013412139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1801</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16385886</v>
      </c>
      <c r="D5" s="481">
        <v>3358041</v>
      </c>
      <c r="E5" s="466">
        <v>8852061</v>
      </c>
      <c r="F5" s="548">
        <v>1612439</v>
      </c>
      <c r="G5" s="466">
        <v>388655</v>
      </c>
      <c r="H5" s="466"/>
      <c r="I5" s="466">
        <v>672661</v>
      </c>
      <c r="J5" s="467">
        <v>1198995</v>
      </c>
      <c r="K5" s="466">
        <v>672661</v>
      </c>
    </row>
    <row r="6" spans="1:12" ht="15" x14ac:dyDescent="0.2">
      <c r="A6" s="463" t="s">
        <v>1661</v>
      </c>
      <c r="B6" s="470">
        <v>1130</v>
      </c>
      <c r="C6" s="466">
        <v>672662</v>
      </c>
      <c r="D6" s="466"/>
      <c r="E6" s="475"/>
      <c r="F6" s="475"/>
      <c r="G6" s="468"/>
      <c r="H6" s="468"/>
      <c r="I6" s="468"/>
      <c r="J6" s="468"/>
      <c r="K6" s="468"/>
    </row>
    <row r="7" spans="1:12" x14ac:dyDescent="0.2">
      <c r="A7" s="463" t="s">
        <v>110</v>
      </c>
      <c r="B7" s="549">
        <v>1140</v>
      </c>
      <c r="C7" s="466">
        <v>268740</v>
      </c>
      <c r="D7" s="466"/>
      <c r="E7" s="468"/>
      <c r="F7" s="467"/>
      <c r="G7" s="467"/>
      <c r="H7" s="467"/>
      <c r="I7" s="468"/>
      <c r="J7" s="468"/>
      <c r="K7" s="468"/>
    </row>
    <row r="8" spans="1:12" x14ac:dyDescent="0.2">
      <c r="A8" s="463" t="s">
        <v>412</v>
      </c>
      <c r="B8" s="470">
        <v>1150</v>
      </c>
      <c r="C8" s="475"/>
      <c r="D8" s="475"/>
      <c r="E8" s="477"/>
      <c r="F8" s="477"/>
      <c r="G8" s="481">
        <v>487902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17327288</v>
      </c>
      <c r="D12" s="1707">
        <f t="shared" si="0"/>
        <v>3358041</v>
      </c>
      <c r="E12" s="1707">
        <f t="shared" si="0"/>
        <v>8852061</v>
      </c>
      <c r="F12" s="1707">
        <f t="shared" si="0"/>
        <v>1612439</v>
      </c>
      <c r="G12" s="1707">
        <f t="shared" si="0"/>
        <v>876557</v>
      </c>
      <c r="H12" s="1707">
        <f t="shared" si="0"/>
        <v>0</v>
      </c>
      <c r="I12" s="1707">
        <f t="shared" si="0"/>
        <v>672661</v>
      </c>
      <c r="J12" s="1707">
        <f t="shared" si="0"/>
        <v>1198995</v>
      </c>
      <c r="K12" s="1688">
        <f t="shared" si="0"/>
        <v>672661</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313991</v>
      </c>
      <c r="D16" s="466">
        <v>179403</v>
      </c>
      <c r="E16" s="466"/>
      <c r="F16" s="466"/>
      <c r="G16" s="466">
        <v>89701</v>
      </c>
      <c r="H16" s="466"/>
      <c r="I16" s="466">
        <v>14915</v>
      </c>
      <c r="J16" s="467"/>
      <c r="K16" s="466"/>
    </row>
    <row r="17" spans="1:11" ht="12.75" customHeight="1" x14ac:dyDescent="0.2">
      <c r="A17" s="463" t="s">
        <v>806</v>
      </c>
      <c r="B17" s="470">
        <v>1290</v>
      </c>
      <c r="C17" s="551">
        <v>24689</v>
      </c>
      <c r="D17" s="466"/>
      <c r="E17" s="466"/>
      <c r="F17" s="466"/>
      <c r="G17" s="466"/>
      <c r="H17" s="466"/>
      <c r="I17" s="466"/>
      <c r="J17" s="467"/>
      <c r="K17" s="466"/>
    </row>
    <row r="18" spans="1:11" ht="12.75" customHeight="1" thickBot="1" x14ac:dyDescent="0.25">
      <c r="A18" s="1708" t="s">
        <v>536</v>
      </c>
      <c r="B18" s="1709"/>
      <c r="C18" s="1710">
        <f>SUM(C14:C17)</f>
        <v>338680</v>
      </c>
      <c r="D18" s="1710">
        <f t="shared" ref="D18:K18" si="1">SUM(D14:D17)</f>
        <v>179403</v>
      </c>
      <c r="E18" s="1710">
        <f t="shared" si="1"/>
        <v>0</v>
      </c>
      <c r="F18" s="1710">
        <f t="shared" si="1"/>
        <v>0</v>
      </c>
      <c r="G18" s="1710">
        <f t="shared" si="1"/>
        <v>89701</v>
      </c>
      <c r="H18" s="1710">
        <f t="shared" si="1"/>
        <v>0</v>
      </c>
      <c r="I18" s="1710">
        <f t="shared" si="1"/>
        <v>14915</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13060</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13060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273421</v>
      </c>
      <c r="D65" s="466">
        <v>59845</v>
      </c>
      <c r="E65" s="466">
        <v>124643</v>
      </c>
      <c r="F65" s="467">
        <v>29005</v>
      </c>
      <c r="G65" s="466">
        <v>22545</v>
      </c>
      <c r="H65" s="466">
        <v>27832</v>
      </c>
      <c r="I65" s="466">
        <v>240744</v>
      </c>
      <c r="J65" s="467">
        <v>23694</v>
      </c>
      <c r="K65" s="466">
        <v>16772</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273421</v>
      </c>
      <c r="D67" s="1688">
        <f t="shared" ref="D67:K67" si="2">SUM(D65:D66)</f>
        <v>59845</v>
      </c>
      <c r="E67" s="1688">
        <f t="shared" si="2"/>
        <v>124643</v>
      </c>
      <c r="F67" s="1688">
        <f t="shared" si="2"/>
        <v>29005</v>
      </c>
      <c r="G67" s="1688">
        <f t="shared" si="2"/>
        <v>22545</v>
      </c>
      <c r="H67" s="1688">
        <f t="shared" si="2"/>
        <v>27832</v>
      </c>
      <c r="I67" s="1688">
        <f t="shared" si="2"/>
        <v>240744</v>
      </c>
      <c r="J67" s="1688">
        <f t="shared" si="2"/>
        <v>23694</v>
      </c>
      <c r="K67" s="1688">
        <f t="shared" si="2"/>
        <v>16772</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1018474</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1018474</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74984</v>
      </c>
      <c r="D77" s="466"/>
      <c r="E77" s="468"/>
      <c r="F77" s="468"/>
      <c r="G77" s="468"/>
      <c r="H77" s="468"/>
      <c r="I77" s="468"/>
      <c r="J77" s="468"/>
      <c r="K77" s="468"/>
    </row>
    <row r="78" spans="1:11" ht="12.75" customHeight="1" x14ac:dyDescent="0.2">
      <c r="A78" s="463" t="s">
        <v>76</v>
      </c>
      <c r="B78" s="470">
        <v>1719</v>
      </c>
      <c r="C78" s="551">
        <v>28182</v>
      </c>
      <c r="D78" s="466"/>
      <c r="E78" s="468"/>
      <c r="F78" s="468"/>
      <c r="G78" s="468"/>
      <c r="H78" s="468"/>
      <c r="I78" s="468"/>
      <c r="J78" s="468"/>
      <c r="K78" s="468"/>
    </row>
    <row r="79" spans="1:11" ht="12.75" customHeight="1" x14ac:dyDescent="0.2">
      <c r="A79" s="463" t="s">
        <v>549</v>
      </c>
      <c r="B79" s="470">
        <v>1720</v>
      </c>
      <c r="C79" s="551">
        <v>250415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870</v>
      </c>
      <c r="D81" s="466"/>
      <c r="E81" s="468"/>
      <c r="F81" s="468"/>
      <c r="G81" s="468"/>
      <c r="H81" s="468"/>
      <c r="I81" s="468"/>
      <c r="J81" s="468"/>
      <c r="K81" s="468"/>
    </row>
    <row r="82" spans="1:11" ht="12.75" customHeight="1" thickBot="1" x14ac:dyDescent="0.25">
      <c r="A82" s="1708" t="s">
        <v>241</v>
      </c>
      <c r="B82" s="1709"/>
      <c r="C82" s="1707">
        <f>SUM(C77:C81)</f>
        <v>354451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555495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v>45688</v>
      </c>
      <c r="D92" s="468"/>
      <c r="E92" s="468"/>
      <c r="F92" s="468"/>
      <c r="G92" s="468"/>
      <c r="H92" s="468"/>
      <c r="I92" s="468"/>
      <c r="J92" s="468"/>
      <c r="K92" s="468"/>
    </row>
    <row r="93" spans="1:11" ht="12.75" customHeight="1" thickBot="1" x14ac:dyDescent="0.25">
      <c r="A93" s="1708" t="s">
        <v>243</v>
      </c>
      <c r="B93" s="1709"/>
      <c r="C93" s="1688">
        <f>SUM(C84:C92)</f>
        <v>601183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16441</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v>181680</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110149</v>
      </c>
      <c r="D99" s="466"/>
      <c r="E99" s="466"/>
      <c r="F99" s="466">
        <v>15914</v>
      </c>
      <c r="G99" s="466"/>
      <c r="H99" s="466"/>
      <c r="I99" s="468"/>
      <c r="J99" s="467"/>
      <c r="K99" s="466"/>
    </row>
    <row r="100" spans="1:12" ht="12.75" customHeight="1" x14ac:dyDescent="0.2">
      <c r="A100" s="463" t="s">
        <v>245</v>
      </c>
      <c r="B100" s="470">
        <v>1960</v>
      </c>
      <c r="C100" s="489">
        <v>1110677</v>
      </c>
      <c r="D100" s="489">
        <v>130000</v>
      </c>
      <c r="E100" s="489"/>
      <c r="F100" s="489"/>
      <c r="G100" s="489">
        <v>36000</v>
      </c>
      <c r="H100" s="489"/>
      <c r="I100" s="467">
        <v>88500</v>
      </c>
      <c r="J100" s="489">
        <v>50000</v>
      </c>
      <c r="K100" s="467">
        <v>26000</v>
      </c>
    </row>
    <row r="101" spans="1:12" ht="12.75" customHeight="1" x14ac:dyDescent="0.2">
      <c r="A101" s="463" t="s">
        <v>246</v>
      </c>
      <c r="B101" s="470">
        <v>1970</v>
      </c>
      <c r="C101" s="489">
        <v>69300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201074</v>
      </c>
      <c r="D107" s="466">
        <v>19358</v>
      </c>
      <c r="E107" s="466"/>
      <c r="F107" s="466">
        <v>2932</v>
      </c>
      <c r="G107" s="466"/>
      <c r="H107" s="466"/>
      <c r="I107" s="466"/>
      <c r="J107" s="467">
        <v>17</v>
      </c>
      <c r="K107" s="466"/>
    </row>
    <row r="108" spans="1:12" ht="12.75" customHeight="1" thickBot="1" x14ac:dyDescent="0.25">
      <c r="A108" s="1708" t="s">
        <v>486</v>
      </c>
      <c r="B108" s="1712"/>
      <c r="C108" s="1707">
        <f>SUM(C95:C107)</f>
        <v>1491200</v>
      </c>
      <c r="D108" s="1707">
        <f t="shared" ref="D108:K108" si="3">SUM(D95:D107)</f>
        <v>165799</v>
      </c>
      <c r="E108" s="1707">
        <f t="shared" si="3"/>
        <v>0</v>
      </c>
      <c r="F108" s="1707">
        <f t="shared" si="3"/>
        <v>18846</v>
      </c>
      <c r="G108" s="1707">
        <f t="shared" si="3"/>
        <v>36000</v>
      </c>
      <c r="H108" s="1707">
        <f t="shared" si="3"/>
        <v>181680</v>
      </c>
      <c r="I108" s="1707">
        <f t="shared" si="3"/>
        <v>88500</v>
      </c>
      <c r="J108" s="1707">
        <f t="shared" si="3"/>
        <v>50017</v>
      </c>
      <c r="K108" s="1688">
        <f t="shared" si="3"/>
        <v>26000</v>
      </c>
    </row>
    <row r="109" spans="1:12" ht="14.25" thickTop="1" thickBot="1" x14ac:dyDescent="0.25">
      <c r="A109" s="1713" t="s">
        <v>248</v>
      </c>
      <c r="B109" s="1714" t="s">
        <v>569</v>
      </c>
      <c r="C109" s="1715">
        <f t="shared" ref="C109:K109" si="4">SUM(C12,C18,C40,C63,C67,C75,C82,C93,C108,)</f>
        <v>21417757</v>
      </c>
      <c r="D109" s="1715">
        <f t="shared" si="4"/>
        <v>3763088</v>
      </c>
      <c r="E109" s="1715">
        <f t="shared" si="4"/>
        <v>8976704</v>
      </c>
      <c r="F109" s="1715">
        <f t="shared" si="4"/>
        <v>1660290</v>
      </c>
      <c r="G109" s="1715">
        <f t="shared" si="4"/>
        <v>1024803</v>
      </c>
      <c r="H109" s="1715">
        <f t="shared" si="4"/>
        <v>209512</v>
      </c>
      <c r="I109" s="1715">
        <f t="shared" si="4"/>
        <v>1016820</v>
      </c>
      <c r="J109" s="1715">
        <f t="shared" si="4"/>
        <v>1272706</v>
      </c>
      <c r="K109" s="1702">
        <f t="shared" si="4"/>
        <v>715433</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5558390</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5558390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412877</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412877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63028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2965</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65993</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913</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97387</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295359</v>
      </c>
      <c r="G152" s="467"/>
      <c r="H152" s="468"/>
      <c r="I152" s="468"/>
      <c r="J152" s="468"/>
      <c r="K152" s="468"/>
    </row>
    <row r="153" spans="1:11" ht="12.75" customHeight="1" x14ac:dyDescent="0.2">
      <c r="A153" s="463" t="s">
        <v>1056</v>
      </c>
      <c r="B153" s="562">
        <v>3510</v>
      </c>
      <c r="C153" s="551"/>
      <c r="D153" s="466"/>
      <c r="E153" s="561"/>
      <c r="F153" s="466">
        <v>987807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1283166</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v>120000</v>
      </c>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13259</v>
      </c>
      <c r="D168" s="580"/>
      <c r="E168" s="580"/>
      <c r="F168" s="580"/>
      <c r="G168" s="581"/>
      <c r="H168" s="582"/>
      <c r="I168" s="581"/>
      <c r="J168" s="581"/>
      <c r="K168" s="582"/>
    </row>
    <row r="169" spans="1:11" ht="12.75" customHeight="1" thickTop="1" thickBot="1" x14ac:dyDescent="0.25">
      <c r="A169" s="2150" t="s">
        <v>397</v>
      </c>
      <c r="B169" s="2151"/>
      <c r="C169" s="1722">
        <f t="shared" ref="C169:K169" si="6">SUM(C132,C141,C145,C146:C150,C155,C156:C167,C168)</f>
        <v>710429</v>
      </c>
      <c r="D169" s="1722">
        <f t="shared" si="6"/>
        <v>0</v>
      </c>
      <c r="E169" s="1722">
        <f t="shared" si="6"/>
        <v>0</v>
      </c>
      <c r="F169" s="1722">
        <f t="shared" si="6"/>
        <v>1283166</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6268819</v>
      </c>
      <c r="D170" s="1715">
        <f t="shared" si="7"/>
        <v>0</v>
      </c>
      <c r="E170" s="1715">
        <f t="shared" si="7"/>
        <v>0</v>
      </c>
      <c r="F170" s="1715">
        <f t="shared" si="7"/>
        <v>1283166</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6" t="s">
        <v>1664</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8" t="s">
        <v>784</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1802</v>
      </c>
      <c r="B182" s="2155"/>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c r="D191" s="468"/>
      <c r="E191" s="561"/>
      <c r="F191" s="468"/>
      <c r="G191" s="585"/>
      <c r="H191" s="468"/>
      <c r="I191" s="468"/>
      <c r="J191" s="468"/>
      <c r="K191" s="468"/>
    </row>
    <row r="192" spans="1:11" ht="12.75" customHeight="1" x14ac:dyDescent="0.2">
      <c r="A192" s="463" t="s">
        <v>1046</v>
      </c>
      <c r="B192" s="470">
        <v>4215</v>
      </c>
      <c r="C192" s="551">
        <v>5718</v>
      </c>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5718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240263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240263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219680</v>
      </c>
      <c r="D213" s="466"/>
      <c r="E213" s="468"/>
      <c r="F213" s="466"/>
      <c r="G213" s="466"/>
      <c r="H213" s="468"/>
      <c r="I213" s="468"/>
      <c r="J213" s="468"/>
      <c r="K213" s="468"/>
    </row>
    <row r="214" spans="1:11" ht="12.75" customHeight="1" x14ac:dyDescent="0.2">
      <c r="A214" s="463" t="s">
        <v>1053</v>
      </c>
      <c r="B214" s="470">
        <v>4625</v>
      </c>
      <c r="C214" s="551">
        <v>239</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219919</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83349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7775</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557024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557024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28243600</v>
      </c>
      <c r="D268" s="1715">
        <f t="shared" si="12"/>
        <v>3763088</v>
      </c>
      <c r="E268" s="1715">
        <f t="shared" si="12"/>
        <v>8976704</v>
      </c>
      <c r="F268" s="1715">
        <f t="shared" si="12"/>
        <v>2943456</v>
      </c>
      <c r="G268" s="1715">
        <f t="shared" si="12"/>
        <v>1024803</v>
      </c>
      <c r="H268" s="1715">
        <f t="shared" si="12"/>
        <v>209512</v>
      </c>
      <c r="I268" s="1715">
        <f t="shared" si="12"/>
        <v>1016820</v>
      </c>
      <c r="J268" s="1715">
        <f t="shared" si="12"/>
        <v>1272706</v>
      </c>
      <c r="K268" s="1702">
        <f t="shared" si="12"/>
        <v>715433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59" activePane="bottomLeft" state="frozen"/>
      <selection pane="bottomLeft" activeCell="H159" sqref="H15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0" t="s">
        <v>296</v>
      </c>
      <c r="B3" s="2171"/>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8733742</v>
      </c>
      <c r="D5" s="466">
        <v>2842729</v>
      </c>
      <c r="E5" s="466">
        <v>41629</v>
      </c>
      <c r="F5" s="466">
        <v>248145</v>
      </c>
      <c r="G5" s="466">
        <v>21655</v>
      </c>
      <c r="H5" s="466">
        <v>14578</v>
      </c>
      <c r="I5" s="467"/>
      <c r="J5" s="467"/>
      <c r="K5" s="1671">
        <f>SUM(C5:J5)</f>
        <v>11902478</v>
      </c>
      <c r="L5" s="466"/>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v>12184091</v>
      </c>
    </row>
    <row r="8" spans="1:14" x14ac:dyDescent="0.2">
      <c r="A8" s="1504" t="s">
        <v>164</v>
      </c>
      <c r="B8" s="614">
        <v>1200</v>
      </c>
      <c r="C8" s="466">
        <v>1168084</v>
      </c>
      <c r="D8" s="466">
        <v>364255</v>
      </c>
      <c r="E8" s="466">
        <v>61198</v>
      </c>
      <c r="F8" s="466">
        <v>21863</v>
      </c>
      <c r="G8" s="466">
        <v>27720</v>
      </c>
      <c r="H8" s="466"/>
      <c r="I8" s="467"/>
      <c r="J8" s="467"/>
      <c r="K8" s="1671">
        <f t="shared" si="0"/>
        <v>1643120</v>
      </c>
      <c r="L8" s="466">
        <v>1704946</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c r="D10" s="466"/>
      <c r="E10" s="466"/>
      <c r="F10" s="466"/>
      <c r="G10" s="466"/>
      <c r="H10" s="466"/>
      <c r="I10" s="467"/>
      <c r="J10" s="467"/>
      <c r="K10" s="1671">
        <f t="shared" si="0"/>
        <v>0</v>
      </c>
      <c r="L10" s="466">
        <v>15000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1062819</v>
      </c>
      <c r="D13" s="466">
        <v>357317</v>
      </c>
      <c r="E13" s="466">
        <v>44620</v>
      </c>
      <c r="F13" s="466">
        <v>104905</v>
      </c>
      <c r="G13" s="466">
        <v>6595</v>
      </c>
      <c r="H13" s="466">
        <v>965</v>
      </c>
      <c r="I13" s="467"/>
      <c r="J13" s="467"/>
      <c r="K13" s="1671">
        <f t="shared" si="0"/>
        <v>1577221</v>
      </c>
      <c r="L13" s="466">
        <v>1528148</v>
      </c>
    </row>
    <row r="14" spans="1:14" x14ac:dyDescent="0.2">
      <c r="A14" s="1504" t="s">
        <v>962</v>
      </c>
      <c r="B14" s="614">
        <v>1500</v>
      </c>
      <c r="C14" s="466">
        <v>1288177</v>
      </c>
      <c r="D14" s="466">
        <v>326078</v>
      </c>
      <c r="E14" s="466">
        <v>254523</v>
      </c>
      <c r="F14" s="466">
        <v>156232</v>
      </c>
      <c r="G14" s="466"/>
      <c r="H14" s="466">
        <v>9105</v>
      </c>
      <c r="I14" s="467"/>
      <c r="J14" s="467"/>
      <c r="K14" s="1671">
        <f t="shared" si="0"/>
        <v>2034115</v>
      </c>
      <c r="L14" s="466">
        <v>2078596</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626876</v>
      </c>
      <c r="D17" s="467">
        <v>164187</v>
      </c>
      <c r="E17" s="467">
        <v>775</v>
      </c>
      <c r="F17" s="467">
        <v>9266</v>
      </c>
      <c r="G17" s="467">
        <v>31078</v>
      </c>
      <c r="H17" s="467"/>
      <c r="I17" s="467"/>
      <c r="J17" s="467"/>
      <c r="K17" s="1671">
        <f t="shared" si="0"/>
        <v>832182</v>
      </c>
      <c r="L17" s="466">
        <v>844811</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v>114821</v>
      </c>
      <c r="D19" s="466">
        <v>25142</v>
      </c>
      <c r="E19" s="466"/>
      <c r="F19" s="466"/>
      <c r="G19" s="466"/>
      <c r="H19" s="466"/>
      <c r="I19" s="467"/>
      <c r="J19" s="467"/>
      <c r="K19" s="1671">
        <f t="shared" si="0"/>
        <v>139963</v>
      </c>
      <c r="L19" s="466">
        <v>141842</v>
      </c>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1570605</v>
      </c>
      <c r="I22" s="616"/>
      <c r="J22" s="477"/>
      <c r="K22" s="1671">
        <f t="shared" si="0"/>
        <v>1570605</v>
      </c>
      <c r="L22" s="471">
        <v>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v>1000</v>
      </c>
    </row>
    <row r="33" spans="1:14" ht="12.75" customHeight="1" thickBot="1" x14ac:dyDescent="0.25">
      <c r="A33" s="1668" t="s">
        <v>1667</v>
      </c>
      <c r="B33" s="1669" t="s">
        <v>569</v>
      </c>
      <c r="C33" s="1670">
        <f>SUM(C5:C32)</f>
        <v>12994519</v>
      </c>
      <c r="D33" s="1670">
        <f t="shared" ref="D33:L33" si="1">SUM(D5:D32)</f>
        <v>4079708</v>
      </c>
      <c r="E33" s="1670">
        <f t="shared" si="1"/>
        <v>402745</v>
      </c>
      <c r="F33" s="1670">
        <f t="shared" si="1"/>
        <v>540411</v>
      </c>
      <c r="G33" s="1670">
        <f t="shared" si="1"/>
        <v>87048</v>
      </c>
      <c r="H33" s="1670">
        <f t="shared" si="1"/>
        <v>1595253</v>
      </c>
      <c r="I33" s="1670">
        <f t="shared" si="1"/>
        <v>0</v>
      </c>
      <c r="J33" s="1670">
        <f t="shared" si="1"/>
        <v>0</v>
      </c>
      <c r="K33" s="1670">
        <f t="shared" si="1"/>
        <v>19699684</v>
      </c>
      <c r="L33" s="1670">
        <f t="shared" si="1"/>
        <v>18498434</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170807</v>
      </c>
      <c r="D36" s="481">
        <v>49636</v>
      </c>
      <c r="E36" s="481"/>
      <c r="F36" s="481">
        <v>2224</v>
      </c>
      <c r="G36" s="481"/>
      <c r="H36" s="481"/>
      <c r="I36" s="467"/>
      <c r="J36" s="467"/>
      <c r="K36" s="1671">
        <f t="shared" ref="K36:K41" si="2">SUM(C36:J36)</f>
        <v>222667</v>
      </c>
      <c r="L36" s="466">
        <v>223122</v>
      </c>
    </row>
    <row r="37" spans="1:14" x14ac:dyDescent="0.2">
      <c r="A37" s="1504" t="s">
        <v>1089</v>
      </c>
      <c r="B37" s="614">
        <v>2120</v>
      </c>
      <c r="C37" s="466">
        <v>638629</v>
      </c>
      <c r="D37" s="466">
        <v>184728</v>
      </c>
      <c r="E37" s="466">
        <v>7209</v>
      </c>
      <c r="F37" s="466">
        <v>950</v>
      </c>
      <c r="G37" s="466"/>
      <c r="H37" s="466"/>
      <c r="I37" s="467"/>
      <c r="J37" s="467"/>
      <c r="K37" s="1671">
        <f t="shared" si="2"/>
        <v>831516</v>
      </c>
      <c r="L37" s="466">
        <v>982810</v>
      </c>
    </row>
    <row r="38" spans="1:14" x14ac:dyDescent="0.2">
      <c r="A38" s="1504" t="s">
        <v>198</v>
      </c>
      <c r="B38" s="614">
        <v>2130</v>
      </c>
      <c r="C38" s="466">
        <v>75043</v>
      </c>
      <c r="D38" s="466">
        <v>7328</v>
      </c>
      <c r="E38" s="466">
        <v>323</v>
      </c>
      <c r="F38" s="466">
        <v>7698</v>
      </c>
      <c r="G38" s="466">
        <v>201</v>
      </c>
      <c r="H38" s="466"/>
      <c r="I38" s="467"/>
      <c r="J38" s="467"/>
      <c r="K38" s="1671">
        <f t="shared" si="2"/>
        <v>90593</v>
      </c>
      <c r="L38" s="466">
        <v>87452</v>
      </c>
    </row>
    <row r="39" spans="1:14" x14ac:dyDescent="0.2">
      <c r="A39" s="1504" t="s">
        <v>199</v>
      </c>
      <c r="B39" s="614">
        <v>2140</v>
      </c>
      <c r="C39" s="466">
        <v>71045</v>
      </c>
      <c r="D39" s="466">
        <v>9040</v>
      </c>
      <c r="E39" s="466"/>
      <c r="F39" s="466">
        <v>1098</v>
      </c>
      <c r="G39" s="466"/>
      <c r="H39" s="466"/>
      <c r="I39" s="467"/>
      <c r="J39" s="467"/>
      <c r="K39" s="1671">
        <f t="shared" si="2"/>
        <v>81183</v>
      </c>
      <c r="L39" s="466">
        <v>82118</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v>187780</v>
      </c>
      <c r="D41" s="466">
        <v>17070</v>
      </c>
      <c r="E41" s="466">
        <v>12</v>
      </c>
      <c r="F41" s="466">
        <v>585</v>
      </c>
      <c r="G41" s="466"/>
      <c r="H41" s="466">
        <v>1148</v>
      </c>
      <c r="I41" s="467"/>
      <c r="J41" s="467"/>
      <c r="K41" s="1671">
        <f t="shared" si="2"/>
        <v>206595</v>
      </c>
      <c r="L41" s="466">
        <v>1749</v>
      </c>
    </row>
    <row r="42" spans="1:14" ht="12.75" customHeight="1" thickBot="1" x14ac:dyDescent="0.25">
      <c r="A42" s="1668" t="s">
        <v>559</v>
      </c>
      <c r="B42" s="1669" t="s">
        <v>715</v>
      </c>
      <c r="C42" s="1670">
        <f>SUM(C36:C41)</f>
        <v>1143304</v>
      </c>
      <c r="D42" s="1670">
        <f t="shared" ref="D42:L42" si="3">SUM(D36:D41)</f>
        <v>267802</v>
      </c>
      <c r="E42" s="1670">
        <f t="shared" si="3"/>
        <v>7544</v>
      </c>
      <c r="F42" s="1670">
        <f t="shared" si="3"/>
        <v>12555</v>
      </c>
      <c r="G42" s="1670">
        <f t="shared" si="3"/>
        <v>201</v>
      </c>
      <c r="H42" s="1670">
        <f t="shared" si="3"/>
        <v>1148</v>
      </c>
      <c r="I42" s="1670">
        <f t="shared" si="3"/>
        <v>0</v>
      </c>
      <c r="J42" s="1670">
        <f t="shared" si="3"/>
        <v>0</v>
      </c>
      <c r="K42" s="1670">
        <f t="shared" si="3"/>
        <v>1432554</v>
      </c>
      <c r="L42" s="1670">
        <f t="shared" si="3"/>
        <v>1377251</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155967</v>
      </c>
      <c r="D44" s="481">
        <v>34835</v>
      </c>
      <c r="E44" s="481">
        <v>169773</v>
      </c>
      <c r="F44" s="481">
        <v>23749</v>
      </c>
      <c r="G44" s="481"/>
      <c r="H44" s="481">
        <v>468</v>
      </c>
      <c r="I44" s="467"/>
      <c r="J44" s="467"/>
      <c r="K44" s="1672">
        <f>SUM(C44:J44)</f>
        <v>384792</v>
      </c>
      <c r="L44" s="481">
        <v>284396</v>
      </c>
    </row>
    <row r="45" spans="1:14" x14ac:dyDescent="0.2">
      <c r="A45" s="1504" t="s">
        <v>814</v>
      </c>
      <c r="B45" s="614">
        <v>2220</v>
      </c>
      <c r="C45" s="466">
        <v>389181</v>
      </c>
      <c r="D45" s="466">
        <v>100766</v>
      </c>
      <c r="E45" s="466">
        <v>116637</v>
      </c>
      <c r="F45" s="466">
        <v>182657</v>
      </c>
      <c r="G45" s="466">
        <v>28071</v>
      </c>
      <c r="H45" s="466">
        <v>599</v>
      </c>
      <c r="I45" s="467">
        <v>77348</v>
      </c>
      <c r="J45" s="467"/>
      <c r="K45" s="1672">
        <f>SUM(C45:J45)</f>
        <v>895259</v>
      </c>
      <c r="L45" s="466">
        <v>966856</v>
      </c>
    </row>
    <row r="46" spans="1:14" x14ac:dyDescent="0.2">
      <c r="A46" s="1504" t="s">
        <v>815</v>
      </c>
      <c r="B46" s="614">
        <v>2230</v>
      </c>
      <c r="C46" s="466"/>
      <c r="D46" s="466"/>
      <c r="E46" s="466">
        <v>36285</v>
      </c>
      <c r="F46" s="466"/>
      <c r="G46" s="466"/>
      <c r="H46" s="466"/>
      <c r="I46" s="467"/>
      <c r="J46" s="467"/>
      <c r="K46" s="1672">
        <f>SUM(C46:J46)</f>
        <v>36285</v>
      </c>
      <c r="L46" s="466">
        <v>13500</v>
      </c>
    </row>
    <row r="47" spans="1:14" ht="12.75" customHeight="1" thickBot="1" x14ac:dyDescent="0.25">
      <c r="A47" s="1668" t="s">
        <v>560</v>
      </c>
      <c r="B47" s="1669" t="s">
        <v>32</v>
      </c>
      <c r="C47" s="1670">
        <f>SUM(C44:C46)</f>
        <v>545148</v>
      </c>
      <c r="D47" s="1670">
        <f t="shared" ref="D47:K47" si="4">SUM(D44:D46)</f>
        <v>135601</v>
      </c>
      <c r="E47" s="1670">
        <f t="shared" si="4"/>
        <v>322695</v>
      </c>
      <c r="F47" s="1670">
        <f t="shared" si="4"/>
        <v>206406</v>
      </c>
      <c r="G47" s="1670">
        <f t="shared" si="4"/>
        <v>28071</v>
      </c>
      <c r="H47" s="1670">
        <f t="shared" si="4"/>
        <v>1067</v>
      </c>
      <c r="I47" s="1670">
        <f t="shared" si="4"/>
        <v>77348</v>
      </c>
      <c r="J47" s="1670">
        <f t="shared" si="4"/>
        <v>0</v>
      </c>
      <c r="K47" s="1670">
        <f t="shared" si="4"/>
        <v>1316336</v>
      </c>
      <c r="L47" s="1670">
        <f>SUM(L44:L46)</f>
        <v>1264752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2415</v>
      </c>
      <c r="D49" s="481">
        <v>6232</v>
      </c>
      <c r="E49" s="481">
        <v>72445</v>
      </c>
      <c r="F49" s="481">
        <v>10593</v>
      </c>
      <c r="G49" s="481"/>
      <c r="H49" s="481">
        <v>29086</v>
      </c>
      <c r="I49" s="467"/>
      <c r="J49" s="467"/>
      <c r="K49" s="1672">
        <f>SUM(C49:J49)</f>
        <v>120771</v>
      </c>
      <c r="L49" s="481">
        <v>130800</v>
      </c>
    </row>
    <row r="50" spans="1:14" x14ac:dyDescent="0.2">
      <c r="A50" s="1504" t="s">
        <v>817</v>
      </c>
      <c r="B50" s="614">
        <v>2320</v>
      </c>
      <c r="C50" s="466">
        <v>251453</v>
      </c>
      <c r="D50" s="466">
        <v>34569</v>
      </c>
      <c r="E50" s="466">
        <v>1573</v>
      </c>
      <c r="F50" s="466">
        <v>532</v>
      </c>
      <c r="G50" s="466"/>
      <c r="H50" s="466">
        <v>4270</v>
      </c>
      <c r="I50" s="467"/>
      <c r="J50" s="467"/>
      <c r="K50" s="1672">
        <f>SUM(C50:J50)</f>
        <v>292397</v>
      </c>
      <c r="L50" s="466">
        <v>309391</v>
      </c>
    </row>
    <row r="51" spans="1:14" x14ac:dyDescent="0.2">
      <c r="A51" s="1504" t="s">
        <v>42</v>
      </c>
      <c r="B51" s="614">
        <v>2330</v>
      </c>
      <c r="C51" s="466"/>
      <c r="D51" s="466"/>
      <c r="E51" s="466"/>
      <c r="F51" s="466"/>
      <c r="G51" s="466"/>
      <c r="H51" s="466"/>
      <c r="I51" s="467"/>
      <c r="J51" s="467"/>
      <c r="K51" s="1672">
        <f>SUM(C51:J51)</f>
        <v>0</v>
      </c>
      <c r="L51" s="466">
        <v>500</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253868</v>
      </c>
      <c r="D53" s="1670">
        <f t="shared" ref="D53:L53" si="5">SUM(D49:D52)</f>
        <v>40801</v>
      </c>
      <c r="E53" s="1670">
        <f t="shared" si="5"/>
        <v>74018</v>
      </c>
      <c r="F53" s="1670">
        <f t="shared" si="5"/>
        <v>11125</v>
      </c>
      <c r="G53" s="1670">
        <f t="shared" si="5"/>
        <v>0</v>
      </c>
      <c r="H53" s="1670">
        <f t="shared" si="5"/>
        <v>33356</v>
      </c>
      <c r="I53" s="1670">
        <f t="shared" si="5"/>
        <v>0</v>
      </c>
      <c r="J53" s="1670">
        <f t="shared" si="5"/>
        <v>0</v>
      </c>
      <c r="K53" s="1670">
        <f t="shared" si="5"/>
        <v>413168</v>
      </c>
      <c r="L53" s="1670">
        <f t="shared" si="5"/>
        <v>440691</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716442</v>
      </c>
      <c r="D55" s="481">
        <v>184306</v>
      </c>
      <c r="E55" s="481">
        <v>49145</v>
      </c>
      <c r="F55" s="481">
        <v>44810</v>
      </c>
      <c r="G55" s="481"/>
      <c r="H55" s="481">
        <v>10490</v>
      </c>
      <c r="I55" s="467"/>
      <c r="J55" s="467"/>
      <c r="K55" s="1672">
        <f>SUM(C55:J55)</f>
        <v>1005193</v>
      </c>
      <c r="L55" s="481">
        <v>1031937</v>
      </c>
    </row>
    <row r="56" spans="1:14" ht="12.75" customHeight="1" x14ac:dyDescent="0.2">
      <c r="A56" s="1508" t="s">
        <v>375</v>
      </c>
      <c r="B56" s="628">
        <v>2490</v>
      </c>
      <c r="C56" s="466">
        <v>65117</v>
      </c>
      <c r="D56" s="466">
        <v>35958</v>
      </c>
      <c r="E56" s="466">
        <v>635</v>
      </c>
      <c r="F56" s="466">
        <v>2404</v>
      </c>
      <c r="G56" s="466"/>
      <c r="H56" s="466"/>
      <c r="I56" s="467"/>
      <c r="J56" s="467"/>
      <c r="K56" s="1672">
        <f>SUM(C56:J56)</f>
        <v>104114</v>
      </c>
      <c r="L56" s="466">
        <v>100592</v>
      </c>
    </row>
    <row r="57" spans="1:14" s="343" customFormat="1" ht="12.75" customHeight="1" thickBot="1" x14ac:dyDescent="0.25">
      <c r="A57" s="1668" t="s">
        <v>263</v>
      </c>
      <c r="B57" s="1673" t="s">
        <v>34</v>
      </c>
      <c r="C57" s="1674">
        <f>SUM(C55:C56)</f>
        <v>781559</v>
      </c>
      <c r="D57" s="1674">
        <f t="shared" ref="D57:K57" si="6">SUM(D55:D56)</f>
        <v>220264</v>
      </c>
      <c r="E57" s="1674">
        <f t="shared" si="6"/>
        <v>49780</v>
      </c>
      <c r="F57" s="1674">
        <f t="shared" si="6"/>
        <v>47214</v>
      </c>
      <c r="G57" s="1674">
        <f t="shared" si="6"/>
        <v>0</v>
      </c>
      <c r="H57" s="1674">
        <f t="shared" si="6"/>
        <v>10490</v>
      </c>
      <c r="I57" s="1674">
        <f t="shared" si="6"/>
        <v>0</v>
      </c>
      <c r="J57" s="1674">
        <f t="shared" si="6"/>
        <v>0</v>
      </c>
      <c r="K57" s="1674">
        <f t="shared" si="6"/>
        <v>1109307</v>
      </c>
      <c r="L57" s="1670">
        <f>SUM(L55:L56)</f>
        <v>1132529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52285</v>
      </c>
      <c r="D59" s="481">
        <v>10878</v>
      </c>
      <c r="E59" s="481">
        <v>28</v>
      </c>
      <c r="F59" s="481"/>
      <c r="G59" s="481"/>
      <c r="H59" s="481">
        <v>3708</v>
      </c>
      <c r="I59" s="467"/>
      <c r="J59" s="467"/>
      <c r="K59" s="1672">
        <f t="shared" ref="K59:K64" si="7">SUM(C59:J59)</f>
        <v>66899</v>
      </c>
      <c r="L59" s="481">
        <v>69037</v>
      </c>
      <c r="M59" s="609"/>
      <c r="N59" s="609"/>
    </row>
    <row r="60" spans="1:14" s="343" customFormat="1" x14ac:dyDescent="0.2">
      <c r="A60" s="1504" t="s">
        <v>462</v>
      </c>
      <c r="B60" s="614">
        <v>2520</v>
      </c>
      <c r="C60" s="466">
        <v>134333</v>
      </c>
      <c r="D60" s="466">
        <v>14363</v>
      </c>
      <c r="E60" s="466">
        <v>15492</v>
      </c>
      <c r="F60" s="466">
        <v>1708</v>
      </c>
      <c r="G60" s="466"/>
      <c r="H60" s="466"/>
      <c r="I60" s="467"/>
      <c r="J60" s="467"/>
      <c r="K60" s="1672">
        <f t="shared" si="7"/>
        <v>165896</v>
      </c>
      <c r="L60" s="466">
        <v>218986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940951</v>
      </c>
      <c r="F63" s="466"/>
      <c r="G63" s="466"/>
      <c r="H63" s="466">
        <v>343</v>
      </c>
      <c r="I63" s="467"/>
      <c r="J63" s="467"/>
      <c r="K63" s="1672">
        <f t="shared" si="7"/>
        <v>941294</v>
      </c>
      <c r="L63" s="466">
        <v>927114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186618</v>
      </c>
      <c r="D65" s="1670">
        <f t="shared" ref="D65:L65" si="8">SUM(D59:D64)</f>
        <v>25241</v>
      </c>
      <c r="E65" s="1670">
        <f t="shared" si="8"/>
        <v>956471</v>
      </c>
      <c r="F65" s="1670">
        <f t="shared" si="8"/>
        <v>1708</v>
      </c>
      <c r="G65" s="1670">
        <f t="shared" si="8"/>
        <v>0</v>
      </c>
      <c r="H65" s="1670">
        <f t="shared" si="8"/>
        <v>4051</v>
      </c>
      <c r="I65" s="1670">
        <f t="shared" si="8"/>
        <v>0</v>
      </c>
      <c r="J65" s="1670">
        <f t="shared" si="8"/>
        <v>0</v>
      </c>
      <c r="K65" s="1670">
        <f t="shared" si="8"/>
        <v>1174089</v>
      </c>
      <c r="L65" s="1670">
        <f t="shared" si="8"/>
        <v>1215137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83533</v>
      </c>
      <c r="D69" s="466">
        <v>22955</v>
      </c>
      <c r="E69" s="466">
        <v>228863</v>
      </c>
      <c r="F69" s="466">
        <v>29832</v>
      </c>
      <c r="G69" s="466"/>
      <c r="H69" s="466">
        <v>735</v>
      </c>
      <c r="I69" s="467"/>
      <c r="J69" s="467"/>
      <c r="K69" s="1672">
        <f>SUM(C69:J69)</f>
        <v>365918</v>
      </c>
      <c r="L69" s="466">
        <v>389768</v>
      </c>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83533</v>
      </c>
      <c r="D72" s="1670">
        <f t="shared" ref="D72:K72" si="9">SUM(D67:D71)</f>
        <v>22955</v>
      </c>
      <c r="E72" s="1670">
        <f t="shared" si="9"/>
        <v>228863</v>
      </c>
      <c r="F72" s="1670">
        <f t="shared" si="9"/>
        <v>29832</v>
      </c>
      <c r="G72" s="1670">
        <f t="shared" si="9"/>
        <v>0</v>
      </c>
      <c r="H72" s="1670">
        <f t="shared" si="9"/>
        <v>735</v>
      </c>
      <c r="I72" s="1670">
        <f t="shared" si="9"/>
        <v>0</v>
      </c>
      <c r="J72" s="1670">
        <f t="shared" si="9"/>
        <v>0</v>
      </c>
      <c r="K72" s="1670">
        <f t="shared" si="9"/>
        <v>365918</v>
      </c>
      <c r="L72" s="1670">
        <f>SUM(L67:L71)</f>
        <v>389768</v>
      </c>
      <c r="M72" s="609"/>
      <c r="N72" s="609"/>
    </row>
    <row r="73" spans="1:14" s="343" customFormat="1" ht="14.25" thickTop="1" thickBot="1" x14ac:dyDescent="0.25">
      <c r="A73" s="1510" t="s">
        <v>979</v>
      </c>
      <c r="B73" s="632" t="s">
        <v>573</v>
      </c>
      <c r="C73" s="573"/>
      <c r="D73" s="573"/>
      <c r="E73" s="573"/>
      <c r="F73" s="573">
        <v>1000</v>
      </c>
      <c r="G73" s="573"/>
      <c r="H73" s="573"/>
      <c r="I73" s="531"/>
      <c r="J73" s="531"/>
      <c r="K73" s="1670">
        <f>SUM(C73:J73)</f>
        <v>1000</v>
      </c>
      <c r="L73" s="576">
        <v>1000</v>
      </c>
      <c r="M73" s="609"/>
      <c r="N73" s="609"/>
    </row>
    <row r="74" spans="1:14" ht="12.75" customHeight="1" thickTop="1" thickBot="1" x14ac:dyDescent="0.25">
      <c r="A74" s="1668" t="s">
        <v>810</v>
      </c>
      <c r="B74" s="1676">
        <v>2000</v>
      </c>
      <c r="C74" s="1677">
        <f>SUM(C42,C47,C53,C57,C65,C72,C73)</f>
        <v>2994030</v>
      </c>
      <c r="D74" s="1677">
        <f t="shared" ref="D74:K74" si="10">SUM(D42,D47,D53,D57,D65,D72,D73)</f>
        <v>712664</v>
      </c>
      <c r="E74" s="1677">
        <f t="shared" si="10"/>
        <v>1639371</v>
      </c>
      <c r="F74" s="1677">
        <f t="shared" si="10"/>
        <v>309840</v>
      </c>
      <c r="G74" s="1677">
        <f t="shared" si="10"/>
        <v>28272</v>
      </c>
      <c r="H74" s="1677">
        <f t="shared" si="10"/>
        <v>50847</v>
      </c>
      <c r="I74" s="1677">
        <f t="shared" si="10"/>
        <v>77348</v>
      </c>
      <c r="J74" s="1677">
        <f t="shared" si="10"/>
        <v>0</v>
      </c>
      <c r="K74" s="1677">
        <f t="shared" si="10"/>
        <v>5812372</v>
      </c>
      <c r="L74" s="1677">
        <f>SUM(L42,L47,L53,L57,L65,L72,L73)</f>
        <v>5821128</v>
      </c>
    </row>
    <row r="75" spans="1:14" s="259" customFormat="1" ht="15.75" customHeight="1" thickTop="1" thickBot="1" x14ac:dyDescent="0.25">
      <c r="A75" s="1610" t="s">
        <v>47</v>
      </c>
      <c r="B75" s="1611" t="s">
        <v>574</v>
      </c>
      <c r="C75" s="573"/>
      <c r="D75" s="573"/>
      <c r="E75" s="573">
        <v>680</v>
      </c>
      <c r="F75" s="573"/>
      <c r="G75" s="573">
        <v>5027</v>
      </c>
      <c r="H75" s="573"/>
      <c r="I75" s="531"/>
      <c r="J75" s="531"/>
      <c r="K75" s="1670">
        <f>SUM(C75:J75)</f>
        <v>5707</v>
      </c>
      <c r="L75" s="576">
        <v>11000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v>188205</v>
      </c>
      <c r="I79" s="477"/>
      <c r="J79" s="477"/>
      <c r="K79" s="1671">
        <f t="shared" si="11"/>
        <v>188205</v>
      </c>
      <c r="L79" s="466">
        <v>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v>763652</v>
      </c>
      <c r="I81" s="477"/>
      <c r="J81" s="477"/>
      <c r="K81" s="1671">
        <f t="shared" si="11"/>
        <v>763652</v>
      </c>
      <c r="L81" s="466">
        <v>630000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951857</v>
      </c>
      <c r="I84" s="477"/>
      <c r="J84" s="477"/>
      <c r="K84" s="1670">
        <f>SUM(K78:K83)</f>
        <v>951857</v>
      </c>
      <c r="L84" s="1670">
        <f>SUM(L78:L83)</f>
        <v>630000</v>
      </c>
    </row>
    <row r="85" spans="1:12" ht="12.75" customHeight="1" thickTop="1" thickBot="1" x14ac:dyDescent="0.25">
      <c r="A85" s="1511" t="s">
        <v>255</v>
      </c>
      <c r="B85" s="635">
        <v>4210</v>
      </c>
      <c r="C85" s="616"/>
      <c r="D85" s="616"/>
      <c r="E85" s="636"/>
      <c r="F85" s="616"/>
      <c r="G85" s="616"/>
      <c r="H85" s="535">
        <v>180</v>
      </c>
      <c r="I85" s="477"/>
      <c r="J85" s="477"/>
      <c r="K85" s="1677">
        <f>H85</f>
        <v>180</v>
      </c>
      <c r="L85" s="530">
        <v>16000</v>
      </c>
    </row>
    <row r="86" spans="1:12" ht="12.75" customHeight="1" thickTop="1" thickBot="1" x14ac:dyDescent="0.25">
      <c r="A86" s="1512" t="s">
        <v>698</v>
      </c>
      <c r="B86" s="637">
        <v>4220</v>
      </c>
      <c r="C86" s="616"/>
      <c r="D86" s="616"/>
      <c r="E86" s="638"/>
      <c r="F86" s="616"/>
      <c r="G86" s="616"/>
      <c r="H86" s="467">
        <v>1229333</v>
      </c>
      <c r="I86" s="477"/>
      <c r="J86" s="477"/>
      <c r="K86" s="1677">
        <f t="shared" ref="K86:K98" si="12">H86</f>
        <v>1229333</v>
      </c>
      <c r="L86" s="530">
        <v>2250000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1229513</v>
      </c>
      <c r="I92" s="477"/>
      <c r="J92" s="477"/>
      <c r="K92" s="1677">
        <f t="shared" si="12"/>
        <v>1229513</v>
      </c>
      <c r="L92" s="1670">
        <f>SUM(L85:L91)</f>
        <v>2266000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2181370</v>
      </c>
      <c r="I102" s="477"/>
      <c r="J102" s="477"/>
      <c r="K102" s="1677">
        <f>SUM(K84,K92,K100,K101)</f>
        <v>2181370</v>
      </c>
      <c r="L102" s="1677">
        <f>SUM(L84,L92,L100,L101)</f>
        <v>2896000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15988549</v>
      </c>
      <c r="D114" s="1670">
        <f t="shared" ref="D114:K114" si="13">SUM(D33,D74,D75,D102,D112,D113)</f>
        <v>4792372</v>
      </c>
      <c r="E114" s="1670">
        <f t="shared" si="13"/>
        <v>2042796</v>
      </c>
      <c r="F114" s="1670">
        <f t="shared" si="13"/>
        <v>850251</v>
      </c>
      <c r="G114" s="1670">
        <f t="shared" si="13"/>
        <v>120347</v>
      </c>
      <c r="H114" s="1670">
        <f>SUM(H33,H74,H75,H102,H112,H113)</f>
        <v>3827470</v>
      </c>
      <c r="I114" s="1670">
        <f t="shared" si="13"/>
        <v>77348</v>
      </c>
      <c r="J114" s="1670">
        <f t="shared" si="13"/>
        <v>0</v>
      </c>
      <c r="K114" s="1670">
        <f t="shared" si="13"/>
        <v>27699133</v>
      </c>
      <c r="L114" s="1670">
        <f>SUM(L33,L74,L75,L102,L112,L113)</f>
        <v>27226562</v>
      </c>
    </row>
    <row r="115" spans="1:14" ht="13.5" thickTop="1" x14ac:dyDescent="0.2">
      <c r="A115" s="2162" t="s">
        <v>995</v>
      </c>
      <c r="B115" s="2163"/>
      <c r="C115" s="618"/>
      <c r="D115" s="618"/>
      <c r="E115" s="618"/>
      <c r="F115" s="618"/>
      <c r="G115" s="618"/>
      <c r="H115" s="618"/>
      <c r="I115" s="618"/>
      <c r="J115" s="618"/>
      <c r="K115" s="1684">
        <f>'Revenues 9-14'!C268-'Expenditures 15-22'!K114</f>
        <v>544467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295</v>
      </c>
      <c r="B117" s="2168"/>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2057</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52270</v>
      </c>
      <c r="D122" s="466">
        <v>7477</v>
      </c>
      <c r="E122" s="466"/>
      <c r="F122" s="466"/>
      <c r="G122" s="466"/>
      <c r="H122" s="466"/>
      <c r="I122" s="467"/>
      <c r="J122" s="467"/>
      <c r="K122" s="1670">
        <f>SUM(C122:J122)</f>
        <v>59747</v>
      </c>
      <c r="L122" s="466">
        <v>60754</v>
      </c>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744044</v>
      </c>
      <c r="D124" s="466">
        <v>192579</v>
      </c>
      <c r="E124" s="466">
        <v>1195326</v>
      </c>
      <c r="F124" s="466">
        <v>1084822</v>
      </c>
      <c r="G124" s="466">
        <v>296843</v>
      </c>
      <c r="H124" s="466">
        <v>3425</v>
      </c>
      <c r="I124" s="467"/>
      <c r="J124" s="467"/>
      <c r="K124" s="1670">
        <f>SUM(C124:J124)</f>
        <v>3517039</v>
      </c>
      <c r="L124" s="466">
        <v>3750185</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796314</v>
      </c>
      <c r="D127" s="1670">
        <f t="shared" ref="D127:L127" si="14">SUM(D122:D126)</f>
        <v>200056</v>
      </c>
      <c r="E127" s="1670">
        <f t="shared" si="14"/>
        <v>1195326</v>
      </c>
      <c r="F127" s="1670">
        <f t="shared" si="14"/>
        <v>1084822</v>
      </c>
      <c r="G127" s="1670">
        <f t="shared" si="14"/>
        <v>296843</v>
      </c>
      <c r="H127" s="1670">
        <f t="shared" si="14"/>
        <v>3425</v>
      </c>
      <c r="I127" s="1670">
        <f t="shared" si="14"/>
        <v>0</v>
      </c>
      <c r="J127" s="1670">
        <f t="shared" si="14"/>
        <v>0</v>
      </c>
      <c r="K127" s="1670">
        <f t="shared" si="14"/>
        <v>3576786</v>
      </c>
      <c r="L127" s="1670">
        <f t="shared" si="14"/>
        <v>3810939</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796314</v>
      </c>
      <c r="D129" s="1677">
        <f t="shared" ref="D129:L129" si="15">SUM(D120,D127,D128)</f>
        <v>200056</v>
      </c>
      <c r="E129" s="1677">
        <f t="shared" si="15"/>
        <v>1195326</v>
      </c>
      <c r="F129" s="1677">
        <f t="shared" si="15"/>
        <v>1084822</v>
      </c>
      <c r="G129" s="1677">
        <f t="shared" si="15"/>
        <v>296843</v>
      </c>
      <c r="H129" s="1677">
        <f t="shared" si="15"/>
        <v>3425</v>
      </c>
      <c r="I129" s="1677">
        <f t="shared" si="15"/>
        <v>0</v>
      </c>
      <c r="J129" s="1677">
        <f t="shared" si="15"/>
        <v>0</v>
      </c>
      <c r="K129" s="1677">
        <f t="shared" si="15"/>
        <v>3576786</v>
      </c>
      <c r="L129" s="1677">
        <f t="shared" si="15"/>
        <v>3810939</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1843</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v>321511</v>
      </c>
      <c r="I135" s="477"/>
      <c r="J135" s="616"/>
      <c r="K135" s="1672">
        <f>SUM(E135,H135)</f>
        <v>321511</v>
      </c>
      <c r="L135" s="466">
        <v>364157</v>
      </c>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321511</v>
      </c>
      <c r="I137" s="477"/>
      <c r="J137" s="616"/>
      <c r="K137" s="1670">
        <f>SUM(K133:K136)</f>
        <v>321511</v>
      </c>
      <c r="L137" s="1670">
        <f>SUM(L133:L136)</f>
        <v>364157</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321511</v>
      </c>
      <c r="I139" s="477"/>
      <c r="J139" s="616"/>
      <c r="K139" s="1672">
        <f>SUM(K137,K138)</f>
        <v>321511</v>
      </c>
      <c r="L139" s="1679">
        <f>SUM(L137,L138)</f>
        <v>364157</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9" t="s">
        <v>619</v>
      </c>
      <c r="B151" s="2159"/>
      <c r="C151" s="1670">
        <f>SUM(C129,C130,C139,C149,C150)</f>
        <v>796314</v>
      </c>
      <c r="D151" s="1670">
        <f t="shared" ref="D151:K151" si="16">SUM(D129,D130,D139,D149,D150)</f>
        <v>200056</v>
      </c>
      <c r="E151" s="1670">
        <f t="shared" si="16"/>
        <v>1195326</v>
      </c>
      <c r="F151" s="1670">
        <f t="shared" si="16"/>
        <v>1084822</v>
      </c>
      <c r="G151" s="1670">
        <f t="shared" si="16"/>
        <v>296843</v>
      </c>
      <c r="H151" s="1670">
        <f t="shared" si="16"/>
        <v>324936</v>
      </c>
      <c r="I151" s="1670">
        <f t="shared" si="16"/>
        <v>0</v>
      </c>
      <c r="J151" s="1670">
        <f t="shared" si="16"/>
        <v>0</v>
      </c>
      <c r="K151" s="1670">
        <f t="shared" si="16"/>
        <v>3898297</v>
      </c>
      <c r="L151" s="1670">
        <f>SUM(L129,L130,L139,L149,L150)</f>
        <v>4175096</v>
      </c>
    </row>
    <row r="152" spans="1:14" ht="12.75" customHeight="1" thickTop="1" x14ac:dyDescent="0.2">
      <c r="A152" s="2182" t="s">
        <v>1177</v>
      </c>
      <c r="B152" s="2183"/>
      <c r="C152" s="618"/>
      <c r="D152" s="618"/>
      <c r="E152" s="618"/>
      <c r="F152" s="618"/>
      <c r="G152" s="618"/>
      <c r="H152" s="618"/>
      <c r="I152" s="618"/>
      <c r="J152" s="616"/>
      <c r="K152" s="1684">
        <f>'Revenues 9-14'!D268-'Expenditures 15-22'!K151</f>
        <v>-135209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620</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557</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1847</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v>1937260</v>
      </c>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1937260</v>
      </c>
    </row>
    <row r="169" spans="1:14" ht="15.75" customHeight="1" thickTop="1" x14ac:dyDescent="0.2">
      <c r="A169" s="669" t="s">
        <v>83</v>
      </c>
      <c r="B169" s="670" t="s">
        <v>38</v>
      </c>
      <c r="C169" s="616"/>
      <c r="D169" s="616"/>
      <c r="E169" s="616"/>
      <c r="F169" s="616"/>
      <c r="G169" s="616"/>
      <c r="H169" s="656">
        <v>1933510</v>
      </c>
      <c r="I169" s="616"/>
      <c r="J169" s="616"/>
      <c r="K169" s="1671">
        <f>SUM(C169:H169)</f>
        <v>1933510</v>
      </c>
      <c r="L169" s="656">
        <v>0</v>
      </c>
    </row>
    <row r="170" spans="1:14" ht="33.75" customHeight="1" x14ac:dyDescent="0.2">
      <c r="A170" s="669" t="s">
        <v>1669</v>
      </c>
      <c r="B170" s="671" t="s">
        <v>31</v>
      </c>
      <c r="C170" s="616"/>
      <c r="D170" s="616"/>
      <c r="E170" s="616"/>
      <c r="F170" s="616"/>
      <c r="G170" s="616"/>
      <c r="H170" s="569">
        <v>6955000</v>
      </c>
      <c r="I170" s="616"/>
      <c r="J170" s="616"/>
      <c r="K170" s="1671">
        <f>SUM(C170:J170)</f>
        <v>6955000</v>
      </c>
      <c r="L170" s="569">
        <v>6955000</v>
      </c>
    </row>
    <row r="171" spans="1:14" ht="15.75" customHeight="1" x14ac:dyDescent="0.2">
      <c r="A171" s="621" t="s">
        <v>765</v>
      </c>
      <c r="B171" s="672" t="s">
        <v>84</v>
      </c>
      <c r="C171" s="616"/>
      <c r="D171" s="616"/>
      <c r="E171" s="466"/>
      <c r="F171" s="616"/>
      <c r="G171" s="616"/>
      <c r="H171" s="569">
        <v>268703</v>
      </c>
      <c r="I171" s="477"/>
      <c r="J171" s="616"/>
      <c r="K171" s="1671">
        <f>SUM(C171:J171)</f>
        <v>268703</v>
      </c>
      <c r="L171" s="569">
        <v>4800</v>
      </c>
    </row>
    <row r="172" spans="1:14" ht="12.75" customHeight="1" thickBot="1" x14ac:dyDescent="0.25">
      <c r="A172" s="1668" t="s">
        <v>637</v>
      </c>
      <c r="B172" s="1669" t="s">
        <v>491</v>
      </c>
      <c r="C172" s="616"/>
      <c r="D172" s="616"/>
      <c r="E172" s="1677">
        <f>SUM(E168,E169,E170,E171)</f>
        <v>0</v>
      </c>
      <c r="F172" s="616"/>
      <c r="G172" s="616"/>
      <c r="H172" s="1677">
        <f>SUM(H168,H169,H170,H171)</f>
        <v>9157213</v>
      </c>
      <c r="I172" s="638"/>
      <c r="J172" s="616"/>
      <c r="K172" s="1677">
        <f>SUM(K168,K169,K170,K171)</f>
        <v>9157213</v>
      </c>
      <c r="L172" s="1677">
        <f>SUM(L168,L169,L170,L171)</f>
        <v>8897060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9157213</v>
      </c>
      <c r="I174" s="638"/>
      <c r="J174" s="616"/>
      <c r="K174" s="1677">
        <f>SUM(K160,K172,K173)</f>
        <v>9157213</v>
      </c>
      <c r="L174" s="1677">
        <f>SUM(L160,L172,L173)</f>
        <v>8897060</v>
      </c>
    </row>
    <row r="175" spans="1:14" ht="13.5" thickTop="1" x14ac:dyDescent="0.2">
      <c r="A175" s="2162" t="s">
        <v>995</v>
      </c>
      <c r="B175" s="2163"/>
      <c r="C175" s="616"/>
      <c r="D175" s="616"/>
      <c r="E175" s="616"/>
      <c r="F175" s="616"/>
      <c r="G175" s="616"/>
      <c r="H175" s="618"/>
      <c r="I175" s="616"/>
      <c r="J175" s="616"/>
      <c r="K175" s="1684">
        <f>'Revenues 9-14'!E268-'Expenditures 15-22'!K174</f>
        <v>-180509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2057</v>
      </c>
      <c r="B180" s="614" t="s">
        <v>715</v>
      </c>
      <c r="C180" s="466">
        <v>52270</v>
      </c>
      <c r="D180" s="466">
        <v>9107</v>
      </c>
      <c r="E180" s="466"/>
      <c r="F180" s="466"/>
      <c r="G180" s="466"/>
      <c r="H180" s="466"/>
      <c r="I180" s="467"/>
      <c r="J180" s="467"/>
      <c r="K180" s="1671">
        <f>SUM(C180:J180)</f>
        <v>61377</v>
      </c>
      <c r="L180" s="466">
        <v>61864</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1336163</v>
      </c>
      <c r="D182" s="466">
        <v>59135</v>
      </c>
      <c r="E182" s="466">
        <v>701117</v>
      </c>
      <c r="F182" s="466">
        <v>286767</v>
      </c>
      <c r="G182" s="466">
        <v>598</v>
      </c>
      <c r="H182" s="466">
        <v>562</v>
      </c>
      <c r="I182" s="467"/>
      <c r="J182" s="467"/>
      <c r="K182" s="1671">
        <f>SUM(C182:J182)</f>
        <v>2384342</v>
      </c>
      <c r="L182" s="466">
        <v>2552148</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1388433</v>
      </c>
      <c r="D184" s="1677">
        <f t="shared" ref="D184:J184" si="17">SUM(D180,D182,D183)</f>
        <v>68242</v>
      </c>
      <c r="E184" s="1677">
        <f t="shared" si="17"/>
        <v>701117</v>
      </c>
      <c r="F184" s="1677">
        <f t="shared" si="17"/>
        <v>286767</v>
      </c>
      <c r="G184" s="1677">
        <f t="shared" si="17"/>
        <v>598</v>
      </c>
      <c r="H184" s="1677">
        <f t="shared" si="17"/>
        <v>562</v>
      </c>
      <c r="I184" s="1677">
        <f t="shared" si="17"/>
        <v>0</v>
      </c>
      <c r="J184" s="1677">
        <f t="shared" si="17"/>
        <v>0</v>
      </c>
      <c r="K184" s="1677">
        <f>SUM(K180,K182,K183)</f>
        <v>2445719</v>
      </c>
      <c r="L184" s="1677">
        <f>SUM(L180, L182:L183)</f>
        <v>2614012</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1388433</v>
      </c>
      <c r="D210" s="1670">
        <f>SUM(D184,D185)</f>
        <v>68242</v>
      </c>
      <c r="E210" s="1670">
        <f>SUM(E184,E185,E196)</f>
        <v>701117</v>
      </c>
      <c r="F210" s="1670">
        <f>SUM(F184,F185)</f>
        <v>286767</v>
      </c>
      <c r="G210" s="1670">
        <f>SUM(G184,G185)</f>
        <v>598</v>
      </c>
      <c r="H210" s="1670">
        <f>SUM(H184,H185,H196,H208,H209)</f>
        <v>562</v>
      </c>
      <c r="I210" s="1670">
        <f>SUM(I184,I185)</f>
        <v>0</v>
      </c>
      <c r="J210" s="1670">
        <f>SUM(J184,J185)</f>
        <v>0</v>
      </c>
      <c r="K210" s="1671">
        <f>SUM(K184,K185,K196,K208,K209)</f>
        <v>2445719</v>
      </c>
      <c r="L210" s="1670">
        <f>SUM(L184,L185,L196,L208,L209)</f>
        <v>2614012</v>
      </c>
    </row>
    <row r="211" spans="1:14" ht="13.5" thickTop="1" x14ac:dyDescent="0.2">
      <c r="A211" s="2162" t="s">
        <v>995</v>
      </c>
      <c r="B211" s="2163"/>
      <c r="C211" s="618"/>
      <c r="D211" s="618"/>
      <c r="E211" s="618"/>
      <c r="F211" s="618"/>
      <c r="G211" s="618"/>
      <c r="H211" s="618"/>
      <c r="I211" s="616"/>
      <c r="J211" s="616"/>
      <c r="K211" s="1684">
        <f>'Revenues 9-14'!F268-'Expenditures 15-22'!K210</f>
        <v>497737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964</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132254</v>
      </c>
      <c r="E215" s="616"/>
      <c r="F215" s="616"/>
      <c r="G215" s="616"/>
      <c r="H215" s="616"/>
      <c r="I215" s="616"/>
      <c r="J215" s="616"/>
      <c r="K215" s="1671">
        <f>D215</f>
        <v>132254</v>
      </c>
      <c r="L215" s="466">
        <v>0</v>
      </c>
    </row>
    <row r="216" spans="1:14" x14ac:dyDescent="0.2">
      <c r="A216" s="1504" t="s">
        <v>163</v>
      </c>
      <c r="B216" s="614" t="s">
        <v>966</v>
      </c>
      <c r="C216" s="616"/>
      <c r="D216" s="467"/>
      <c r="E216" s="616"/>
      <c r="F216" s="616"/>
      <c r="G216" s="616"/>
      <c r="H216" s="616"/>
      <c r="I216" s="616"/>
      <c r="J216" s="616"/>
      <c r="K216" s="1671">
        <f t="shared" ref="K216:K228" si="19">D216</f>
        <v>0</v>
      </c>
      <c r="L216" s="466">
        <v>137153</v>
      </c>
    </row>
    <row r="217" spans="1:14" x14ac:dyDescent="0.2">
      <c r="A217" s="1504" t="s">
        <v>164</v>
      </c>
      <c r="B217" s="614">
        <v>1200</v>
      </c>
      <c r="C217" s="616"/>
      <c r="D217" s="466">
        <v>43910</v>
      </c>
      <c r="E217" s="616"/>
      <c r="F217" s="616"/>
      <c r="G217" s="616"/>
      <c r="H217" s="616"/>
      <c r="I217" s="616"/>
      <c r="J217" s="616"/>
      <c r="K217" s="1671">
        <f t="shared" si="19"/>
        <v>43910</v>
      </c>
      <c r="L217" s="466">
        <v>40696</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22827</v>
      </c>
      <c r="E222" s="616"/>
      <c r="F222" s="616"/>
      <c r="G222" s="616"/>
      <c r="H222" s="616"/>
      <c r="I222" s="616"/>
      <c r="J222" s="616"/>
      <c r="K222" s="1671">
        <f t="shared" si="19"/>
        <v>22827</v>
      </c>
      <c r="L222" s="466">
        <v>22558</v>
      </c>
    </row>
    <row r="223" spans="1:14" x14ac:dyDescent="0.2">
      <c r="A223" s="1504" t="s">
        <v>962</v>
      </c>
      <c r="B223" s="614">
        <v>1500</v>
      </c>
      <c r="C223" s="616"/>
      <c r="D223" s="466">
        <v>47866</v>
      </c>
      <c r="E223" s="616"/>
      <c r="F223" s="616"/>
      <c r="G223" s="616"/>
      <c r="H223" s="616"/>
      <c r="I223" s="616"/>
      <c r="J223" s="616"/>
      <c r="K223" s="1671">
        <f t="shared" si="19"/>
        <v>47866</v>
      </c>
      <c r="L223" s="466">
        <v>47618</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8769</v>
      </c>
      <c r="E226" s="616"/>
      <c r="F226" s="616"/>
      <c r="G226" s="616"/>
      <c r="H226" s="616"/>
      <c r="I226" s="616"/>
      <c r="J226" s="616"/>
      <c r="K226" s="1671">
        <f t="shared" si="19"/>
        <v>8769</v>
      </c>
      <c r="L226" s="466">
        <v>8660</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v>6333</v>
      </c>
      <c r="E228" s="616"/>
      <c r="F228" s="616"/>
      <c r="G228" s="616"/>
      <c r="H228" s="616"/>
      <c r="I228" s="616"/>
      <c r="J228" s="616"/>
      <c r="K228" s="1671">
        <f t="shared" si="19"/>
        <v>6333</v>
      </c>
      <c r="L228" s="466">
        <v>17622</v>
      </c>
    </row>
    <row r="229" spans="1:12" ht="12.75" customHeight="1" thickBot="1" x14ac:dyDescent="0.25">
      <c r="A229" s="1668" t="s">
        <v>714</v>
      </c>
      <c r="B229" s="1675" t="s">
        <v>569</v>
      </c>
      <c r="C229" s="616"/>
      <c r="D229" s="1670">
        <f>SUM(D215:D228)</f>
        <v>261959</v>
      </c>
      <c r="E229" s="616"/>
      <c r="F229" s="616"/>
      <c r="G229" s="616"/>
      <c r="H229" s="616"/>
      <c r="I229" s="616"/>
      <c r="J229" s="616"/>
      <c r="K229" s="1670">
        <f>SUM(K215:K228)</f>
        <v>261959</v>
      </c>
      <c r="L229" s="1670">
        <f>SUM(L215:L228)</f>
        <v>274307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2476</v>
      </c>
      <c r="E232" s="616"/>
      <c r="F232" s="616"/>
      <c r="G232" s="616"/>
      <c r="H232" s="616"/>
      <c r="I232" s="616"/>
      <c r="J232" s="616"/>
      <c r="K232" s="1671">
        <f t="shared" ref="K232:K237" si="20">D232</f>
        <v>2476</v>
      </c>
      <c r="L232" s="466">
        <v>2514</v>
      </c>
    </row>
    <row r="233" spans="1:12" x14ac:dyDescent="0.2">
      <c r="A233" s="1504" t="s">
        <v>1089</v>
      </c>
      <c r="B233" s="614">
        <v>2120</v>
      </c>
      <c r="C233" s="616"/>
      <c r="D233" s="466">
        <v>34066</v>
      </c>
      <c r="E233" s="616"/>
      <c r="F233" s="616"/>
      <c r="G233" s="616"/>
      <c r="H233" s="616"/>
      <c r="I233" s="616"/>
      <c r="J233" s="616"/>
      <c r="K233" s="1671">
        <f t="shared" si="20"/>
        <v>34066</v>
      </c>
      <c r="L233" s="466">
        <v>35753</v>
      </c>
    </row>
    <row r="234" spans="1:12" x14ac:dyDescent="0.2">
      <c r="A234" s="1504" t="s">
        <v>198</v>
      </c>
      <c r="B234" s="614">
        <v>2130</v>
      </c>
      <c r="C234" s="616"/>
      <c r="D234" s="466">
        <v>12779</v>
      </c>
      <c r="E234" s="616"/>
      <c r="F234" s="616"/>
      <c r="G234" s="616"/>
      <c r="H234" s="616"/>
      <c r="I234" s="616"/>
      <c r="J234" s="616"/>
      <c r="K234" s="1671">
        <f t="shared" si="20"/>
        <v>12779</v>
      </c>
      <c r="L234" s="466">
        <v>12741</v>
      </c>
    </row>
    <row r="235" spans="1:12" x14ac:dyDescent="0.2">
      <c r="A235" s="1504" t="s">
        <v>199</v>
      </c>
      <c r="B235" s="614">
        <v>2140</v>
      </c>
      <c r="C235" s="616"/>
      <c r="D235" s="466">
        <v>1030</v>
      </c>
      <c r="E235" s="616"/>
      <c r="F235" s="616"/>
      <c r="G235" s="616"/>
      <c r="H235" s="616"/>
      <c r="I235" s="616"/>
      <c r="J235" s="616"/>
      <c r="K235" s="1671">
        <f t="shared" si="20"/>
        <v>1030</v>
      </c>
      <c r="L235" s="466">
        <v>1047</v>
      </c>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16122</v>
      </c>
      <c r="E237" s="616"/>
      <c r="F237" s="616"/>
      <c r="G237" s="616"/>
      <c r="H237" s="616"/>
      <c r="I237" s="616"/>
      <c r="J237" s="616"/>
      <c r="K237" s="1671">
        <f t="shared" si="20"/>
        <v>16122</v>
      </c>
      <c r="L237" s="466">
        <v>7573</v>
      </c>
    </row>
    <row r="238" spans="1:12" ht="12.75" customHeight="1" thickBot="1" x14ac:dyDescent="0.25">
      <c r="A238" s="1668" t="s">
        <v>559</v>
      </c>
      <c r="B238" s="1675" t="s">
        <v>715</v>
      </c>
      <c r="C238" s="616"/>
      <c r="D238" s="1670">
        <f>SUM(D232:D237)</f>
        <v>66473</v>
      </c>
      <c r="E238" s="616"/>
      <c r="F238" s="616"/>
      <c r="G238" s="616"/>
      <c r="H238" s="616"/>
      <c r="I238" s="616"/>
      <c r="J238" s="616"/>
      <c r="K238" s="1670">
        <f>SUM(K232:K237)</f>
        <v>66473</v>
      </c>
      <c r="L238" s="1670">
        <f>SUM(L232:L237)</f>
        <v>59628</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11189</v>
      </c>
      <c r="E240" s="616"/>
      <c r="F240" s="616"/>
      <c r="G240" s="616"/>
      <c r="H240" s="616"/>
      <c r="I240" s="616"/>
      <c r="J240" s="616"/>
      <c r="K240" s="1672">
        <f>D240</f>
        <v>11189</v>
      </c>
      <c r="L240" s="481">
        <v>11757</v>
      </c>
    </row>
    <row r="241" spans="1:12" x14ac:dyDescent="0.2">
      <c r="A241" s="1504" t="s">
        <v>814</v>
      </c>
      <c r="B241" s="614">
        <v>2220</v>
      </c>
      <c r="C241" s="616"/>
      <c r="D241" s="466">
        <v>51727</v>
      </c>
      <c r="E241" s="616"/>
      <c r="F241" s="616"/>
      <c r="G241" s="616"/>
      <c r="H241" s="616"/>
      <c r="I241" s="616"/>
      <c r="J241" s="616"/>
      <c r="K241" s="1672">
        <f>D241</f>
        <v>51727</v>
      </c>
      <c r="L241" s="466">
        <v>54387</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62916</v>
      </c>
      <c r="E243" s="616"/>
      <c r="F243" s="616"/>
      <c r="G243" s="616"/>
      <c r="H243" s="616"/>
      <c r="I243" s="616"/>
      <c r="J243" s="616"/>
      <c r="K243" s="1670">
        <f>SUM(K240:K242)</f>
        <v>62916</v>
      </c>
      <c r="L243" s="1670">
        <f>SUM(L240:L242)</f>
        <v>66144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435</v>
      </c>
      <c r="E245" s="616"/>
      <c r="F245" s="616"/>
      <c r="G245" s="616"/>
      <c r="H245" s="616"/>
      <c r="I245" s="616"/>
      <c r="J245" s="616"/>
      <c r="K245" s="1672">
        <f>D245</f>
        <v>435</v>
      </c>
      <c r="L245" s="481">
        <v>642</v>
      </c>
    </row>
    <row r="246" spans="1:12" x14ac:dyDescent="0.2">
      <c r="A246" s="1504" t="s">
        <v>817</v>
      </c>
      <c r="B246" s="614">
        <v>2320</v>
      </c>
      <c r="C246" s="616"/>
      <c r="D246" s="466">
        <v>14333</v>
      </c>
      <c r="E246" s="616"/>
      <c r="F246" s="616"/>
      <c r="G246" s="616"/>
      <c r="H246" s="616"/>
      <c r="I246" s="616"/>
      <c r="J246" s="616"/>
      <c r="K246" s="1672">
        <f t="shared" ref="K246:K256" si="21">D246</f>
        <v>14333</v>
      </c>
      <c r="L246" s="466">
        <v>14902</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v>35356</v>
      </c>
      <c r="E254" s="616"/>
      <c r="F254" s="616"/>
      <c r="G254" s="616"/>
      <c r="H254" s="616"/>
      <c r="I254" s="616"/>
      <c r="J254" s="616"/>
      <c r="K254" s="1672">
        <f t="shared" si="21"/>
        <v>35356</v>
      </c>
      <c r="L254" s="466">
        <v>38666</v>
      </c>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50124</v>
      </c>
      <c r="E257" s="616"/>
      <c r="F257" s="616"/>
      <c r="G257" s="616"/>
      <c r="H257" s="616"/>
      <c r="I257" s="616"/>
      <c r="J257" s="616"/>
      <c r="K257" s="1670">
        <f>SUM(K245:K256)</f>
        <v>50124</v>
      </c>
      <c r="L257" s="1670">
        <f>SUM(L245:L256)</f>
        <v>54210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23178</v>
      </c>
      <c r="E259" s="616"/>
      <c r="F259" s="616"/>
      <c r="G259" s="616"/>
      <c r="H259" s="616"/>
      <c r="I259" s="616"/>
      <c r="J259" s="616"/>
      <c r="K259" s="1672">
        <f>D259</f>
        <v>23178</v>
      </c>
      <c r="L259" s="481">
        <v>24752</v>
      </c>
    </row>
    <row r="260" spans="1:14" s="597" customFormat="1" x14ac:dyDescent="0.2">
      <c r="A260" s="1522" t="s">
        <v>1803</v>
      </c>
      <c r="B260" s="628">
        <v>2490</v>
      </c>
      <c r="C260" s="616"/>
      <c r="D260" s="466">
        <v>10215</v>
      </c>
      <c r="E260" s="616"/>
      <c r="F260" s="616"/>
      <c r="G260" s="616"/>
      <c r="H260" s="616"/>
      <c r="I260" s="616"/>
      <c r="J260" s="616"/>
      <c r="K260" s="1672">
        <f>D260</f>
        <v>10215</v>
      </c>
      <c r="L260" s="466">
        <v>11239</v>
      </c>
      <c r="M260" s="210"/>
      <c r="N260" s="210"/>
    </row>
    <row r="261" spans="1:14" ht="12.75" customHeight="1" thickBot="1" x14ac:dyDescent="0.25">
      <c r="A261" s="1692" t="s">
        <v>263</v>
      </c>
      <c r="B261" s="1697" t="s">
        <v>34</v>
      </c>
      <c r="C261" s="616"/>
      <c r="D261" s="1670">
        <f>SUM(D259:D260)</f>
        <v>33393</v>
      </c>
      <c r="E261" s="616"/>
      <c r="F261" s="616"/>
      <c r="G261" s="616"/>
      <c r="H261" s="616"/>
      <c r="I261" s="616"/>
      <c r="J261" s="616"/>
      <c r="K261" s="1670">
        <f>SUM(K259:K260)</f>
        <v>33393</v>
      </c>
      <c r="L261" s="1670">
        <f>SUM(L259:L260)</f>
        <v>35991</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14017</v>
      </c>
      <c r="E263" s="616"/>
      <c r="F263" s="616"/>
      <c r="G263" s="616"/>
      <c r="H263" s="616"/>
      <c r="I263" s="616"/>
      <c r="J263" s="616"/>
      <c r="K263" s="1672">
        <f>D263</f>
        <v>14017</v>
      </c>
      <c r="L263" s="481">
        <v>15149</v>
      </c>
    </row>
    <row r="264" spans="1:14" x14ac:dyDescent="0.2">
      <c r="A264" s="1504" t="s">
        <v>462</v>
      </c>
      <c r="B264" s="685">
        <v>2520</v>
      </c>
      <c r="C264" s="616"/>
      <c r="D264" s="466">
        <v>23344</v>
      </c>
      <c r="E264" s="616"/>
      <c r="F264" s="616"/>
      <c r="G264" s="616"/>
      <c r="H264" s="616"/>
      <c r="I264" s="616"/>
      <c r="J264" s="616"/>
      <c r="K264" s="1672">
        <f t="shared" ref="K264:K269" si="22">D264</f>
        <v>23344</v>
      </c>
      <c r="L264" s="466">
        <v>24340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119804</v>
      </c>
      <c r="E266" s="616"/>
      <c r="F266" s="616"/>
      <c r="G266" s="616"/>
      <c r="H266" s="616"/>
      <c r="I266" s="616"/>
      <c r="J266" s="616"/>
      <c r="K266" s="1672">
        <f t="shared" si="22"/>
        <v>119804</v>
      </c>
      <c r="L266" s="466">
        <v>127314</v>
      </c>
    </row>
    <row r="267" spans="1:14" x14ac:dyDescent="0.2">
      <c r="A267" s="1504" t="s">
        <v>952</v>
      </c>
      <c r="B267" s="614">
        <v>2550</v>
      </c>
      <c r="C267" s="616"/>
      <c r="D267" s="466">
        <v>233671</v>
      </c>
      <c r="E267" s="616"/>
      <c r="F267" s="616"/>
      <c r="G267" s="616"/>
      <c r="H267" s="616"/>
      <c r="I267" s="616"/>
      <c r="J267" s="616"/>
      <c r="K267" s="1672">
        <f t="shared" si="22"/>
        <v>233671</v>
      </c>
      <c r="L267" s="466">
        <v>236064</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390836</v>
      </c>
      <c r="E270" s="616"/>
      <c r="F270" s="616"/>
      <c r="G270" s="616"/>
      <c r="H270" s="616"/>
      <c r="I270" s="616"/>
      <c r="J270" s="616"/>
      <c r="K270" s="1670">
        <f>SUM(K263:K269)</f>
        <v>390836</v>
      </c>
      <c r="L270" s="1670">
        <f>SUM(L263:L269)</f>
        <v>402867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14022</v>
      </c>
      <c r="E274" s="616"/>
      <c r="F274" s="616"/>
      <c r="G274" s="616"/>
      <c r="H274" s="616"/>
      <c r="I274" s="616"/>
      <c r="J274" s="616"/>
      <c r="K274" s="1672">
        <f>D274</f>
        <v>14022</v>
      </c>
      <c r="L274" s="466">
        <v>17824</v>
      </c>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14022</v>
      </c>
      <c r="E277" s="616"/>
      <c r="F277" s="616"/>
      <c r="G277" s="616"/>
      <c r="H277" s="616"/>
      <c r="I277" s="616"/>
      <c r="J277" s="616"/>
      <c r="K277" s="1670">
        <f>SUM(K272:K276)</f>
        <v>14022</v>
      </c>
      <c r="L277" s="1670">
        <f>SUM(L272:L276)</f>
        <v>17824</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617764</v>
      </c>
      <c r="E279" s="616"/>
      <c r="F279" s="616"/>
      <c r="G279" s="616"/>
      <c r="H279" s="616"/>
      <c r="I279" s="616"/>
      <c r="J279" s="616"/>
      <c r="K279" s="1677">
        <f>SUM(K238,K243,K257,K261,K270,K277,K278)</f>
        <v>617764</v>
      </c>
      <c r="L279" s="1677">
        <f>SUM(L238,L243,L257,L261,L270,L277,L278)</f>
        <v>636664</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1843</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80" t="s">
        <v>504</v>
      </c>
      <c r="B295" s="2181"/>
      <c r="C295" s="616"/>
      <c r="D295" s="1670">
        <f>SUM(D229,D279,D280,D285)</f>
        <v>879723</v>
      </c>
      <c r="E295" s="616"/>
      <c r="F295" s="616"/>
      <c r="G295" s="616"/>
      <c r="H295" s="1670">
        <f>H293</f>
        <v>0</v>
      </c>
      <c r="I295" s="616"/>
      <c r="J295" s="616"/>
      <c r="K295" s="1670">
        <f>SUM(K229,K279,K280,K285,K293,K294)</f>
        <v>879723</v>
      </c>
      <c r="L295" s="1670">
        <f>SUM(L229,L279,L280,L285,L293,L294)</f>
        <v>910971</v>
      </c>
    </row>
    <row r="296" spans="1:14" ht="13.5" thickTop="1" x14ac:dyDescent="0.2">
      <c r="A296" s="2162" t="s">
        <v>995</v>
      </c>
      <c r="B296" s="2163"/>
      <c r="C296" s="616"/>
      <c r="D296" s="618"/>
      <c r="E296" s="616"/>
      <c r="F296" s="616"/>
      <c r="G296" s="616"/>
      <c r="H296" s="687"/>
      <c r="I296" s="616"/>
      <c r="J296" s="616"/>
      <c r="K296" s="1684">
        <f>'Revenues 9-14'!G268-'Expenditures 15-22'!K295</f>
        <v>145080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1608880</v>
      </c>
      <c r="F301" s="466"/>
      <c r="G301" s="466"/>
      <c r="H301" s="466"/>
      <c r="I301" s="467"/>
      <c r="J301" s="467"/>
      <c r="K301" s="1671">
        <f>SUM(C301:J301)</f>
        <v>1608880</v>
      </c>
      <c r="L301" s="467">
        <v>1600000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1608880</v>
      </c>
      <c r="F303" s="1677">
        <f t="shared" si="23"/>
        <v>0</v>
      </c>
      <c r="G303" s="1677">
        <f t="shared" si="23"/>
        <v>0</v>
      </c>
      <c r="H303" s="1677">
        <f t="shared" si="23"/>
        <v>0</v>
      </c>
      <c r="I303" s="1677">
        <f t="shared" si="23"/>
        <v>0</v>
      </c>
      <c r="J303" s="1677">
        <f t="shared" si="23"/>
        <v>0</v>
      </c>
      <c r="K303" s="1677">
        <f t="shared" si="23"/>
        <v>1608880</v>
      </c>
      <c r="L303" s="1677">
        <f t="shared" si="23"/>
        <v>1600000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7" t="s">
        <v>276</v>
      </c>
      <c r="B312" s="2178"/>
      <c r="C312" s="1670">
        <f>SUM(C303)</f>
        <v>0</v>
      </c>
      <c r="D312" s="1670">
        <f>SUM(D303)</f>
        <v>0</v>
      </c>
      <c r="E312" s="1670">
        <f>SUM(E303,E310)</f>
        <v>1608880</v>
      </c>
      <c r="F312" s="1670">
        <f>SUM(F303)</f>
        <v>0</v>
      </c>
      <c r="G312" s="1670">
        <f>SUM(G303)</f>
        <v>0</v>
      </c>
      <c r="H312" s="1670">
        <f>SUM(H303,H310)</f>
        <v>0</v>
      </c>
      <c r="I312" s="1670">
        <f>SUM(I303)</f>
        <v>0</v>
      </c>
      <c r="J312" s="1670">
        <f>SUM(J303)</f>
        <v>0</v>
      </c>
      <c r="K312" s="1670">
        <f>SUM(K303,K310,K311)</f>
        <v>1608880</v>
      </c>
      <c r="L312" s="1670">
        <f>SUM(L303,L310,L311)</f>
        <v>1600000</v>
      </c>
      <c r="M312" s="665"/>
      <c r="N312" s="665"/>
    </row>
    <row r="313" spans="1:14" ht="13.5" thickTop="1" x14ac:dyDescent="0.2">
      <c r="A313" s="2173" t="s">
        <v>995</v>
      </c>
      <c r="B313" s="2174"/>
      <c r="C313" s="626"/>
      <c r="D313" s="626"/>
      <c r="E313" s="626"/>
      <c r="F313" s="626"/>
      <c r="G313" s="626"/>
      <c r="H313" s="626"/>
      <c r="I313" s="626"/>
      <c r="J313" s="626"/>
      <c r="K313" s="1685">
        <f>'Revenues 9-14'!H268-'Expenditures 15-22'!K312</f>
        <v>-1399368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897</v>
      </c>
      <c r="B317" s="2187"/>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147112</v>
      </c>
      <c r="F320" s="467"/>
      <c r="G320" s="467"/>
      <c r="H320" s="467"/>
      <c r="I320" s="467"/>
      <c r="J320" s="467"/>
      <c r="K320" s="1671">
        <f t="shared" ref="K320:K327" si="24">SUM(C320:J320)</f>
        <v>147112</v>
      </c>
      <c r="L320" s="467">
        <v>150000</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v>181726</v>
      </c>
      <c r="F322" s="467"/>
      <c r="G322" s="467"/>
      <c r="H322" s="467"/>
      <c r="I322" s="467"/>
      <c r="J322" s="467"/>
      <c r="K322" s="1671">
        <f t="shared" si="24"/>
        <v>181726</v>
      </c>
      <c r="L322" s="467">
        <v>169500</v>
      </c>
      <c r="M322" s="665"/>
      <c r="N322" s="665"/>
    </row>
    <row r="323" spans="1:14" s="674" customFormat="1" x14ac:dyDescent="0.2">
      <c r="A323" s="1519" t="s">
        <v>701</v>
      </c>
      <c r="B323" s="697" t="s">
        <v>284</v>
      </c>
      <c r="C323" s="467"/>
      <c r="D323" s="467"/>
      <c r="E323" s="467">
        <v>226541</v>
      </c>
      <c r="F323" s="467"/>
      <c r="G323" s="467"/>
      <c r="H323" s="467"/>
      <c r="I323" s="467"/>
      <c r="J323" s="467"/>
      <c r="K323" s="1671">
        <f t="shared" si="24"/>
        <v>226541</v>
      </c>
      <c r="L323" s="467">
        <v>230000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v>254227</v>
      </c>
      <c r="D325" s="467">
        <v>79563</v>
      </c>
      <c r="E325" s="467">
        <v>7563</v>
      </c>
      <c r="F325" s="467">
        <v>10508</v>
      </c>
      <c r="G325" s="467">
        <v>98398</v>
      </c>
      <c r="H325" s="467"/>
      <c r="I325" s="467"/>
      <c r="J325" s="467"/>
      <c r="K325" s="1671">
        <f t="shared" si="24"/>
        <v>450259</v>
      </c>
      <c r="L325" s="467">
        <v>549205</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81412</v>
      </c>
      <c r="F327" s="467"/>
      <c r="G327" s="467"/>
      <c r="H327" s="467"/>
      <c r="I327" s="467"/>
      <c r="J327" s="467"/>
      <c r="K327" s="1671">
        <f t="shared" si="24"/>
        <v>81412</v>
      </c>
      <c r="L327" s="467">
        <v>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254227</v>
      </c>
      <c r="D330" s="1670">
        <f t="shared" ref="D330:J330" si="25">SUM(D319:D329)</f>
        <v>79563</v>
      </c>
      <c r="E330" s="1670">
        <f t="shared" si="25"/>
        <v>644354</v>
      </c>
      <c r="F330" s="1670">
        <f t="shared" si="25"/>
        <v>10508</v>
      </c>
      <c r="G330" s="1670">
        <f t="shared" si="25"/>
        <v>98398</v>
      </c>
      <c r="H330" s="1670">
        <f t="shared" si="25"/>
        <v>0</v>
      </c>
      <c r="I330" s="1670">
        <f t="shared" si="25"/>
        <v>0</v>
      </c>
      <c r="J330" s="1670">
        <f t="shared" si="25"/>
        <v>0</v>
      </c>
      <c r="K330" s="1670">
        <f>SUM(K319:K329)</f>
        <v>1087050</v>
      </c>
      <c r="L330" s="1670">
        <f>SUM(L319:L329)</f>
        <v>1098705</v>
      </c>
      <c r="M330" s="665"/>
      <c r="N330" s="665"/>
    </row>
    <row r="331" spans="1:14" s="674" customFormat="1" ht="12.75" customHeight="1" thickTop="1" x14ac:dyDescent="0.2">
      <c r="A331" s="1831" t="s">
        <v>1849</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254227</v>
      </c>
      <c r="D342" s="1670">
        <f>SUM(D330)</f>
        <v>79563</v>
      </c>
      <c r="E342" s="1670">
        <f>SUM(E330)</f>
        <v>644354</v>
      </c>
      <c r="F342" s="1670">
        <f>SUM(F330)</f>
        <v>10508</v>
      </c>
      <c r="G342" s="1670">
        <f>SUM(G330)</f>
        <v>98398</v>
      </c>
      <c r="H342" s="1670">
        <f>SUM(H330,H334,H340)</f>
        <v>0</v>
      </c>
      <c r="I342" s="1670">
        <f>SUM(I330)</f>
        <v>0</v>
      </c>
      <c r="J342" s="1670">
        <f>SUM(J330)</f>
        <v>0</v>
      </c>
      <c r="K342" s="1670">
        <f>SUM(K330,K334,K340)</f>
        <v>1087050</v>
      </c>
      <c r="L342" s="1677">
        <f>SUM(L330,L340,L341)</f>
        <v>1098705</v>
      </c>
    </row>
    <row r="343" spans="1:14" ht="12.75" customHeight="1" thickTop="1" x14ac:dyDescent="0.2">
      <c r="A343" s="2175" t="s">
        <v>995</v>
      </c>
      <c r="B343" s="2176"/>
      <c r="C343" s="616"/>
      <c r="D343" s="616"/>
      <c r="E343" s="616"/>
      <c r="F343" s="616"/>
      <c r="G343" s="616"/>
      <c r="H343" s="616"/>
      <c r="I343" s="616"/>
      <c r="J343" s="616"/>
      <c r="K343" s="1684">
        <f>'Revenues 9-14'!J268-'Expenditures 15-22'!K342</f>
        <v>185656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965</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705000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705000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705000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705000</v>
      </c>
    </row>
    <row r="368" spans="1:14" ht="13.5" thickTop="1" x14ac:dyDescent="0.2">
      <c r="A368" s="2162" t="s">
        <v>995</v>
      </c>
      <c r="B368" s="2163"/>
      <c r="C368" s="654"/>
      <c r="D368" s="654"/>
      <c r="E368" s="626"/>
      <c r="F368" s="626"/>
      <c r="G368" s="626"/>
      <c r="H368" s="626"/>
      <c r="I368" s="626"/>
      <c r="J368" s="623"/>
      <c r="K368" s="1671">
        <f>'Revenues 9-14'!K268-'Expenditures 15-22'!K367</f>
        <v>715433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http://schemas.openxmlformats.org/package/2006/metadata/core-properties"/>
    <ds:schemaRef ds:uri="http://purl.org/dc/elements/1.1/"/>
    <ds:schemaRef ds:uri="d21dc803-237d-4c68-8692-8d731fd29118"/>
    <ds:schemaRef ds:uri="http://purl.org/dc/dcmitype/"/>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2019-10-16T20:49:39Z</cp:lastPrinted>
  <dcterms:created xsi:type="dcterms:W3CDTF">2003-10-29T19:06:34Z</dcterms:created>
  <dcterms:modified xsi:type="dcterms:W3CDTF">2019-11-22T16:12:33Z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b15fc3ec-de70-40ba-8642-d2f09fc7f2ed</vt:lpwstr>
  </property>
</Properties>
</file>