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5EBA861-69C7-469A-ABEB-9BA6AD9F6B9E}" xr6:coauthVersionLast="36" xr6:coauthVersionMax="36" xr10:uidLastSave="{00000000-0000-0000-0000-000000000000}"/>
  <bookViews>
    <workbookView xWindow="0" yWindow="0"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1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F31" i="108"/>
  <c r="F37"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9" i="118"/>
  <c r="D11" i="37"/>
  <c r="J22" i="37"/>
  <c r="L22" i="37"/>
  <c r="D24" i="37"/>
  <c r="B4270" i="106" s="1"/>
  <c r="D4270" i="106" s="1"/>
  <c r="L5" i="11"/>
  <c r="B2056" i="106" s="1"/>
  <c r="D2056" i="106" s="1"/>
  <c r="H28" i="118" l="1"/>
  <c r="D69" i="36"/>
  <c r="D54" i="36"/>
  <c r="B6289" i="106"/>
  <c r="D6289" i="106" s="1"/>
  <c r="L15" i="11"/>
  <c r="B3459" i="106" s="1"/>
  <c r="D3459" i="106" s="1"/>
  <c r="D36" i="108"/>
  <c r="G33" i="108"/>
  <c r="G30" i="108"/>
  <c r="F36" i="108"/>
  <c r="E30" i="108"/>
  <c r="F44" i="34"/>
  <c r="I210" i="29"/>
  <c r="B7071" i="106" s="1"/>
  <c r="D7071" i="106" s="1"/>
  <c r="G38" i="108"/>
  <c r="E26" i="108"/>
  <c r="E34" i="108"/>
  <c r="D37" i="108"/>
  <c r="B1124" i="106"/>
  <c r="D1124" i="106" s="1"/>
  <c r="F77" i="4"/>
  <c r="B3255" i="106" s="1"/>
  <c r="D3255" i="106" s="1"/>
  <c r="H112" i="29"/>
  <c r="B7018" i="106" s="1"/>
  <c r="D7018" i="106" s="1"/>
  <c r="B1274" i="106"/>
  <c r="D1274" i="106" s="1"/>
  <c r="G26" i="108"/>
  <c r="K28" i="118"/>
  <c r="O27" i="118" s="1"/>
  <c r="O29" i="118" s="1"/>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5" i="106" l="1"/>
  <c r="D7251" i="106"/>
  <c r="D7250" i="106"/>
  <c r="B1317" i="106"/>
  <c r="D1317" i="106" s="1"/>
  <c r="F66" i="34"/>
  <c r="I7" i="4"/>
  <c r="B4444" i="106" s="1"/>
  <c r="D4444" i="106" s="1"/>
  <c r="L114" i="29"/>
  <c r="D41" i="108"/>
  <c r="E43" i="108" s="1"/>
  <c r="L16" i="11"/>
  <c r="B2061" i="106" s="1"/>
  <c r="D2061" i="106" s="1"/>
  <c r="D44" i="36"/>
  <c r="B1328" i="106"/>
  <c r="D1328"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<sst xmlns="http://schemas.openxmlformats.org/spreadsheetml/2006/main" count="5083" uniqueCount="2094">
  <si>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</si>
  <si>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</si>
  <si>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</si>
  <si>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</si>
  <si>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</si>
  <si>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</si>
  <si>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</si>
  <si>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</si>
  <si>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</si>
  <si>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</si>
  <si>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</si>
  <si>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</si>
  <si>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</si>
  <si>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</si>
  <si>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</si>
  <si>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</si>
  <si>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</si>
  <si>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</si>
  <si>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</si>
  <si>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</si>
  <si>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</si>
  <si>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</si>
  <si>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</si>
  <si>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</si>
  <si>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</si>
  <si>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</si>
  <si>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</si>
  <si>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</si>
  <si>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</si>
  <si>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</si>
  <si>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</si>
  <si>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</si>
  <si>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</si>
  <si>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</si>
  <si>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</si>
  <si>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</si>
  <si>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</si>
  <si>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</si>
  <si>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</si>
  <si>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</si>
  <si>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</si>
  <si>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</si>
  <si>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</si>
  <si>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</si>
  <si>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</si>
  <si>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</si>
  <si>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</si>
  <si>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</si>
  <si>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</si>
  <si>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</si>
  <si>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</si>
  <si>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</si>
  <si>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</si>
  <si>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</si>
  <si>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</si>
  <si>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</si>
  <si>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</si>
  <si>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</si>
  <si>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</si>
  <si>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</si>
  <si>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</si>
  <si>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</si>
  <si>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</si>
  <si>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</si>
  <si>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</si>
  <si>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</si>
  <si>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</si>
  <si>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</si>
  <si>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</si>
  <si>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</si>
  <si>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</si>
  <si>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</si>
  <si>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</si>
  <si>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</si>
  <si>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</si>
  <si>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</si>
  <si>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</si>
  <si>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</si>
  <si>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</si>
  <si>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</si>
  <si>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</si>
  <si>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</si>
  <si>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</si>
  <si>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</si>
  <si>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</si>
  <si>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</si>
  <si>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</si>
  <si>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</si>
  <si>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</si>
  <si>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</si>
  <si>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</si>
  <si>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</si>
  <si>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</si>
  <si>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</si>
  <si>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</si>
  <si>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</si>
  <si>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</si>
  <si>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</si>
  <si>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</si>
  <si>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</si>
  <si>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</si>
  <si>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</si>
  <si>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</si>
  <si>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</si>
  <si>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</si>
  <si>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</si>
  <si>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</si>
  <si>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</si>
  <si>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</si>
  <si>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</si>
  <si>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</si>
  <si>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</si>
  <si>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</si>
  <si>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</si>
  <si>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</si>
  <si>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</si>
  <si>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</si>
  <si>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</si>
  <si>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</si>
  <si>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</si>
  <si>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</si>
  <si>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</si>
  <si>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</si>
  <si>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</si>
  <si>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</si>
  <si>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</si>
  <si>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</si>
  <si>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</si>
  <si>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</si>
  <si>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</si>
  <si>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</si>
  <si>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</si>
  <si>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</si>
  <si>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</si>
  <si>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</si>
  <si>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</si>
  <si>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</si>
  <si>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</si>
  <si>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</si>
  <si>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</si>
  <si>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</si>
  <si>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</si>
  <si>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</si>
  <si>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</si>
  <si>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</si>
  <si>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</si>
  <si>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</si>
  <si>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</si>
  <si>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</si>
  <si>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</si>
  <si>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</si>
  <si>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</si>
  <si>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</si>
  <si>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</si>
  <si>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</si>
  <si>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</si>
  <si>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</si>
  <si>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</si>
  <si>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</si>
  <si>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</si>
  <si>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</si>
  <si>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</si>
  <si>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</si>
  <si>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</si>
  <si>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</si>
  <si>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</si>
  <si>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</si>
  <si>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</si>
  <si>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</si>
  <si>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</si>
  <si>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</si>
  <si>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</si>
  <si>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</si>
  <si>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</si>
  <si>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</si>
  <si>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</si>
  <si>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</si>
  <si>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</si>
  <si>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</si>
  <si>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</si>
  <si>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</si>
  <si>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</si>
  <si>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</si>
  <si>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</si>
  <si>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</si>
  <si>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</si>
  <si>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</si>
  <si>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</si>
  <si>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</si>
  <si>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</si>
  <si>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</si>
  <si>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</si>
  <si>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</si>
  <si>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</si>
  <si>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</si>
  <si>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</si>
  <si>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</si>
  <si>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</si>
  <si>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</si>
  <si>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</si>
  <si>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</si>
  <si>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</si>
  <si>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</si>
  <si>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</si>
  <si>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</si>
  <si>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</si>
  <si>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</si>
  <si>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</si>
  <si>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</si>
  <si>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</si>
  <si>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</si>
  <si>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</si>
  <si>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</si>
  <si>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</si>
  <si>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</si>
  <si>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</si>
  <si>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</si>
  <si>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</si>
  <si>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</si>
  <si>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</si>
  <si>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</si>
  <si>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</si>
  <si>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</si>
  <si>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</si>
  <si>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</si>
  <si>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</si>
  <si>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</si>
  <si>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</si>
  <si>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</si>
  <si>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</si>
  <si>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</si>
  <si>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</si>
  <si>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</si>
  <si>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</si>
  <si>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</si>
  <si>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</si>
  <si>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</si>
  <si>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</si>
  <si>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</si>
  <si>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</si>
  <si>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</si>
  <si>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</si>
  <si>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</si>
  <si>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</si>
  <si>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</si>
  <si>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</si>
  <si>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</si>
  <si>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</si>
  <si>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</si>
  <si>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</si>
  <si>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</si>
  <si>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</si>
  <si>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</si>
  <si>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</si>
  <si>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</si>
  <si>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</si>
  <si>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</si>
  <si>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</si>
  <si>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</si>
  <si>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</si>
  <si>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</si>
  <si>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</si>
  <si>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</si>
  <si>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</si>
  <si>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</si>
  <si>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</si>
  <si>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</si>
  <si>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</si>
  <si>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</si>
  <si>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</si>
  <si>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</si>
  <si>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</si>
  <si>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</si>
  <si>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</si>
  <si>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</si>
  <si>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</si>
  <si>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</si>
  <si>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</si>
  <si>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</si>
  <si>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</si>
  <si>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</si>
  <si>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</si>
  <si>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</si>
  <si>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</si>
  <si>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</si>
  <si>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</si>
  <si>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</si>
  <si>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</si>
  <si>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</si>
  <si>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</si>
  <si>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</si>
  <si>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</si>
  <si>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</si>
  <si>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</si>
  <si>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</si>
  <si>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</si>
  <si>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</si>
  <si>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</si>
  <si>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</si>
  <si>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</si>
  <si>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</si>
  <si>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</si>
  <si>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</si>
  <si>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</si>
  <si>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</si>
  <si>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</si>
  <si>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</si>
  <si>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</si>
  <si>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</si>
  <si>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</si>
  <si>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</si>
  <si>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</si>
  <si>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</si>
  <si>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</si>
  <si>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</si>
  <si>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</si>
  <si>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</si>
  <si>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</si>
  <si>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</si>
  <si>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</si>
  <si>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</si>
  <si>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</si>
  <si>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</si>
  <si>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</si>
  <si>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</si>
  <si>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</si>
  <si>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</si>
  <si>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</si>
  <si>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</si>
  <si>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</si>
  <si>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</si>
  <si>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</si>
  <si>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</si>
  <si>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</si>
  <si>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</si>
  <si>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</si>
  <si>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</si>
  <si>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</si>
  <si>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</si>
  <si>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</si>
  <si>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</si>
  <si>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</si>
  <si>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</si>
  <si>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</si>
  <si>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</si>
  <si>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</si>
  <si>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</si>
  <si>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</si>
  <si>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</si>
  <si>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</si>
  <si>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</si>
  <si>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</si>
  <si>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</si>
  <si>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</si>
  <si>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</si>
  <si>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</si>
  <si>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</si>
  <si>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</si>
  <si>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</si>
  <si>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</si>
  <si>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</si>
  <si>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</si>
  <si>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</si>
  <si>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</si>
  <si>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</si>
  <si>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</si>
  <si>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</si>
  <si>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</si>
  <si>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</si>
  <si>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</si>
  <si>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</si>
  <si>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</si>
  <si>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</si>
  <si>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</si>
  <si>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</si>
  <si>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</si>
  <si>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</si>
  <si>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</si>
  <si>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</si>
  <si>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</si>
  <si>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</si>
  <si>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</si>
  <si>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</si>
  <si>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</si>
  <si>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</si>
  <si>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</si>
  <si>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</si>
  <si>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</si>
  <si>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</si>
  <si>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</si>
  <si>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</si>
  <si>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</si>
  <si>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</si>
  <si>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</si>
  <si>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</si>
  <si>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</si>
  <si>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</si>
  <si>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</si>
  <si>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</si>
  <si>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</si>
  <si>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</si>
  <si>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</si>
  <si>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</si>
  <si>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</si>
  <si>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</si>
  <si>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</si>
  <si>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</si>
  <si>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</si>
  <si>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</si>
  <si>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</si>
  <si>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</si>
  <si>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</si>
  <si>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</si>
  <si>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</si>
  <si>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</si>
  <si>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</si>
  <si>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</si>
  <si>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</si>
  <si>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</si>
  <si>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</si>
  <si>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</si>
  <si>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</si>
  <si>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</si>
  <si>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</si>
  <si>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</si>
  <si>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</si>
  <si>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</si>
  <si>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</si>
  <si>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</si>
  <si>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</si>
  <si>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</si>
  <si>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</si>
  <si>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</si>
  <si>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</si>
  <si>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</si>
  <si>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</si>
  <si>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</si>
  <si>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</si>
  <si>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</si>
  <si>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</si>
  <si>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</si>
  <si>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</si>
  <si>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</si>
  <si>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</si>
  <si>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</si>
  <si>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</si>
  <si>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</si>
  <si>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</si>
  <si>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</si>
  <si>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</si>
  <si>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</si>
  <si>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</si>
  <si>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</si>
  <si>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</si>
  <si>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</si>
  <si>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</si>
  <si>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</si>
  <si>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</si>
  <si>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</si>
  <si>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</si>
  <si>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</si>
  <si>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</si>
  <si>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</si>
  <si>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</si>
  <si>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</si>
  <si>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</si>
  <si>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</si>
  <si>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</si>
  <si>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</si>
  <si>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</si>
  <si>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</si>
  <si>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</si>
  <si>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</si>
  <si>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</si>
  <si>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</si>
  <si>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</si>
  <si>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</si>
  <si>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</si>
  <si>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</si>
  <si>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</si>
  <si>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</si>
  <si>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</si>
  <si>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</si>
  <si>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</si>
  <si>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</si>
  <si>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</si>
  <si>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</si>
  <si>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</si>
  <si>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</si>
  <si>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</si>
  <si>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</si>
  <si>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</si>
  <si>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</si>
  <si>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</si>
  <si>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</si>
  <si>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</si>
  <si>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</si>
  <si>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</si>
  <si>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</si>
  <si>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</si>
  <si>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</si>
  <si>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</si>
  <si>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</si>
  <si>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</si>
  <si>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</si>
  <si>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</si>
  <si>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</si>
  <si>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</si>
  <si>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</si>
  <si>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</si>
  <si>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</si>
  <si>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</si>
  <si>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</si>
  <si>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</si>
  <si>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</si>
  <si>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</si>
  <si>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</si>
  <si>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</si>
  <si>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</si>
  <si>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</si>
  <si>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</si>
  <si>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</si>
  <si>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</si>
  <si>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</si>
  <si>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</si>
  <si>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</si>
  <si>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</si>
  <si>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</si>
  <si>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</si>
  <si>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</si>
  <si>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</si>
  <si>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</si>
  <si>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</si>
  <si>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</si>
  <si>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</si>
  <si>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</si>
  <si>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</si>
  <si>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</si>
  <si>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</si>
  <si>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</si>
  <si>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</si>
  <si>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</si>
  <si>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</si>
  <si>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</si>
  <si>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</si>
  <si>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</si>
  <si>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</si>
  <si>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</si>
  <si>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</si>
  <si>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</si>
  <si>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</si>
  <si>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</si>
  <si>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</si>
  <si>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</si>
  <si>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</si>
  <si>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</si>
  <si>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</si>
  <si>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</si>
  <si>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</si>
  <si>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</si>
  <si>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</si>
  <si>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</si>
  <si>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</si>
  <si>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</si>
  <si>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</si>
  <si>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</si>
  <si>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</si>
  <si>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</si>
  <si>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</si>
  <si>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</si>
  <si>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</si>
  <si>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</si>
  <si>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</si>
  <si>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</si>
  <si>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</si>
  <si>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</si>
  <si>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</si>
  <si>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</si>
  <si>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</si>
  <si>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</si>
  <si>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</si>
  <si>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</si>
  <si>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</si>
  <si>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</si>
  <si>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</si>
  <si>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</si>
  <si>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</si>
  <si>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</si>
  <si>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</si>
  <si>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</si>
  <si>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</si>
  <si>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</si>
  <si>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</si>
  <si>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</si>
  <si>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</si>
  <si>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</si>
  <si>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</si>
  <si>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</si>
  <si>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</si>
  <si>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</si>
  <si>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</si>
  <si>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</si>
  <si>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</si>
  <si>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</si>
  <si>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</si>
  <si>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</si>
  <si>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</si>
  <si>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</si>
  <si>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</si>
  <si>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</si>
  <si>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</si>
  <si>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</si>
  <si>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</si>
  <si>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</si>
  <si>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</si>
  <si>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</si>
  <si>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</si>
  <si>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</si>
  <si>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</si>
  <si>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</si>
  <si>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</si>
  <si>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</si>
  <si>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</si>
  <si>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</si>
  <si>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</si>
  <si>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</si>
  <si>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</si>
  <si>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</si>
  <si>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</si>
  <si>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</si>
  <si>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</si>
  <si>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</si>
  <si>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</si>
  <si>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</si>
  <si>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</si>
  <si>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</si>
  <si>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</si>
  <si>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</si>
  <si>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</si>
  <si>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</si>
  <si>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</si>
  <si>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</si>
  <si>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</si>
  <si>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</si>
  <si>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</si>
  <si>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</si>
  <si>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</si>
  <si>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</si>
  <si>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</si>
  <si>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</si>
  <si>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</si>
  <si>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</si>
  <si>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</si>
  <si>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</si>
  <si>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</si>
  <si>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</si>
  <si>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</si>
  <si>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</si>
  <si>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</si>
  <si>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</si>
  <si>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</si>
  <si>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</si>
  <si>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</si>
  <si>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</si>
  <si>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</si>
  <si>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</si>
  <si>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</si>
  <si>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</si>
  <si>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</si>
  <si>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</si>
  <si>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</si>
  <si>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</si>
  <si>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</si>
  <si>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</si>
  <si>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</si>
  <si>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</si>
  <si>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</si>
  <si>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</si>
  <si>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</si>
  <si>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</si>
  <si>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</si>
  <si>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</si>
  <si>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</si>
  <si>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</si>
  <si>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</si>
  <si>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</si>
  <si>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</si>
  <si>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</si>
  <si>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</si>
  <si>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</si>
  <si>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</si>
  <si>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</si>
  <si>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</si>
  <si>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</si>
  <si>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</si>
  <si>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</si>
  <si>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</si>
  <si>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</si>
  <si>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</si>
  <si>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</si>
  <si>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</si>
  <si>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</si>
  <si>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</si>
  <si>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</si>
  <si>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</si>
  <si>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</si>
  <si>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</si>
  <si>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</si>
  <si>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</si>
  <si>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</si>
  <si>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</si>
  <si>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</si>
  <si>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</si>
  <si>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</si>
  <si>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</si>
  <si>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</si>
  <si>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</si>
  <si>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</si>
  <si>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</si>
  <si>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</si>
  <si>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</si>
  <si>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</si>
  <si>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</si>
  <si>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</si>
  <si>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</si>
  <si>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</si>
  <si>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</si>
  <si>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</si>
  <si>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</si>
  <si>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</si>
  <si>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</si>
  <si>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</si>
  <si>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</si>
  <si>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</si>
  <si>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</si>
  <si>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</si>
  <si>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</si>
  <si>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</si>
  <si>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</si>
  <si>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</si>
  <si>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</si>
  <si>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</si>
  <si>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</si>
  <si>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</si>
  <si>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</si>
  <si>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</si>
  <si>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</si>
  <si>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</si>
  <si>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</si>
  <si>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</si>
  <si>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</si>
  <si>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</si>
  <si>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</si>
  <si>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</si>
  <si>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</si>
  <si>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</si>
  <si>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</si>
  <si>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</si>
  <si>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</si>
  <si>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</si>
  <si>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</si>
  <si>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</si>
  <si>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</si>
  <si>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</si>
  <si>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</si>
  <si>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</si>
  <si>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</si>
  <si>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</si>
  <si>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</si>
  <si>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</si>
  <si>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</si>
  <si>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</si>
  <si>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</si>
  <si>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</si>
  <si>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</si>
  <si>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</si>
  <si>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</si>
  <si>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</si>
  <si>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</si>
  <si>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</si>
  <si>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</si>
  <si>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</si>
  <si>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</si>
  <si>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</si>
  <si>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</si>
  <si>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</si>
  <si>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</si>
  <si>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</si>
  <si>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</si>
  <si>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</si>
  <si>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</si>
  <si>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</si>
  <si>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</si>
  <si>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</si>
  <si>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</si>
  <si>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</si>
  <si>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</si>
  <si>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</si>
  <si>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</si>
  <si>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</si>
  <si>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</si>
  <si>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</si>
  <si>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</si>
  <si>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</si>
  <si>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</si>
  <si>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</si>
  <si>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</si>
  <si>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</si>
  <si>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</si>
  <si>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</si>
  <si>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</si>
  <si>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</si>
  <si>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</si>
  <si>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</si>
  <si>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</si>
  <si>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</si>
  <si>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</si>
  <si>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</si>
  <si>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</si>
  <si>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</si>
  <si>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</si>
  <si>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</si>
  <si>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</si>
  <si>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</si>
  <si>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</si>
  <si>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</si>
  <si>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</si>
  <si>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</si>
  <si>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</si>
  <si>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</si>
  <si>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</si>
  <si>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</si>
  <si>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</si>
  <si>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</si>
  <si>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</si>
  <si>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</si>
  <si>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</si>
  <si>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</si>
  <si>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</si>
  <si>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</si>
  <si>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</si>
  <si>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</si>
  <si>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</si>
  <si>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</si>
  <si>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</si>
  <si>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</si>
  <si>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</si>
  <si>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</si>
  <si>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</si>
  <si>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</si>
  <si>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</si>
  <si>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</si>
  <si>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</si>
  <si>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</si>
  <si>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</si>
  <si>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</si>
  <si>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</si>
  <si>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</si>
  <si>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</si>
  <si>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</si>
  <si>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</si>
  <si>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</si>
  <si>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</si>
  <si>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</si>
  <si>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</si>
  <si>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</si>
  <si>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</si>
  <si>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</si>
  <si>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</si>
  <si>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</si>
  <si>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</si>
  <si>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</si>
  <si>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</si>
  <si>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</si>
  <si>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</si>
  <si>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</si>
  <si>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</si>
  <si>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</si>
  <si>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</si>
  <si>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</si>
  <si>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</si>
  <si>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</si>
  <si>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</si>
  <si>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</si>
  <si>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</si>
  <si>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</si>
  <si>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</si>
  <si>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</si>
  <si>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</si>
  <si>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</si>
  <si>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</si>
  <si>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</si>
  <si>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</si>
  <si>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</si>
  <si>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</si>
  <si>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</si>
  <si>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</si>
  <si>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</si>
  <si>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</si>
  <si>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</si>
  <si>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</si>
  <si>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</si>
  <si>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</si>
  <si>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</si>
  <si>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</si>
  <si>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</si>
  <si>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</si>
  <si>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</si>
  <si>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</si>
  <si>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</si>
  <si>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</si>
  <si>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</si>
  <si>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</si>
  <si>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</si>
  <si>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</si>
  <si>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</si>
  <si>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</si>
  <si>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</si>
  <si>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</si>
  <si>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</si>
  <si>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</si>
  <si>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</si>
  <si>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</si>
  <si>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</si>
  <si>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</si>
  <si>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</si>
  <si>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</si>
  <si>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</si>
  <si>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</si>
  <si>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</si>
  <si>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</si>
  <si>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</si>
  <si>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</si>
  <si>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</si>
  <si>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</si>
  <si>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</si>
  <si>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</si>
  <si>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</si>
  <si>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</si>
  <si>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</si>
  <si>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</si>
  <si>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</si>
  <si>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</si>
  <si>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</si>
  <si>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</si>
  <si>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</si>
  <si>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</si>
  <si>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</si>
  <si>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</si>
  <si>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</si>
  <si>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</si>
  <si>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</si>
  <si>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</si>
  <si>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</si>
  <si>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</si>
  <si>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</si>
  <si>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</si>
  <si>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</si>
  <si>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</si>
  <si>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</si>
  <si>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</si>
  <si>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</si>
  <si>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</si>
  <si>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</si>
  <si>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</si>
  <si>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</si>
  <si>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</si>
  <si>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</si>
  <si>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</si>
  <si>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</si>
  <si>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</si>
  <si>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</si>
  <si>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</si>
  <si>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</si>
  <si>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</si>
  <si>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</si>
  <si>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</si>
  <si>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</si>
  <si>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</si>
  <si>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</si>
  <si>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</si>
  <si>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</si>
  <si>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</si>
  <si>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</si>
  <si>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</si>
  <si>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</si>
  <si>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</si>
  <si>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</si>
  <si>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</si>
  <si>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</si>
  <si>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</si>
  <si>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</si>
  <si>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</si>
  <si>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</si>
  <si>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</si>
  <si>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</si>
  <si>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</si>
  <si>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</si>
  <si>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</si>
  <si>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</si>
  <si>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</si>
  <si>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</si>
  <si>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</si>
  <si>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</si>
  <si>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</si>
  <si>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</si>
  <si>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</si>
  <si>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</si>
  <si>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</si>
  <si>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</si>
  <si>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</si>
  <si>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</si>
  <si>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</si>
  <si>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</si>
  <si>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</si>
  <si>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</si>
  <si>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</si>
  <si>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</si>
  <si>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</si>
  <si>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</si>
  <si>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</si>
  <si>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</si>
  <si>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</si>
  <si>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</si>
  <si>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</si>
  <si>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</si>
  <si>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</si>
  <si>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</si>
  <si>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</si>
  <si>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</si>
  <si>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</si>
  <si>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</si>
  <si>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</si>
  <si>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</si>
  <si>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</si>
  <si>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</si>
  <si>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</si>
  <si>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</si>
  <si>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</si>
  <si>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</si>
  <si>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</si>
  <si>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</si>
  <si>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</si>
  <si>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</si>
  <si>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</si>
  <si>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</si>
  <si>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</si>
  <si>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</si>
  <si>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</si>
  <si>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</si>
  <si>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</si>
  <si>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</si>
  <si>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</si>
  <si>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</si>
  <si>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</si>
  <si>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</si>
  <si>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</si>
  <si>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</si>
  <si>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</si>
  <si>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</si>
  <si>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</si>
  <si>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</si>
  <si>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</si>
  <si>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</si>
  <si>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</si>
  <si>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</si>
  <si>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</si>
  <si>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</si>
  <si>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</si>
  <si>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</si>
  <si>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</si>
  <si>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</si>
  <si>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</si>
  <si>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</si>
  <si>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</si>
  <si>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</si>
  <si>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</si>
  <si>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</si>
  <si>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</si>
  <si>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</si>
  <si>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</si>
  <si>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</si>
  <si>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</si>
  <si>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</si>
  <si>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</si>
  <si>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</si>
  <si>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</si>
  <si>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</si>
  <si>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</si>
  <si>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</si>
  <si>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</si>
  <si>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</si>
  <si>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</si>
  <si>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</si>
  <si>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</si>
  <si>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</si>
  <si>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</si>
  <si>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</si>
  <si>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</si>
  <si>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</si>
  <si>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</si>
  <si>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</si>
  <si>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</si>
  <si>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</si>
  <si>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</si>
  <si>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</si>
  <si>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</si>
  <si>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</si>
  <si>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</si>
  <si>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</si>
  <si>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</si>
  <si>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</si>
  <si>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</si>
  <si>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</si>
  <si>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</si>
  <si>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</si>
  <si>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</si>
  <si>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</si>
  <si>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</si>
  <si>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</si>
  <si>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</si>
  <si>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</si>
  <si>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</si>
  <si>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</si>
  <si>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</si>
  <si>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</si>
  <si>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</si>
  <si>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</si>
  <si>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</si>
  <si>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</si>
  <si>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</si>
  <si>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</si>
  <si>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</si>
  <si>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</si>
  <si>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</si>
  <si>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</si>
  <si>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</si>
  <si>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</si>
  <si>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</si>
  <si>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</si>
  <si>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</si>
  <si>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</si>
  <si>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</si>
  <si>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</si>
  <si>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</si>
  <si>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</si>
  <si>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</si>
  <si>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</si>
  <si>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</si>
  <si>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</si>
  <si>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</si>
  <si>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</si>
  <si>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</si>
  <si>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</si>
  <si>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</si>
  <si>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</si>
  <si>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</si>
  <si>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</si>
  <si>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</si>
  <si>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</si>
  <si>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</si>
  <si>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</si>
  <si>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</si>
  <si>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</si>
  <si>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</si>
  <si>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</si>
  <si>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</si>
  <si>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</si>
  <si>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</si>
  <si>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</si>
  <si>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</si>
  <si>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</si>
  <si>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</si>
  <si>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</si>
  <si>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</si>
  <si>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</si>
  <si>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</si>
  <si>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</si>
  <si>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</si>
  <si>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</si>
  <si>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</si>
  <si>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</si>
  <si>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</si>
  <si>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</si>
  <si>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</si>
  <si>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</si>
  <si>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</si>
  <si>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</si>
  <si>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</si>
  <si>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</si>
  <si>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</si>
  <si>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</si>
  <si>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</si>
  <si>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</si>
  <si>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</si>
  <si>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</si>
  <si>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</si>
  <si>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</si>
  <si>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</si>
  <si>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</si>
  <si>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</si>
  <si>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</si>
  <si>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</si>
  <si>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</si>
  <si>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</si>
  <si>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</si>
  <si>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</si>
  <si>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</si>
  <si>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</si>
  <si>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</si>
  <si>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</si>
  <si>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</si>
  <si>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</si>
  <si>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</si>
  <si>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</si>
  <si>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</si>
  <si>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</si>
  <si>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</si>
  <si>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</si>
  <si>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</si>
  <si>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</si>
  <si>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</si>
  <si>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</si>
  <si>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</si>
  <si>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</si>
  <si>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</si>
  <si>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</si>
  <si>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</si>
  <si>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</si>
  <si>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</si>
  <si>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</si>
  <si>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</si>
  <si>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</si>
  <si>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</si>
  <si>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</si>
  <si>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</si>
  <si>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</si>
  <si>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</si>
  <si>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</si>
  <si>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</si>
  <si>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</si>
  <si>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</si>
  <si>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</si>
  <si>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</si>
  <si>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</si>
  <si>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</si>
  <si>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</si>
  <si>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</si>
  <si>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</si>
  <si>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</si>
  <si>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</si>
  <si>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</si>
  <si>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</si>
  <si>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</si>
  <si>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</si>
  <si>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</si>
  <si>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</si>
  <si>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</si>
  <si>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</si>
  <si>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</si>
  <si>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</si>
  <si>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</si>
  <si>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</si>
  <si>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</si>
  <si>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</si>
  <si>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</si>
  <si>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</si>
  <si>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</si>
  <si>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</si>
  <si>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</si>
  <si>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</si>
  <si>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</si>
  <si>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</si>
  <si>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</si>
  <si>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</si>
  <si>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</si>
  <si>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</si>
  <si>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</si>
  <si>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</si>
  <si>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</si>
  <si>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</si>
  <si>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</si>
  <si>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</si>
  <si>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</si>
  <si>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</si>
  <si>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</si>
  <si>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</si>
  <si>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</si>
  <si>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</si>
  <si>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</si>
  <si>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</si>
  <si>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</si>
  <si>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</si>
  <si>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</si>
  <si>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</si>
  <si>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</si>
  <si>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</si>
  <si>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</si>
  <si>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</si>
  <si>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</si>
  <si>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</si>
  <si>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</si>
  <si>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</si>
  <si>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</si>
  <si>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</si>
  <si>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</si>
  <si>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</si>
  <si>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</si>
  <si>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</si>
  <si>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</si>
  <si>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</si>
  <si>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</si>
  <si>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</si>
  <si>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</si>
  <si>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</si>
  <si>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</si>
  <si>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</si>
  <si>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</si>
  <si>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</si>
  <si>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</si>
  <si>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</si>
  <si>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</si>
  <si>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</si>
  <si>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</si>
  <si>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</si>
  <si>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</si>
  <si>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</si>
  <si>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</si>
  <si>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</si>
  <si>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</si>
  <si>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</si>
  <si>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</si>
  <si>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</si>
  <si>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</si>
  <si>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</si>
  <si>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</si>
  <si>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</si>
  <si>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</si>
  <si>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</si>
  <si>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</si>
  <si>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</si>
  <si>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</si>
  <si>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</si>
  <si>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</si>
  <si>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</si>
  <si>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</si>
  <si>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</si>
  <si>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</si>
  <si>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</si>
  <si>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</si>
  <si>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</si>
  <si>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</si>
  <si>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</si>
  <si>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</si>
  <si>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</si>
  <si>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</si>
  <si>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</si>
  <si>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</si>
  <si>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</si>
  <si>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</si>
  <si>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</si>
  <si>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</si>
  <si>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</si>
  <si>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</si>
  <si>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</si>
  <si>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</si>
  <si>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</si>
  <si>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</si>
  <si>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</si>
  <si>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</si>
  <si>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</si>
  <si>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</si>
  <si>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</si>
  <si>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</si>
  <si>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</si>
  <si>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</si>
  <si>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</si>
  <si>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</si>
  <si>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</si>
  <si>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</si>
  <si>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</si>
  <si>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</si>
  <si>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</si>
  <si>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</si>
  <si>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</si>
  <si>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</si>
  <si>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</si>
  <si>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</si>
  <si>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</si>
  <si>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</si>
  <si>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</si>
  <si>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</si>
  <si>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</si>
  <si>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</si>
  <si>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</si>
  <si>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</si>
  <si>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</si>
  <si>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</si>
  <si>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</si>
  <si>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</si>
  <si>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</si>
  <si>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</si>
  <si>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</si>
  <si>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</si>
  <si>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</si>
  <si>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</si>
  <si>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</si>
  <si>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</si>
  <si>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</si>
  <si>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</si>
  <si>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</si>
  <si>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</si>
  <si>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</si>
  <si>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</si>
  <si>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</si>
  <si>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</si>
  <si>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</si>
  <si>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</si>
  <si>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</si>
  <si>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</si>
  <si>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</si>
  <si>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</si>
  <si>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</si>
  <si>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</si>
  <si>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</si>
  <si>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</si>
  <si>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</si>
  <si>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</si>
  <si>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</si>
  <si>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</si>
  <si>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</si>
  <si>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</si>
  <si>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</si>
  <si>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</si>
  <si>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</si>
  <si>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</si>
  <si>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</si>
  <si>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</si>
  <si>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</si>
  <si>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</si>
  <si>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</si>
  <si>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</si>
  <si>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</si>
  <si>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</si>
  <si>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</si>
  <si>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</si>
  <si>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</si>
  <si>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</si>
  <si>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</si>
  <si>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</si>
  <si>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</si>
  <si>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</si>
  <si>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</si>
  <si>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</si>
  <si>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</si>
  <si>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</si>
  <si>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</si>
  <si>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</si>
  <si>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</si>
  <si>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</si>
  <si>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</si>
  <si>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</si>
  <si>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</si>
  <si>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</si>
  <si>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</si>
  <si>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</si>
  <si>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</si>
  <si>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</si>
  <si>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</si>
  <si>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</si>
  <si>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</si>
  <si>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</si>
  <si>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</si>
  <si>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</si>
  <si>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</si>
  <si>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</si>
  <si>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</si>
  <si>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</si>
  <si>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</si>
  <si>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</si>
  <si>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</si>
  <si>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</si>
  <si>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</si>
  <si>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</si>
  <si>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</si>
  <si>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</si>
  <si>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</si>
  <si>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</si>
  <si>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</si>
  <si>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</si>
  <si>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</si>
  <si>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</si>
  <si>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</si>
  <si>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</si>
  <si>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</si>
  <si>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</si>
  <si>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</si>
  <si>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</si>
  <si>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</si>
  <si>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</si>
  <si>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</si>
  <si>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</si>
  <si>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</si>
  <si>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</si>
  <si>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</si>
  <si>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</si>
  <si>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</si>
  <si>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</si>
  <si>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</si>
  <si>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</si>
  <si>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</si>
  <si>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</si>
  <si>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</si>
  <si>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</si>
  <si>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</si>
  <si>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</si>
  <si>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</si>
  <si>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</si>
  <si>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</si>
  <si>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</si>
  <si>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</si>
  <si>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</si>
  <si>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</si>
  <si>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</si>
  <si>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</si>
  <si>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</si>
  <si>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</si>
  <si>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</si>
  <si>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</si>
  <si>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</si>
  <si>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</si>
  <si>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</si>
  <si>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</si>
  <si>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</si>
  <si>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</si>
  <si>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</si>
  <si>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</si>
  <si>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</si>
  <si>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</si>
  <si>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</si>
  <si>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</si>
  <si>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</si>
  <si>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</si>
  <si>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</si>
  <si>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</si>
  <si>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</si>
  <si>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</si>
  <si>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</si>
  <si>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</si>
  <si>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</si>
  <si>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</si>
  <si>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</si>
  <si>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</si>
  <si>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</si>
  <si>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</si>
  <si>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</si>
  <si>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</si>
  <si>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</si>
  <si>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</si>
  <si>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</si>
  <si>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</si>
  <si>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</si>
  <si>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</si>
  <si>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</si>
  <si>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</si>
  <si>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</si>
  <si>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</si>
  <si>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</si>
  <si>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</si>
  <si>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</si>
  <si>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</si>
  <si>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</si>
  <si>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</si>
  <si>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</si>
  <si>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</si>
  <si>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</si>
  <si>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</si>
  <si>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</si>
  <si>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</si>
  <si>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</si>
  <si>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</si>
  <si>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</si>
  <si>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</si>
  <si>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</si>
  <si>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</si>
  <si>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</si>
  <si>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</si>
  <si>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</si>
  <si>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</si>
  <si>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</si>
  <si>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</si>
  <si>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</si>
  <si>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</si>
  <si>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</si>
  <si>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</si>
  <si>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</si>
  <si>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</si>
  <si>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</si>
  <si>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</si>
  <si>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</si>
  <si>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</si>
  <si>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</si>
  <si>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</si>
  <si>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</si>
  <si>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</si>
  <si>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</si>
  <si>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</si>
  <si>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</si>
  <si>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</si>
  <si>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</si>
  <si>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</si>
  <si>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</si>
  <si>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</si>
  <si>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</si>
  <si>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</si>
  <si>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</si>
  <si>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</si>
  <si>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</si>
  <si>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</si>
  <si>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</si>
  <si>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</si>
  <si>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</si>
  <si>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</si>
  <si>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</si>
  <si>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</si>
  <si>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</si>
  <si>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</si>
  <si>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</si>
  <si>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</si>
  <si>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</si>
  <si>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</si>
  <si>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</si>
  <si>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</si>
  <si>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</si>
  <si>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</si>
  <si>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</si>
  <si>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</si>
  <si>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</si>
  <si>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</si>
  <si>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</si>
  <si>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</si>
  <si>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</si>
  <si>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</si>
  <si>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</si>
  <si>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</si>
  <si>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</si>
  <si>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</si>
  <si>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</si>
  <si>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</si>
  <si>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</si>
  <si>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</si>
  <si>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</si>
  <si>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</si>
  <si>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</si>
  <si>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</si>
  <si>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</si>
  <si>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</si>
  <si>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</si>
  <si>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</si>
  <si>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</si>
  <si>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</si>
  <si>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</si>
  <si>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</si>
  <si>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</si>
  <si>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</si>
  <si>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</si>
  <si>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</si>
  <si>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</si>
  <si>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</si>
  <si>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</si>
  <si>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</si>
  <si>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</si>
  <si>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</si>
  <si>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</si>
  <si>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</si>
  <si>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</si>
  <si>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</si>
  <si>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</si>
  <si>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</si>
  <si>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</si>
  <si>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</si>
  <si>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</si>
  <si>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</si>
  <si>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</si>
  <si>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</si>
  <si>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</si>
  <si>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</si>
  <si>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</si>
  <si>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</si>
  <si>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</si>
  <si>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</si>
  <si>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</si>
  <si>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</si>
  <si>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</si>
  <si>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</si>
  <si>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</si>
  <si>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</si>
  <si>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</si>
  <si>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</si>
  <si>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</si>
  <si>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</si>
  <si>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</si>
  <si>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</si>
  <si>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</si>
  <si>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</si>
  <si>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</si>
  <si>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</si>
  <si>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</si>
  <si>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</si>
  <si>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</si>
  <si>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</si>
  <si>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</si>
  <si>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</si>
  <si>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</si>
  <si>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</si>
  <si>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</si>
  <si>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</si>
  <si>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</si>
  <si>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</si>
  <si>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</si>
  <si>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</si>
  <si>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</si>
  <si>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</si>
  <si>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</si>
  <si>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</si>
  <si>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</si>
  <si>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</si>
  <si>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</si>
  <si>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</si>
  <si>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</si>
  <si>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</si>
  <si>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</si>
  <si>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</si>
  <si>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</si>
  <si>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</si>
  <si>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</si>
  <si>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</si>
  <si>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</si>
  <si>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</si>
  <si>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</si>
  <si>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</si>
  <si>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</si>
  <si>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</si>
  <si>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</si>
  <si>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</si>
  <si>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</si>
  <si>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</si>
  <si>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</si>
  <si>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</si>
  <si>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</si>
  <si>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</si>
  <si>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</si>
  <si>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</si>
  <si>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</si>
  <si>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</si>
  <si>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</si>
  <si>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</si>
  <si>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</si>
  <si>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</si>
  <si>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</si>
  <si>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</si>
  <si>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</si>
  <si>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</si>
  <si>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</si>
  <si>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</si>
  <si>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</si>
  <si>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</si>
  <si>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</si>
  <si>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</si>
  <si>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</si>
  <si>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</si>
  <si>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</si>
  <si>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</si>
  <si>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</si>
  <si>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</si>
  <si>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</si>
  <si>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</si>
  <si>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</si>
  <si>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</si>
  <si>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</si>
  <si>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</si>
  <si>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</si>
  <si>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</si>
  <si>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</si>
  <si>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</si>
  <si>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</si>
  <si>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</si>
  <si>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</si>
  <si>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</si>
  <si>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</si>
  <si>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</si>
  <si>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</si>
  <si>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</si>
  <si>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</si>
  <si>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</si>
  <si>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</si>
  <si>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</si>
  <si>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</si>
  <si>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</si>
  <si>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</si>
  <si>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</si>
  <si>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</si>
  <si>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</si>
  <si>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</si>
  <si>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</si>
  <si>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</si>
  <si>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</si>
  <si>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</si>
  <si>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</si>
  <si>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</si>
  <si>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</si>
  <si>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</si>
  <si>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</si>
  <si>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</si>
  <si>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</si>
  <si>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</si>
  <si>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</si>
  <si>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</si>
  <si>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</si>
  <si>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</si>
  <si>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</si>
  <si>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</si>
  <si>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</si>
  <si>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</si>
  <si>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</si>
  <si>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</si>
  <si>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</si>
  <si>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</si>
  <si>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</si>
  <si>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</si>
  <si>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</si>
  <si>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</si>
  <si>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</si>
  <si>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</si>
  <si>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</si>
  <si>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</si>
  <si>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</si>
  <si>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</si>
  <si>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</si>
  <si>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</si>
  <si>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</si>
  <si>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</si>
  <si>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</si>
  <si>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</si>
  <si>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</si>
  <si>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</si>
  <si>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</si>
  <si>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</si>
  <si>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</si>
  <si>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</si>
  <si>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</si>
  <si>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</si>
  <si>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</si>
  <si>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</si>
  <si>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</si>
  <si>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</si>
  <si>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</si>
  <si>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</si>
  <si>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</si>
  <si>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</si>
  <si>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</si>
  <si>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</si>
  <si>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</si>
  <si>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</si>
  <si>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</si>
  <si>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</si>
  <si>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</si>
  <si>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</si>
  <si>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</si>
  <si>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</si>
  <si>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</si>
  <si>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</si>
  <si>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</si>
  <si>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</si>
  <si>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</si>
  <si>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</si>
  <si>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</si>
  <si>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</si>
  <si>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</si>
  <si>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</si>
  <si>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</si>
  <si>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</si>
  <si>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</si>
  <si>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</si>
  <si>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</si>
  <si>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</si>
  <si>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</si>
  <si>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</si>
  <si>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</si>
  <si>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</si>
  <si>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</si>
  <si>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</si>
  <si>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</si>
  <si>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</si>
  <si>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</si>
  <si>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</si>
  <si>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</si>
  <si>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</si>
  <si>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</si>
  <si>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</si>
  <si>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</si>
  <si>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</si>
  <si>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</si>
  <si>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</si>
  <si>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</si>
  <si>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</si>
  <si>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</si>
  <si>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</si>
  <si>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</si>
  <si>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</si>
  <si>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</si>
  <si>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</si>
  <si>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</si>
  <si>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</si>
  <si>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</si>
  <si>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</si>
  <si>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</si>
  <si>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</si>
  <si>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</si>
  <si>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</si>
  <si>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</si>
  <si>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</si>
  <si>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</si>
  <si>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</si>
  <si>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</si>
  <si>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</si>
  <si>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</si>
  <si>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</si>
  <si>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</si>
  <si>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</si>
  <si>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</si>
  <si>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</si>
  <si>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</si>
  <si>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</si>
  <si>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</si>
  <si>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</si>
  <si>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</si>
  <si>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</si>
  <si>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</si>
  <si>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</si>
  <si>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</si>
  <si>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</si>
  <si>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</si>
  <si>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</si>
  <si>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</si>
  <si>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</si>
  <si>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</si>
  <si>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</si>
  <si>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</si>
  <si>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</si>
  <si>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</si>
  <si>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</si>
  <si>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</si>
  <si>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</si>
  <si>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</si>
  <si>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</si>
  <si>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</si>
  <si>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</si>
  <si>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</si>
  <si>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</si>
  <si>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</si>
  <si>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</si>
  <si>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</si>
  <si>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</si>
  <si>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</si>
  <si>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</si>
  <si>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</si>
  <si>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</si>
  <si>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</si>
  <si>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</si>
  <si>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</si>
  <si>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</si>
  <si>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</si>
  <si>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</si>
  <si>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</si>
  <si>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</si>
  <si>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</si>
  <si>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</si>
  <si>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</si>
  <si>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</si>
  <si>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</si>
  <si>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</si>
  <si>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</si>
  <si>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</si>
  <si>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</si>
  <si>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</si>
  <si>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</si>
  <si>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</si>
  <si>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</si>
  <si>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</si>
  <si>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</si>
  <si>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</si>
  <si>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</si>
  <si>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</si>
  <si>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</si>
  <si>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</si>
  <si>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</si>
  <si>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</si>
  <si>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</si>
  <si>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</si>
  <si>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</si>
  <si>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</si>
  <si>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</si>
  <si>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</si>
  <si>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</si>
  <si>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</si>
  <si>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</si>
  <si>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</si>
  <si>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</si>
  <si>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</si>
  <si>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</si>
  <si>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</si>
  <si>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</si>
  <si>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</si>
  <si>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</si>
  <si>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</si>
  <si>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</si>
  <si>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</si>
  <si>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</si>
  <si>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</si>
  <si>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</si>
  <si>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</si>
  <si>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</si>
  <si>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</si>
  <si>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</si>
  <si>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</si>
  <si>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</si>
  <si>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</si>
  <si>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</si>
  <si>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</si>
  <si>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</si>
  <si>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</si>
  <si>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</si>
  <si>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</si>
  <si>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</si>
  <si>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</si>
  <si>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</si>
  <si>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</si>
  <si>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</si>
  <si>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</si>
  <si>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</si>
  <si>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</si>
  <si>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</si>
  <si>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</si>
  <si>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</si>
  <si>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</si>
  <si>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</si>
  <si>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</si>
  <si>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</si>
  <si>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</si>
  <si>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</si>
  <si>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</si>
  <si>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</si>
  <si>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</si>
  <si>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</si>
  <si>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</si>
  <si>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</si>
  <si>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</si>
  <si>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</si>
  <si>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</si>
  <si>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</si>
  <si>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</si>
  <si>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</si>
  <si>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</si>
  <si>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</si>
  <si>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GRUNDY/KANKAKEE</t>
  </si>
  <si>
    <t>375 5TH AVENUE</t>
  </si>
  <si>
    <t xml:space="preserve">SOUTH WILMINGTON  </t>
  </si>
  <si>
    <t>CYNTHIA CHRISTENSEN</t>
  </si>
  <si>
    <t>815-237-2281</t>
  </si>
  <si>
    <t>815-237-2713</t>
  </si>
  <si>
    <t>X</t>
  </si>
  <si>
    <t>GASSENSMITH &amp; MICHALESKO, LTD</t>
  </si>
  <si>
    <t>JOHN MICHALESKO</t>
  </si>
  <si>
    <t>323 SPRINGFIELD</t>
  </si>
  <si>
    <t>JOLIET</t>
  </si>
  <si>
    <t>IL</t>
  </si>
  <si>
    <t>815-744-6200</t>
  </si>
  <si>
    <t>815-744-3822</t>
  </si>
  <si>
    <t>066-004945</t>
  </si>
  <si>
    <t>JOHN@GASSENSMITH.COM</t>
  </si>
  <si>
    <t>SERIES</t>
  </si>
  <si>
    <t>Braceville Grade School, Gardner Grade School</t>
  </si>
  <si>
    <t>Gardner South Wilmington HS</t>
  </si>
  <si>
    <t>Grundy County Vocational School</t>
  </si>
  <si>
    <t>Grundy County Special Education Cooperative</t>
  </si>
  <si>
    <t>Gardner Grade School, Gardner South Wilmington HS</t>
  </si>
  <si>
    <t>Prairie State Insurance Cooperative</t>
  </si>
  <si>
    <t>SERIES 2019</t>
  </si>
  <si>
    <t>10-4120-300</t>
  </si>
  <si>
    <t>GSEC</t>
  </si>
  <si>
    <t>Ed-payments to other districts-purch ser</t>
  </si>
  <si>
    <t>GASSENSMITH &amp; MICHALESKO, LTD.</t>
  </si>
  <si>
    <t>South Wilmington CCSD 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</si>
</sst>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24032074003</v>
      </c>
      <c r="B13" s="2019"/>
      <c r="C13" s="2019"/>
      <c r="D13" s="2019"/>
      <c r="E13" s="2019"/>
      <c r="F13" s="2019"/>
      <c r="G13" s="2019"/>
      <c r="H13" s="2020"/>
      <c r="I13" s="31"/>
      <c r="J13" s="30"/>
      <c r="K13" s="28"/>
      <c r="L13" s="30"/>
      <c r="M13" s="30"/>
      <c r="N13" s="30"/>
      <c r="O13" s="30"/>
      <c r="P13" s="30"/>
      <c r="Q13" s="30"/>
      <c r="R13" s="30"/>
      <c r="S13" s="30"/>
      <c r="T13" s="2023" t="s">
        <v>2072</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2073</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2093</v>
      </c>
      <c r="B17" s="1978"/>
      <c r="C17" s="1978"/>
      <c r="D17" s="1978"/>
      <c r="E17" s="1978"/>
      <c r="F17" s="1978"/>
      <c r="G17" s="1978"/>
      <c r="H17" s="2003"/>
      <c r="T17" s="2034" t="s">
        <v>2074</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2075</v>
      </c>
      <c r="U19" s="1942"/>
      <c r="V19" s="1942"/>
      <c r="W19" s="1943"/>
      <c r="X19" s="2032" t="s">
        <v>2076</v>
      </c>
      <c r="Y19" s="2033"/>
      <c r="Z19" s="2030">
        <v>60435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41" t="s">
        <v>2077</v>
      </c>
      <c r="U21" s="2042"/>
      <c r="V21" s="2042"/>
      <c r="W21" s="2042"/>
      <c r="X21" s="2047" t="s">
        <v>2078</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2079</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60474</v>
      </c>
      <c r="B25" s="1942"/>
      <c r="C25" s="1942"/>
      <c r="D25" s="1942"/>
      <c r="E25" s="1942"/>
      <c r="F25" s="1942"/>
      <c r="G25" s="1942"/>
      <c r="H25" s="1943"/>
      <c r="I25" s="113"/>
      <c r="J25" s="1966"/>
      <c r="K25" s="1966"/>
      <c r="L25" s="1966"/>
      <c r="M25" s="1966"/>
      <c r="N25" s="1966"/>
      <c r="O25" s="1966"/>
      <c r="P25" s="1966"/>
      <c r="Q25" s="1966"/>
      <c r="R25" s="1966"/>
      <c r="S25" s="1967"/>
      <c r="T25" s="2037" t="s">
        <v>2080</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2071</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2071</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2068</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2069</v>
      </c>
      <c r="B42" s="1961"/>
      <c r="C42" s="1962"/>
      <c r="D42" s="1960" t="s">
        <v>2070</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64" sqref="C6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442516</v>
      </c>
      <c r="C4" s="1524"/>
      <c r="D4" s="1752">
        <f>B4-C4</f>
        <v>442516</v>
      </c>
      <c r="E4" s="1524">
        <v>444821</v>
      </c>
      <c r="F4" s="1752">
        <f>E4-C4</f>
        <v>444821</v>
      </c>
    </row>
    <row r="5" spans="1:6" ht="13.7" customHeight="1" x14ac:dyDescent="0.2">
      <c r="A5" s="715" t="s">
        <v>870</v>
      </c>
      <c r="B5" s="1750">
        <f>'Revenues 9-14'!D5</f>
        <v>100158</v>
      </c>
      <c r="C5" s="585"/>
      <c r="D5" s="1753">
        <f t="shared" ref="D5:D18" si="0">B5-C5</f>
        <v>100158</v>
      </c>
      <c r="E5" s="585">
        <v>100680</v>
      </c>
      <c r="F5" s="1753">
        <f>E5-C5</f>
        <v>100680</v>
      </c>
    </row>
    <row r="6" spans="1:6" ht="13.7" customHeight="1" x14ac:dyDescent="0.2">
      <c r="A6" s="715" t="s">
        <v>411</v>
      </c>
      <c r="B6" s="1750">
        <f>'Revenues 9-14'!E5</f>
        <v>60492</v>
      </c>
      <c r="C6" s="585"/>
      <c r="D6" s="1753">
        <f t="shared" si="0"/>
        <v>60492</v>
      </c>
      <c r="E6" s="585">
        <v>31412</v>
      </c>
      <c r="F6" s="1753">
        <f t="shared" ref="F6:F18" si="1">E6-C6</f>
        <v>31412</v>
      </c>
    </row>
    <row r="7" spans="1:6" ht="13.7" customHeight="1" x14ac:dyDescent="0.2">
      <c r="A7" s="715" t="s">
        <v>155</v>
      </c>
      <c r="B7" s="1750">
        <f>'Revenues 9-14'!F5</f>
        <v>29137</v>
      </c>
      <c r="C7" s="585"/>
      <c r="D7" s="1753">
        <f t="shared" si="0"/>
        <v>29137</v>
      </c>
      <c r="E7" s="585">
        <v>29289</v>
      </c>
      <c r="F7" s="1753">
        <f t="shared" si="1"/>
        <v>29289</v>
      </c>
    </row>
    <row r="8" spans="1:6" ht="13.7" customHeight="1" x14ac:dyDescent="0.2">
      <c r="A8" s="715" t="s">
        <v>1179</v>
      </c>
      <c r="B8" s="1750">
        <f>'Revenues 9-14'!G5</f>
        <v>10470</v>
      </c>
      <c r="C8" s="585"/>
      <c r="D8" s="1753">
        <f t="shared" si="0"/>
        <v>10470</v>
      </c>
      <c r="E8" s="585">
        <v>9500</v>
      </c>
      <c r="F8" s="1753">
        <f t="shared" si="1"/>
        <v>9500</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9105</v>
      </c>
      <c r="C10" s="585"/>
      <c r="D10" s="1753">
        <f t="shared" si="0"/>
        <v>9105</v>
      </c>
      <c r="E10" s="585">
        <v>9153</v>
      </c>
      <c r="F10" s="1753">
        <f t="shared" si="1"/>
        <v>9153</v>
      </c>
    </row>
    <row r="11" spans="1:6" x14ac:dyDescent="0.2">
      <c r="A11" s="715" t="s">
        <v>409</v>
      </c>
      <c r="B11" s="1750">
        <f>'Revenues 9-14'!J5</f>
        <v>52841</v>
      </c>
      <c r="C11" s="585"/>
      <c r="D11" s="1753">
        <f t="shared" si="0"/>
        <v>52841</v>
      </c>
      <c r="E11" s="585">
        <v>45013</v>
      </c>
      <c r="F11" s="1753">
        <f t="shared" si="1"/>
        <v>45013</v>
      </c>
    </row>
    <row r="12" spans="1:6" ht="13.7" customHeight="1" x14ac:dyDescent="0.2">
      <c r="A12" s="715" t="s">
        <v>157</v>
      </c>
      <c r="B12" s="1750">
        <f>'Revenues 9-14'!K5</f>
        <v>9105</v>
      </c>
      <c r="C12" s="585"/>
      <c r="D12" s="1753">
        <f t="shared" si="0"/>
        <v>9105</v>
      </c>
      <c r="E12" s="585">
        <v>9153</v>
      </c>
      <c r="F12" s="1753">
        <f t="shared" si="1"/>
        <v>9153</v>
      </c>
    </row>
    <row r="13" spans="1:6" ht="13.7" customHeight="1" x14ac:dyDescent="0.2">
      <c r="A13" s="715" t="s">
        <v>936</v>
      </c>
      <c r="B13" s="1750">
        <f>SUM('Revenues 9-14'!C6:D6)</f>
        <v>9105</v>
      </c>
      <c r="C13" s="585"/>
      <c r="D13" s="1753">
        <f t="shared" si="0"/>
        <v>9105</v>
      </c>
      <c r="E13" s="585">
        <v>9153</v>
      </c>
      <c r="F13" s="1753">
        <f t="shared" si="1"/>
        <v>9153</v>
      </c>
    </row>
    <row r="14" spans="1:6" ht="13.7" customHeight="1" x14ac:dyDescent="0.2">
      <c r="A14" s="715" t="s">
        <v>410</v>
      </c>
      <c r="B14" s="1750">
        <f>SUM('Revenues 9-14'!C7:D7,'Revenues 9-14'!F7:H7)</f>
        <v>3642</v>
      </c>
      <c r="C14" s="585"/>
      <c r="D14" s="1753">
        <f t="shared" si="0"/>
        <v>3642</v>
      </c>
      <c r="E14" s="585">
        <v>3661</v>
      </c>
      <c r="F14" s="1753">
        <f t="shared" si="1"/>
        <v>3661</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13460</v>
      </c>
      <c r="C16" s="585"/>
      <c r="D16" s="1753">
        <f t="shared" si="0"/>
        <v>13460</v>
      </c>
      <c r="E16" s="585">
        <v>12503</v>
      </c>
      <c r="F16" s="1753">
        <f t="shared" si="1"/>
        <v>12503</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740031</v>
      </c>
      <c r="C19" s="1751">
        <f>SUM(C4:C18)</f>
        <v>0</v>
      </c>
      <c r="D19" s="1751">
        <f>SUM(D4:D18)</f>
        <v>740031</v>
      </c>
      <c r="E19" s="1751">
        <f>SUM(E4:E18)</f>
        <v>704338</v>
      </c>
      <c r="F19" s="1751">
        <f>SUM(F4:F18)</f>
        <v>704338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C64" sqref="C6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42551</v>
      </c>
      <c r="C31" s="734">
        <v>120000</v>
      </c>
      <c r="D31" s="735">
        <v>1</v>
      </c>
      <c r="E31" s="734">
        <v>60000</v>
      </c>
      <c r="F31" s="734"/>
      <c r="G31" s="734"/>
      <c r="H31" s="734">
        <v>60000</v>
      </c>
      <c r="I31" s="1756">
        <f>((E31+F31)-H31)+G31</f>
        <v>0</v>
      </c>
      <c r="J31" s="734">
        <v>0</v>
      </c>
      <c r="K31" s="736"/>
    </row>
    <row r="32" spans="1:11" ht="12" customHeight="1" x14ac:dyDescent="0.2">
      <c r="A32" s="732" t="s">
        <v>2088</v>
      </c>
      <c r="B32" s="733">
        <v>43543</v>
      </c>
      <c r="C32" s="734">
        <v>135000</v>
      </c>
      <c r="D32" s="735">
        <v>1</v>
      </c>
      <c r="E32" s="734"/>
      <c r="F32" s="734">
        <v>135000</v>
      </c>
      <c r="G32" s="734"/>
      <c r="H32" s="734"/>
      <c r="I32" s="1756">
        <f>((E32+F32)-H32)+G32</f>
        <v>135000</v>
      </c>
      <c r="J32" s="734">
        <v>135000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255000</v>
      </c>
      <c r="D49" s="745"/>
      <c r="E49" s="1756">
        <f t="shared" ref="E49:J49" si="2">SUM(E31:E48)</f>
        <v>60000</v>
      </c>
      <c r="F49" s="1756">
        <f t="shared" si="2"/>
        <v>135000</v>
      </c>
      <c r="G49" s="1756">
        <f t="shared" si="2"/>
        <v>0</v>
      </c>
      <c r="H49" s="1756">
        <f t="shared" si="2"/>
        <v>60000</v>
      </c>
      <c r="I49" s="1756">
        <f t="shared" si="2"/>
        <v>135000</v>
      </c>
      <c r="J49" s="1756">
        <f t="shared" si="2"/>
        <v>135000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64" sqref="C6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3642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3642</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3642</v>
      </c>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3642</v>
      </c>
      <c r="I23" s="1758">
        <f>SUM(I14:I16,I21,I22)</f>
        <v>0</v>
      </c>
      <c r="J23" s="1758">
        <f>SUM(J14:J16,J21,J22)</f>
        <v>0</v>
      </c>
      <c r="K23" s="1758">
        <f>SUM(K14:K16,K21,K22)</f>
        <v>0</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C64" sqref="C6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10000</v>
      </c>
      <c r="D5" s="841"/>
      <c r="E5" s="841"/>
      <c r="F5" s="1760">
        <f>(C5+D5)-E5</f>
        <v>10000</v>
      </c>
      <c r="G5" s="837"/>
      <c r="H5" s="842"/>
      <c r="I5" s="842"/>
      <c r="J5" s="842"/>
      <c r="K5" s="793"/>
      <c r="L5" s="1769">
        <f>F5-K5</f>
        <v>10000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325344</v>
      </c>
      <c r="D8" s="844"/>
      <c r="E8" s="844"/>
      <c r="F8" s="1760">
        <f>(C8+D8)-E8</f>
        <v>325344</v>
      </c>
      <c r="G8" s="843">
        <v>50</v>
      </c>
      <c r="H8" s="765">
        <v>152144</v>
      </c>
      <c r="I8" s="765">
        <v>6507</v>
      </c>
      <c r="J8" s="765"/>
      <c r="K8" s="1769">
        <f>(H8+I8)-J8</f>
        <v>158651</v>
      </c>
      <c r="L8" s="1769">
        <f>F8-K8</f>
        <v>166693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105796</v>
      </c>
      <c r="D10" s="846">
        <v>3200</v>
      </c>
      <c r="E10" s="846"/>
      <c r="F10" s="1764">
        <f>(C10+D10)-E10</f>
        <v>108996</v>
      </c>
      <c r="G10" s="843">
        <v>20</v>
      </c>
      <c r="H10" s="847">
        <v>55204</v>
      </c>
      <c r="I10" s="847">
        <v>3827</v>
      </c>
      <c r="J10" s="847"/>
      <c r="K10" s="1769">
        <f>(H10+I10)-J10</f>
        <v>59031</v>
      </c>
      <c r="L10" s="1769">
        <f>F10-K10</f>
        <v>49965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282329</v>
      </c>
      <c r="D12" s="844">
        <f>1158+5660+1807</f>
        <v>8625</v>
      </c>
      <c r="E12" s="844"/>
      <c r="F12" s="1760">
        <f>(C12+D12)-E12</f>
        <v>290954</v>
      </c>
      <c r="G12" s="843">
        <v>10</v>
      </c>
      <c r="H12" s="765">
        <v>275562</v>
      </c>
      <c r="I12" s="765">
        <v>2204</v>
      </c>
      <c r="J12" s="765"/>
      <c r="K12" s="1769">
        <f>(H12+I12)-J12</f>
        <v>277766</v>
      </c>
      <c r="L12" s="1769">
        <f>F12-K12</f>
        <v>13188</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723469</v>
      </c>
      <c r="D16" s="1760">
        <f>SUM(D3,D5:D6,D8:D10,D12:D15)</f>
        <v>11825</v>
      </c>
      <c r="E16" s="1760">
        <f>SUM(E3,E5:E6,E8:E10,E12:E15)</f>
        <v>0</v>
      </c>
      <c r="F16" s="1760">
        <f>SUM(F3,F5:F6,F8:F10,F12:F15)</f>
        <v>735294</v>
      </c>
      <c r="G16" s="843"/>
      <c r="H16" s="1760">
        <f>SUM(H3,H6,H8:H10,H12:H14,)</f>
        <v>482910</v>
      </c>
      <c r="I16" s="1760">
        <f>SUM(I3,I6,I8:I10,I12:I14,)</f>
        <v>12538</v>
      </c>
      <c r="J16" s="1760">
        <f>SUM(J3,J6,J8:J10,J12:J14,)</f>
        <v>0</v>
      </c>
      <c r="K16" s="1760">
        <f>(H16+I16)-J16</f>
        <v>495448</v>
      </c>
      <c r="L16" s="1760">
        <f>F16-K16</f>
        <v>239846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6320</v>
      </c>
      <c r="G17" s="837">
        <v>10</v>
      </c>
      <c r="H17" s="769"/>
      <c r="I17" s="1769">
        <f>F17/G17</f>
        <v>632</v>
      </c>
      <c r="J17" s="769"/>
      <c r="K17" s="795"/>
      <c r="L17" s="795"/>
    </row>
    <row r="18" spans="1:12" ht="14.25" thickTop="1" thickBot="1" x14ac:dyDescent="0.25">
      <c r="A18" s="1767" t="s">
        <v>685</v>
      </c>
      <c r="B18" s="1768"/>
      <c r="C18" s="771"/>
      <c r="D18" s="771"/>
      <c r="E18" s="771"/>
      <c r="F18" s="850"/>
      <c r="G18" s="851"/>
      <c r="H18" s="773"/>
      <c r="I18" s="1760">
        <f>SUM(I16,I17)</f>
        <v>13170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C64" sqref="C64"/>
      <selection pane="bottomLeft" activeCell="C64" sqref="C6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800644</v>
      </c>
      <c r="G8" s="865"/>
    </row>
    <row r="9" spans="1:7" x14ac:dyDescent="0.2">
      <c r="A9" s="869" t="s">
        <v>460</v>
      </c>
      <c r="B9" s="870" t="s">
        <v>1877</v>
      </c>
      <c r="C9" s="871"/>
      <c r="D9" s="869" t="s">
        <v>501</v>
      </c>
      <c r="E9" s="868"/>
      <c r="F9" s="1909">
        <f>'Expenditures 15-22'!K151</f>
        <v>89703</v>
      </c>
      <c r="G9" s="872"/>
    </row>
    <row r="10" spans="1:7" x14ac:dyDescent="0.2">
      <c r="A10" s="869" t="s">
        <v>499</v>
      </c>
      <c r="B10" s="870" t="s">
        <v>1878</v>
      </c>
      <c r="C10" s="871"/>
      <c r="D10" s="869" t="s">
        <v>501</v>
      </c>
      <c r="E10" s="868"/>
      <c r="F10" s="1909">
        <f>'Expenditures 15-22'!K174</f>
        <v>60675</v>
      </c>
      <c r="G10" s="872"/>
    </row>
    <row r="11" spans="1:7" x14ac:dyDescent="0.2">
      <c r="A11" s="869" t="s">
        <v>461</v>
      </c>
      <c r="B11" s="870" t="s">
        <v>1879</v>
      </c>
      <c r="C11" s="871"/>
      <c r="D11" s="869" t="s">
        <v>501</v>
      </c>
      <c r="E11" s="868"/>
      <c r="F11" s="1909">
        <f>'Expenditures 15-22'!K210</f>
        <v>107945</v>
      </c>
      <c r="G11" s="872"/>
    </row>
    <row r="12" spans="1:7" x14ac:dyDescent="0.2">
      <c r="A12" s="869" t="s">
        <v>462</v>
      </c>
      <c r="B12" s="870" t="s">
        <v>1880</v>
      </c>
      <c r="C12" s="871"/>
      <c r="D12" s="869" t="s">
        <v>501</v>
      </c>
      <c r="E12" s="868"/>
      <c r="F12" s="1909">
        <f>'Expenditures 15-22'!K295</f>
        <v>22054</v>
      </c>
      <c r="G12" s="872"/>
    </row>
    <row r="13" spans="1:7" x14ac:dyDescent="0.2">
      <c r="A13" s="869" t="s">
        <v>106</v>
      </c>
      <c r="B13" s="870" t="s">
        <v>1881</v>
      </c>
      <c r="C13" s="871"/>
      <c r="D13" s="869" t="s">
        <v>501</v>
      </c>
      <c r="E13" s="868"/>
      <c r="F13" s="1909">
        <f>'Expenditures 15-22'!K342</f>
        <v>43285</v>
      </c>
      <c r="G13" s="873"/>
    </row>
    <row r="14" spans="1:7" ht="12" customHeight="1" thickBot="1" x14ac:dyDescent="0.25">
      <c r="A14" s="1770"/>
      <c r="B14" s="1771"/>
      <c r="C14" s="1772"/>
      <c r="D14" s="1773" t="s">
        <v>501</v>
      </c>
      <c r="E14" s="1774" t="s">
        <v>958</v>
      </c>
      <c r="F14" s="1775">
        <f>SUM(F8:F13)</f>
        <v>1124306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195158</v>
      </c>
      <c r="G53" s="865"/>
    </row>
    <row r="54" spans="1:7" x14ac:dyDescent="0.2">
      <c r="A54" s="869" t="s">
        <v>459</v>
      </c>
      <c r="B54" s="869" t="s">
        <v>1476</v>
      </c>
      <c r="C54" s="889" t="s">
        <v>982</v>
      </c>
      <c r="D54" s="885" t="s">
        <v>1095</v>
      </c>
      <c r="E54" s="868"/>
      <c r="F54" s="1913">
        <f>'Expenditures 15-22'!G114</f>
        <v>7636</v>
      </c>
      <c r="G54" s="865"/>
    </row>
    <row r="55" spans="1:7" x14ac:dyDescent="0.2">
      <c r="A55" s="869" t="s">
        <v>459</v>
      </c>
      <c r="B55" s="869" t="s">
        <v>1477</v>
      </c>
      <c r="C55" s="889" t="s">
        <v>982</v>
      </c>
      <c r="D55" s="885" t="s">
        <v>291</v>
      </c>
      <c r="E55" s="868"/>
      <c r="F55" s="1913">
        <f>'Expenditures 15-22'!I114</f>
        <v>6320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14292</v>
      </c>
      <c r="G57" s="865"/>
    </row>
    <row r="58" spans="1:7" x14ac:dyDescent="0.2">
      <c r="A58" s="869" t="s">
        <v>460</v>
      </c>
      <c r="B58" s="869" t="s">
        <v>1883</v>
      </c>
      <c r="C58" s="886" t="s">
        <v>982</v>
      </c>
      <c r="D58" s="885" t="s">
        <v>1095</v>
      </c>
      <c r="E58" s="868"/>
      <c r="F58" s="1915">
        <f>'Expenditures 15-22'!G151</f>
        <v>4358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60000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5035</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292799</v>
      </c>
      <c r="G76" s="865"/>
    </row>
    <row r="77" spans="1:8" s="893" customFormat="1" ht="12" customHeight="1" thickTop="1" thickBot="1" x14ac:dyDescent="0.25">
      <c r="A77" s="1779"/>
      <c r="B77" s="1776"/>
      <c r="C77" s="1772"/>
      <c r="D77" s="1777" t="s">
        <v>1900</v>
      </c>
      <c r="E77" s="1774"/>
      <c r="F77" s="1780">
        <f>(F14-F76)</f>
        <v>831507</v>
      </c>
      <c r="G77" s="869"/>
    </row>
    <row r="78" spans="1:8" s="893" customFormat="1" ht="12" customHeight="1" thickTop="1" x14ac:dyDescent="0.2">
      <c r="A78" s="1781"/>
      <c r="B78" s="1776"/>
      <c r="C78" s="1772"/>
      <c r="D78" s="1777" t="s">
        <v>2062</v>
      </c>
      <c r="E78" s="1774"/>
      <c r="F78" s="898">
        <v>71</v>
      </c>
      <c r="G78" s="899"/>
      <c r="H78" s="869"/>
    </row>
    <row r="79" spans="1:8" s="893" customFormat="1" ht="12" customHeight="1" thickBot="1" x14ac:dyDescent="0.25">
      <c r="A79" s="1782"/>
      <c r="B79" s="1776"/>
      <c r="C79" s="1772"/>
      <c r="D79" s="1777" t="s">
        <v>1901</v>
      </c>
      <c r="E79" s="1774" t="s">
        <v>958</v>
      </c>
      <c r="F79" s="1783">
        <f>IF(F78&gt;0,F77/F78," Complete Line 78")</f>
        <v>11711.366197183099</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14610</v>
      </c>
      <c r="G94" s="912"/>
    </row>
    <row r="95" spans="1:7" x14ac:dyDescent="0.2">
      <c r="A95" s="908" t="s">
        <v>140</v>
      </c>
      <c r="B95" s="908" t="s">
        <v>175</v>
      </c>
      <c r="C95" s="910">
        <v>1700</v>
      </c>
      <c r="D95" s="918" t="str">
        <f>'Revenues 9-14'!A82</f>
        <v>Total District/School Activity Income</v>
      </c>
      <c r="E95" s="906"/>
      <c r="F95" s="1789">
        <f>SUM('Revenues 9-14'!C82,'Revenues 9-14'!D82)</f>
        <v>419</v>
      </c>
      <c r="G95" s="912"/>
    </row>
    <row r="96" spans="1:7" x14ac:dyDescent="0.2">
      <c r="A96" s="908" t="s">
        <v>459</v>
      </c>
      <c r="B96" s="908" t="s">
        <v>176</v>
      </c>
      <c r="C96" s="910">
        <f>'Revenues 9-14'!B84</f>
        <v>1811</v>
      </c>
      <c r="D96" s="911" t="str">
        <f>'Revenues 9-14'!A84</f>
        <v>Rentals - Regular Textbooks</v>
      </c>
      <c r="E96" s="906"/>
      <c r="F96" s="1789">
        <f>'Revenues 9-14'!C84</f>
        <v>5585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15242</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61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40226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16569</v>
      </c>
      <c r="G124" s="930"/>
    </row>
    <row r="125" spans="1:7" x14ac:dyDescent="0.2">
      <c r="A125" s="927" t="s">
        <v>664</v>
      </c>
      <c r="B125" s="927" t="s">
        <v>2023</v>
      </c>
      <c r="C125" s="932">
        <v>4200</v>
      </c>
      <c r="D125" s="929" t="str">
        <f>'Revenues 9-14'!A198</f>
        <v>Total Food Service</v>
      </c>
      <c r="E125" s="906"/>
      <c r="F125" s="1789">
        <f>SUM('Revenues 9-14'!C198,'Revenues 9-14'!G198)</f>
        <v>5273</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9066</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1523</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150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5087</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17778</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131589</v>
      </c>
    </row>
    <row r="175" spans="1:7" ht="12" customHeight="1" x14ac:dyDescent="0.2">
      <c r="A175" s="1770"/>
      <c r="B175" s="1784"/>
      <c r="C175" s="1785"/>
      <c r="D175" s="1786" t="s">
        <v>2057</v>
      </c>
      <c r="E175" s="1787"/>
      <c r="F175" s="1789">
        <f>'PCTC-OEPP 27-28'!F77-F174</f>
        <v>699918</v>
      </c>
    </row>
    <row r="176" spans="1:7" ht="12" customHeight="1" x14ac:dyDescent="0.2">
      <c r="A176" s="1770"/>
      <c r="B176" s="1784"/>
      <c r="C176" s="1785"/>
      <c r="D176" s="1786" t="s">
        <v>1817</v>
      </c>
      <c r="E176" s="1787"/>
      <c r="F176" s="1789">
        <f>'Cap Outlay Deprec 26'!I18</f>
        <v>13170</v>
      </c>
    </row>
    <row r="177" spans="1:7" ht="12" customHeight="1" x14ac:dyDescent="0.2">
      <c r="A177" s="1770"/>
      <c r="B177" s="1784"/>
      <c r="C177" s="1785"/>
      <c r="D177" s="1786" t="s">
        <v>2058</v>
      </c>
      <c r="E177" s="1787"/>
      <c r="F177" s="1789">
        <f>F175+F176</f>
        <v>713088</v>
      </c>
    </row>
    <row r="178" spans="1:7" ht="12" customHeight="1" x14ac:dyDescent="0.2">
      <c r="A178" s="1770"/>
      <c r="B178" s="1790"/>
      <c r="C178" s="1785"/>
      <c r="D178" s="1786" t="str">
        <f>D78</f>
        <v>9 Month ADA from District Average Daily Attendance/Prior General State Aid Inquiry 2018-2019</v>
      </c>
      <c r="E178" s="1787"/>
      <c r="F178" s="1791">
        <f>'PCTC-OEPP 27-28'!F78</f>
        <v>71</v>
      </c>
      <c r="G178" s="930"/>
    </row>
    <row r="179" spans="1:7" ht="12" customHeight="1" thickBot="1" x14ac:dyDescent="0.25">
      <c r="A179" s="1770"/>
      <c r="B179" s="1790"/>
      <c r="C179" s="1785"/>
      <c r="D179" s="1786" t="s">
        <v>2059</v>
      </c>
      <c r="E179" s="1787" t="s">
        <v>1545</v>
      </c>
      <c r="F179" s="1792">
        <f>F177/F178</f>
        <v>10043.492957746479</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64" sqref="C6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0" t="s">
        <v>2091</v>
      </c>
      <c r="B17" s="1938" t="s">
        <v>2089</v>
      </c>
      <c r="C17" s="1939" t="s">
        <v>2090</v>
      </c>
      <c r="D17" s="1844">
        <v>161417</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161417</v>
      </c>
      <c r="E141" s="1541">
        <f t="shared" si="0"/>
        <v>25000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64" sqref="C6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13192</v>
      </c>
      <c r="F10" s="974"/>
      <c r="G10" s="975"/>
      <c r="H10" s="162"/>
      <c r="I10" s="162"/>
    </row>
    <row r="11" spans="1:9" s="668" customFormat="1" ht="22.5" customHeight="1" x14ac:dyDescent="0.2">
      <c r="A11" s="2287" t="s">
        <v>1977</v>
      </c>
      <c r="B11" s="2288"/>
      <c r="C11" s="2288"/>
      <c r="D11" s="2289"/>
      <c r="E11" s="977">
        <v>1515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420366</v>
      </c>
      <c r="F19" s="1799"/>
      <c r="G19" s="1801">
        <f>'Expenditures 15-22'!K33-SUM('Expenditures 15-22'!G33,'Expenditures 15-22'!I33)+'Expenditures 15-22'!D229</f>
        <v>420366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3390</v>
      </c>
      <c r="F21" s="1802"/>
      <c r="G21" s="1805">
        <f>'Expenditures 15-22'!K42-SUM('Expenditures 15-22'!G42,'Expenditures 15-22'!I42)+'Expenditures 15-22'!K120-SUM('Expenditures 15-22'!G120,'Expenditures 15-22'!I120)+'Expenditures 15-22'!K180-SUM('Expenditures 15-22'!G180,'Expenditures 15-22'!I180)+'Expenditures 15-22'!D238</f>
        <v>3390</v>
      </c>
      <c r="H21" s="987"/>
      <c r="I21" s="162"/>
    </row>
    <row r="22" spans="1:9" s="668" customFormat="1" ht="12" customHeight="1" x14ac:dyDescent="0.2">
      <c r="A22" s="994" t="s">
        <v>564</v>
      </c>
      <c r="B22" s="995"/>
      <c r="C22" s="993">
        <v>2200</v>
      </c>
      <c r="D22" s="1802"/>
      <c r="E22" s="1804">
        <f>'Expenditures 15-22'!K47-SUM('Expenditures 15-22'!G47,'Expenditures 15-22'!I47)+'Expenditures 15-22'!D243</f>
        <v>7526</v>
      </c>
      <c r="F22" s="1802"/>
      <c r="G22" s="1805">
        <f>'Expenditures 15-22'!K47-SUM('Expenditures 15-22'!G47,'Expenditures 15-22'!I47)+'Expenditures 15-22'!D243</f>
        <v>7526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74118</v>
      </c>
      <c r="F23" s="1802"/>
      <c r="G23" s="1804">
        <f>'Expenditures 15-22'!K53-SUM('Expenditures 15-22'!G53,'Expenditures 15-22'!I53)+'Expenditures 15-22'!D257+'Expenditures 15-22'!K330-SUM('Expenditures 15-22'!G330,'Expenditures 15-22'!I330)</f>
        <v>74118</v>
      </c>
      <c r="H23" s="987"/>
      <c r="I23" s="162"/>
    </row>
    <row r="24" spans="1:9" s="668" customFormat="1" ht="12" customHeight="1" x14ac:dyDescent="0.2">
      <c r="A24" s="994" t="s">
        <v>566</v>
      </c>
      <c r="B24" s="995"/>
      <c r="C24" s="993">
        <v>2400</v>
      </c>
      <c r="D24" s="1802"/>
      <c r="E24" s="1804">
        <f>'Expenditures 15-22'!K57-SUM('Expenditures 15-22'!G57,'Expenditures 15-22'!I57)+'Expenditures 15-22'!D261</f>
        <v>110326</v>
      </c>
      <c r="F24" s="1802"/>
      <c r="G24" s="1805">
        <f>'Expenditures 15-22'!K57-SUM('Expenditures 15-22'!G57,'Expenditures 15-22'!I57)+'Expenditures 15-22'!D261</f>
        <v>110326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5765</v>
      </c>
      <c r="E27" s="1804">
        <f>E8</f>
        <v>0</v>
      </c>
      <c r="F27" s="1804">
        <f>'Expenditures 15-22'!K60-SUM('Expenditures 15-22'!G60,'Expenditures 15-22'!I60)+'Expenditures 15-22'!D264-E8</f>
        <v>5765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78397</v>
      </c>
      <c r="F28" s="1806">
        <f>'Expenditures 15-22'!K61-SUM('Expenditures 15-22'!G61,'Expenditures 15-22'!I61)+'Expenditures 15-22'!K124-SUM('Expenditures 15-22'!G124,'Expenditures 15-22'!I124)+'Expenditures 15-22'!D266-E9</f>
        <v>78397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102910</v>
      </c>
      <c r="F29" s="1802"/>
      <c r="G29" s="1805">
        <f>'Expenditures 15-22'!K62-SUM('Expenditures 15-22'!G62,'Expenditures 15-22'!I62)+'Expenditures 15-22'!K125-SUM('Expenditures 15-22'!G125,'Expenditures 15-22'!I125)+'Expenditures 15-22'!K182-SUM('Expenditures 15-22'!G182,'Expenditures 15-22'!I182)+'Expenditures 15-22'!D267</f>
        <v>102910</v>
      </c>
      <c r="H29" s="985"/>
    </row>
    <row r="30" spans="1:9" ht="12" customHeight="1" x14ac:dyDescent="0.2">
      <c r="A30" s="994" t="s">
        <v>100</v>
      </c>
      <c r="B30" s="997"/>
      <c r="C30" s="993">
        <v>2560</v>
      </c>
      <c r="D30" s="1802"/>
      <c r="E30" s="1804">
        <f>'Expenditures 15-22'!K63-SUM('Expenditures 15-22'!G63,'Expenditures 15-22'!I63)+'Expenditures 15-22'!D268-E10</f>
        <v>9448</v>
      </c>
      <c r="F30" s="1802"/>
      <c r="G30" s="1804">
        <f>'Expenditures 15-22'!K63-SUM('Expenditures 15-22'!G63,'Expenditures 15-22'!I63)+'Expenditures 15-22'!D268-E10</f>
        <v>9448</v>
      </c>
    </row>
    <row r="31" spans="1:9" ht="12" customHeight="1" x14ac:dyDescent="0.2">
      <c r="A31" s="994" t="s">
        <v>101</v>
      </c>
      <c r="B31" s="997"/>
      <c r="C31" s="993">
        <v>2570</v>
      </c>
      <c r="D31" s="1804">
        <f>'Expenditures 15-22'!K64-SUM('Expenditures 15-22'!G64,'Expenditures 15-22'!I64)+'Expenditures 15-22'!D269-E12</f>
        <v>4081</v>
      </c>
      <c r="E31" s="1804">
        <f>E12</f>
        <v>0</v>
      </c>
      <c r="F31" s="1804">
        <f>'Expenditures 15-22'!K64-SUM('Expenditures 15-22'!G64,'Expenditures 15-22'!I64)+'Expenditures 15-22'!D269-E12</f>
        <v>4081</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1313</v>
      </c>
      <c r="F35" s="1802"/>
      <c r="G35" s="1804">
        <f>'Expenditures 15-22'!K69-SUM('Expenditures 15-22'!G69,'Expenditures 15-22'!I69)+'Expenditures 15-22'!D274</f>
        <v>1313</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9846</v>
      </c>
      <c r="E41" s="1806">
        <f>SUM(E19:E40)</f>
        <v>807794</v>
      </c>
      <c r="F41" s="1806">
        <f>SUM(F19:F39)</f>
        <v>88243</v>
      </c>
      <c r="G41" s="1806">
        <f>SUM(G19:G40)</f>
        <v>729397</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9846</v>
      </c>
      <c r="F43" s="1807" t="s">
        <v>473</v>
      </c>
      <c r="G43" s="1808">
        <f>F41</f>
        <v>88243</v>
      </c>
    </row>
    <row r="44" spans="1:7" ht="12" customHeight="1" x14ac:dyDescent="0.2">
      <c r="A44" s="987"/>
      <c r="B44" s="162"/>
      <c r="C44" s="1001"/>
      <c r="D44" s="1807" t="s">
        <v>474</v>
      </c>
      <c r="E44" s="1808">
        <f>E41</f>
        <v>807794</v>
      </c>
      <c r="F44" s="1807" t="s">
        <v>474</v>
      </c>
      <c r="G44" s="1808">
        <f>G41</f>
        <v>729397</v>
      </c>
    </row>
    <row r="45" spans="1:7" ht="12" customHeight="1" x14ac:dyDescent="0.2">
      <c r="A45" s="987"/>
      <c r="B45" s="162"/>
      <c r="C45" s="162"/>
      <c r="D45" s="1809" t="s">
        <v>1006</v>
      </c>
      <c r="E45" s="1810">
        <f>(E43/E44)</f>
        <v>1.2188751092481499E-2</v>
      </c>
      <c r="F45" s="1809" t="s">
        <v>1006</v>
      </c>
      <c r="G45" s="1810">
        <f>(G43/G44)</f>
        <v>0.12098075533625721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C64" sqref="C64"/>
      <selection pane="bottomLeft" activeCell="C64" sqref="C6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South Wilmington CCSD 74</v>
      </c>
      <c r="D6" s="2308"/>
      <c r="E6" s="2308"/>
      <c r="F6" s="1852"/>
    </row>
    <row r="7" spans="1:10" ht="11.25" customHeight="1" thickBot="1" x14ac:dyDescent="0.3">
      <c r="A7" s="1850"/>
      <c r="B7" s="1851"/>
      <c r="C7" s="2309">
        <f>COVER!A13</f>
        <v>24032074003</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2071</v>
      </c>
      <c r="D11" s="1865" t="s">
        <v>2071</v>
      </c>
      <c r="E11" s="1866"/>
      <c r="F11" s="1867" t="s">
        <v>2086</v>
      </c>
      <c r="H11" s="1878">
        <f>IF(C11="X",5,0)</f>
        <v>5</v>
      </c>
      <c r="I11" s="1878">
        <f>IF(D11="X",5,0)</f>
        <v>5</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2071</v>
      </c>
      <c r="D13" s="1865" t="s">
        <v>2071</v>
      </c>
      <c r="E13" s="1868"/>
      <c r="F13" s="1867" t="s">
        <v>2086</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t="s">
        <v>2071</v>
      </c>
      <c r="D20" s="1865" t="s">
        <v>2071</v>
      </c>
      <c r="E20" s="1868"/>
      <c r="F20" s="1867" t="s">
        <v>2087</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2071</v>
      </c>
      <c r="D24" s="1865" t="s">
        <v>2071</v>
      </c>
      <c r="E24" s="1868"/>
      <c r="F24" s="1867" t="s">
        <v>2082</v>
      </c>
      <c r="H24" s="1878">
        <f t="shared" si="0"/>
        <v>5</v>
      </c>
      <c r="I24" s="1878">
        <f t="shared" si="1"/>
        <v>5</v>
      </c>
      <c r="J24" s="1878">
        <f t="shared" si="2"/>
        <v>0</v>
      </c>
    </row>
    <row r="25" spans="1:12" ht="12" customHeight="1" x14ac:dyDescent="0.2">
      <c r="A25" s="1863" t="s">
        <v>1533</v>
      </c>
      <c r="B25" s="1864"/>
      <c r="C25" s="1865" t="s">
        <v>2071</v>
      </c>
      <c r="D25" s="1865" t="s">
        <v>2071</v>
      </c>
      <c r="E25" s="1868"/>
      <c r="F25" s="1867" t="s">
        <v>2086</v>
      </c>
      <c r="H25" s="1878">
        <f t="shared" si="0"/>
        <v>5</v>
      </c>
      <c r="I25" s="1878">
        <f t="shared" si="1"/>
        <v>5</v>
      </c>
      <c r="J25" s="1878">
        <f t="shared" si="2"/>
        <v>0</v>
      </c>
    </row>
    <row r="26" spans="1:12" ht="12" customHeight="1" x14ac:dyDescent="0.2">
      <c r="A26" s="1863" t="s">
        <v>1534</v>
      </c>
      <c r="B26" s="1864"/>
      <c r="C26" s="1865" t="s">
        <v>2071</v>
      </c>
      <c r="D26" s="1865" t="s">
        <v>2071</v>
      </c>
      <c r="E26" s="1868"/>
      <c r="F26" s="1867" t="s">
        <v>2085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2071</v>
      </c>
      <c r="D28" s="1865" t="s">
        <v>2071</v>
      </c>
      <c r="E28" s="1868"/>
      <c r="F28" s="1867" t="s">
        <v>2084</v>
      </c>
      <c r="H28" s="1878">
        <f t="shared" si="0"/>
        <v>5</v>
      </c>
      <c r="I28" s="1878">
        <f t="shared" si="1"/>
        <v>5</v>
      </c>
      <c r="J28" s="1878">
        <f t="shared" si="2"/>
        <v>0</v>
      </c>
    </row>
    <row r="29" spans="1:12" ht="12" customHeight="1" x14ac:dyDescent="0.2">
      <c r="A29" s="1863" t="s">
        <v>1537</v>
      </c>
      <c r="B29" s="1864"/>
      <c r="C29" s="1865" t="s">
        <v>2071</v>
      </c>
      <c r="D29" s="1865" t="s">
        <v>2071</v>
      </c>
      <c r="E29" s="1868"/>
      <c r="F29" s="1867" t="s">
        <v>2083</v>
      </c>
      <c r="H29" s="1878">
        <f t="shared" si="0"/>
        <v>5</v>
      </c>
      <c r="I29" s="1878">
        <f t="shared" si="1"/>
        <v>5</v>
      </c>
      <c r="J29" s="1878">
        <f t="shared" si="2"/>
        <v>0</v>
      </c>
    </row>
    <row r="30" spans="1:12" ht="12" customHeight="1" x14ac:dyDescent="0.2">
      <c r="A30" s="1863" t="s">
        <v>1538</v>
      </c>
      <c r="B30" s="1864"/>
      <c r="C30" s="1865" t="s">
        <v>2071</v>
      </c>
      <c r="D30" s="1865" t="s">
        <v>2071</v>
      </c>
      <c r="E30" s="1868"/>
      <c r="F30" s="1867" t="s">
        <v>2082</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2071</v>
      </c>
      <c r="D32" s="1865" t="s">
        <v>2071</v>
      </c>
      <c r="E32" s="1868"/>
      <c r="F32" s="1867" t="s">
        <v>2082</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50</v>
      </c>
      <c r="I34" s="1878">
        <f>SUM(I11:I32)</f>
        <v>50</v>
      </c>
      <c r="J34" s="1878">
        <f>SUM(J11:J32)</f>
        <v>0</v>
      </c>
      <c r="K34" s="1878">
        <f>SUM(H34:J34)</f>
        <v>100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64" sqref="C6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South Wilmington CCSD 74</v>
      </c>
      <c r="J6" s="2318"/>
      <c r="Q6" s="1664"/>
    </row>
    <row r="7" spans="1:17" x14ac:dyDescent="0.2">
      <c r="A7" s="2319" t="s">
        <v>869</v>
      </c>
      <c r="B7" s="2320"/>
      <c r="C7" s="2320"/>
      <c r="D7" s="2320"/>
      <c r="E7" s="2321"/>
      <c r="F7" s="1017"/>
      <c r="G7" s="1009"/>
      <c r="H7" s="1016" t="s">
        <v>372</v>
      </c>
      <c r="I7" s="2322">
        <f>COVER!A13</f>
        <v>24032074003</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19561</v>
      </c>
      <c r="F12" s="1039"/>
      <c r="G12" s="1811">
        <f t="shared" ref="G12:G18" si="0">SUM(E12:F12)</f>
        <v>19561</v>
      </c>
      <c r="H12" s="1040">
        <v>19938</v>
      </c>
      <c r="I12" s="1039"/>
      <c r="J12" s="1811">
        <f t="shared" ref="J12:J18" si="1">SUM(H12:I12)</f>
        <v>19938</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4081</v>
      </c>
      <c r="F16" s="1039"/>
      <c r="G16" s="1811">
        <f t="shared" si="0"/>
        <v>4081</v>
      </c>
      <c r="H16" s="1040">
        <v>4000</v>
      </c>
      <c r="I16" s="1039"/>
      <c r="J16" s="1811">
        <f t="shared" si="1"/>
        <v>4000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23642</v>
      </c>
      <c r="F19" s="1813">
        <f t="shared" si="2"/>
        <v>0</v>
      </c>
      <c r="G19" s="1813">
        <f t="shared" si="2"/>
        <v>23642</v>
      </c>
      <c r="H19" s="1813">
        <f t="shared" si="2"/>
        <v>23938</v>
      </c>
      <c r="I19" s="1813">
        <f t="shared" si="2"/>
        <v>0</v>
      </c>
      <c r="J19" s="1813">
        <f t="shared" si="2"/>
        <v>23938</v>
      </c>
    </row>
    <row r="20" spans="1:10" ht="13.5" thickTop="1" x14ac:dyDescent="0.2">
      <c r="A20" s="1035">
        <v>9</v>
      </c>
      <c r="B20" s="2329" t="s">
        <v>1981</v>
      </c>
      <c r="C20" s="2329"/>
      <c r="D20" s="2330"/>
      <c r="E20" s="1046"/>
      <c r="F20" s="1046"/>
      <c r="G20" s="1046"/>
      <c r="H20" s="1046"/>
      <c r="I20" s="1046"/>
      <c r="J20" s="1814">
        <f>IF(AND(G19&gt;0,J19&gt;0),(((J19-G19)/G19)),"Enter Budget Data")</f>
        <v>1.2520091362828865E-2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64" sqref="C6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South Wilmington CCSD 74</v>
      </c>
    </row>
    <row r="65" spans="2:2" x14ac:dyDescent="0.2">
      <c r="B65" s="1070">
        <f>COVER!A13</f>
        <v>24032074003</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64" sqref="C6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64" sqref="C6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29" sqref="E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781865</v>
      </c>
      <c r="C8" s="1815">
        <f>'Acct Summary 7-8'!D8</f>
        <v>100158</v>
      </c>
      <c r="D8" s="1815">
        <f>'Acct Summary 7-8'!F8</f>
        <v>86237</v>
      </c>
      <c r="E8" s="1815">
        <f>'Acct Summary 7-8'!I8</f>
        <v>9105</v>
      </c>
      <c r="F8" s="1815">
        <f>SUM(B8:E8)</f>
        <v>977365</v>
      </c>
    </row>
    <row r="9" spans="1:8" s="1079" customFormat="1" ht="14.25" customHeight="1" thickBot="1" x14ac:dyDescent="0.25">
      <c r="A9" s="1078" t="s">
        <v>1369</v>
      </c>
      <c r="B9" s="1816">
        <f>'Acct Summary 7-8'!C17</f>
        <v>800644</v>
      </c>
      <c r="C9" s="1816">
        <f>'Acct Summary 7-8'!D17</f>
        <v>89703</v>
      </c>
      <c r="D9" s="1816">
        <f>'Acct Summary 7-8'!F17</f>
        <v>107945</v>
      </c>
      <c r="E9" s="1815"/>
      <c r="F9" s="1815">
        <f>SUM(B9:E9)</f>
        <v>998292</v>
      </c>
    </row>
    <row r="10" spans="1:8" s="1079" customFormat="1" ht="14.25" thickTop="1" thickBot="1" x14ac:dyDescent="0.25">
      <c r="A10" s="1080" t="s">
        <v>1370</v>
      </c>
      <c r="B10" s="1817">
        <f>(B8-B9)</f>
        <v>-18779</v>
      </c>
      <c r="C10" s="1817">
        <f>(C8-C9)</f>
        <v>10455</v>
      </c>
      <c r="D10" s="1817">
        <f>(D8-D9)</f>
        <v>-21708</v>
      </c>
      <c r="E10" s="1816">
        <f>(E8-E9)</f>
        <v>9105</v>
      </c>
      <c r="F10" s="1818">
        <f>SUM(F8-F9)</f>
        <v>-20927</v>
      </c>
    </row>
    <row r="11" spans="1:8" s="1079" customFormat="1" ht="14.25" thickTop="1" thickBot="1" x14ac:dyDescent="0.25">
      <c r="A11" s="1081" t="s">
        <v>1985</v>
      </c>
      <c r="B11" s="1819">
        <f>'Acct Summary 7-8'!C81</f>
        <v>68891</v>
      </c>
      <c r="C11" s="1819">
        <f>'Acct Summary 7-8'!D81</f>
        <v>60987</v>
      </c>
      <c r="D11" s="1819">
        <f>'Acct Summary 7-8'!F81</f>
        <v>14374</v>
      </c>
      <c r="E11" s="1819">
        <f>'Acct Summary 7-8'!I81</f>
        <v>126021</v>
      </c>
      <c r="F11" s="1820">
        <f>SUM(B11:E11)</f>
        <v>270273</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4" colorId="8" zoomScale="110" zoomScaleNormal="110" workbookViewId="0">
      <selection activeCell="C64" sqref="C6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24032074003</v>
      </c>
    </row>
    <row r="3" spans="1:2" x14ac:dyDescent="0.2">
      <c r="A3" t="s">
        <v>956</v>
      </c>
      <c r="B3" s="138" t="str">
        <f>COVER!A15</f>
        <v>GRUNDY/KANKAKEE</v>
      </c>
    </row>
    <row r="4" spans="1:2" x14ac:dyDescent="0.2">
      <c r="A4" t="s">
        <v>1007</v>
      </c>
      <c r="B4" s="138" t="str">
        <f>COVER!A17</f>
        <v>South Wilmington CCSD 74</v>
      </c>
    </row>
    <row r="5" spans="1:2" x14ac:dyDescent="0.2">
      <c r="A5" t="s">
        <v>704</v>
      </c>
      <c r="B5" s="138" t="str">
        <f>COVER!A38</f>
        <v>CYNTHIA CHRISTENSEN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v>
      </c>
    </row>
    <row r="19" spans="1:2" x14ac:dyDescent="0.2">
      <c r="A19" t="s">
        <v>886</v>
      </c>
      <c r="B19" s="138" t="str">
        <f>COVER!T25</f>
        <v>JOHN@GASSENSMITH.COM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68891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68891</v>
      </c>
      <c r="D92" s="2" t="str">
        <f t="shared" si="0"/>
        <v>Error?</v>
      </c>
    </row>
    <row r="93" spans="1:4" x14ac:dyDescent="0.2">
      <c r="A93" s="5">
        <v>32</v>
      </c>
      <c r="B93" s="138">
        <f>'Assets-Liab 5-6'!C41</f>
        <v>68891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60987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60987</v>
      </c>
      <c r="D123" s="2" t="str">
        <f t="shared" si="0"/>
        <v>Error?</v>
      </c>
    </row>
    <row r="124" spans="1:4" x14ac:dyDescent="0.2">
      <c r="A124" s="5">
        <v>63</v>
      </c>
      <c r="B124" s="138">
        <f>'Assets-Liab 5-6'!D41</f>
        <v>60987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14374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14374</v>
      </c>
      <c r="D170" s="2" t="str">
        <f t="shared" si="1"/>
        <v>Error?</v>
      </c>
    </row>
    <row r="171" spans="1:4" x14ac:dyDescent="0.2">
      <c r="A171" s="5">
        <v>110</v>
      </c>
      <c r="B171" s="138">
        <f>'Assets-Liab 5-6'!F41</f>
        <v>14374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37910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37910</v>
      </c>
      <c r="D189" s="2" t="str">
        <f t="shared" si="1"/>
        <v>Error?</v>
      </c>
    </row>
    <row r="190" spans="1:4" x14ac:dyDescent="0.2">
      <c r="A190" s="5">
        <v>129</v>
      </c>
      <c r="B190" s="138">
        <f>'Assets-Liab 5-6'!G41</f>
        <v>37910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10000</v>
      </c>
      <c r="D273" s="2" t="str">
        <f t="shared" si="3"/>
        <v>Error?</v>
      </c>
    </row>
    <row r="274" spans="1:4" x14ac:dyDescent="0.2">
      <c r="A274" s="5">
        <v>213</v>
      </c>
      <c r="B274" s="138">
        <f>'Assets-Liab 5-6'!M17</f>
        <v>325344</v>
      </c>
      <c r="D274" s="2" t="str">
        <f t="shared" si="3"/>
        <v>Error?</v>
      </c>
    </row>
    <row r="275" spans="1:4" x14ac:dyDescent="0.2">
      <c r="A275" s="5">
        <v>214</v>
      </c>
      <c r="B275" s="138">
        <f>'Assets-Liab 5-6'!M18</f>
        <v>108996</v>
      </c>
      <c r="D275" s="2" t="str">
        <f t="shared" si="3"/>
        <v>Error?</v>
      </c>
    </row>
    <row r="276" spans="1:4" x14ac:dyDescent="0.2">
      <c r="A276" s="5">
        <v>215</v>
      </c>
      <c r="B276" s="138">
        <f>'Assets-Liab 5-6'!M19</f>
        <v>290955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735295</v>
      </c>
      <c r="C279" s="2" t="s">
        <v>573</v>
      </c>
      <c r="D279" s="2" t="str">
        <f t="shared" si="3"/>
        <v>Error?</v>
      </c>
    </row>
    <row r="280" spans="1:4" x14ac:dyDescent="0.2">
      <c r="A280" s="5">
        <v>219</v>
      </c>
      <c r="B280" s="138">
        <f>'Assets-Liab 5-6'!M40</f>
        <v>735295</v>
      </c>
      <c r="D280" s="2" t="str">
        <f t="shared" si="3"/>
        <v>Error?</v>
      </c>
    </row>
    <row r="281" spans="1:4" x14ac:dyDescent="0.2">
      <c r="A281" s="5">
        <v>220</v>
      </c>
      <c r="B281" s="138">
        <f>'Assets-Liab 5-6'!M41</f>
        <v>735295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135000</v>
      </c>
      <c r="D283" s="2" t="str">
        <f t="shared" si="3"/>
        <v>Error?</v>
      </c>
    </row>
    <row r="284" spans="1:4" x14ac:dyDescent="0.2">
      <c r="A284" s="5">
        <v>223</v>
      </c>
      <c r="B284" s="138">
        <f>'Assets-Liab 5-6'!N23</f>
        <v>135000</v>
      </c>
      <c r="C284" s="2" t="s">
        <v>573</v>
      </c>
      <c r="D284" s="2" t="str">
        <f t="shared" si="3"/>
        <v>Error?</v>
      </c>
    </row>
    <row r="285" spans="1:4" x14ac:dyDescent="0.2">
      <c r="A285" s="5">
        <v>224</v>
      </c>
      <c r="B285" s="138">
        <f>'Assets-Liab 5-6'!N36</f>
        <v>135000</v>
      </c>
      <c r="D285" s="2" t="str">
        <f t="shared" si="3"/>
        <v>Error?</v>
      </c>
    </row>
    <row r="286" spans="1:4" x14ac:dyDescent="0.2">
      <c r="A286" s="10">
        <v>225</v>
      </c>
      <c r="D286" s="2" t="str">
        <f t="shared" si="3"/>
        <v>OK</v>
      </c>
    </row>
    <row r="287" spans="1:4" x14ac:dyDescent="0.2">
      <c r="A287" s="5">
        <v>226</v>
      </c>
      <c r="B287" s="138">
        <f>'Assets-Liab 5-6'!N37</f>
        <v>135000</v>
      </c>
      <c r="C287" s="2" t="s">
        <v>573</v>
      </c>
      <c r="D287" s="2" t="str">
        <f t="shared" si="3"/>
        <v>Error?</v>
      </c>
    </row>
    <row r="288" spans="1:4" x14ac:dyDescent="0.2">
      <c r="A288" s="5">
        <v>227</v>
      </c>
      <c r="B288" s="138">
        <f>'Assets-Liab 5-6'!N41</f>
        <v>135000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135000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316891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12700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345611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531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531</v>
      </c>
      <c r="C731" s="2" t="s">
        <v>573</v>
      </c>
      <c r="D731" s="2" t="str">
        <f t="shared" si="10"/>
        <v>Error?</v>
      </c>
    </row>
    <row r="732" spans="1:4" x14ac:dyDescent="0.2">
      <c r="A732" s="5">
        <v>671</v>
      </c>
      <c r="B732" s="138">
        <f>'Expenditures 15-22'!C49</f>
        <v>570</v>
      </c>
      <c r="D732" s="2" t="str">
        <f t="shared" si="10"/>
        <v>Error?</v>
      </c>
    </row>
    <row r="733" spans="1:4" x14ac:dyDescent="0.2">
      <c r="A733" s="5">
        <v>672</v>
      </c>
      <c r="B733" s="138">
        <f>'Expenditures 15-22'!C50</f>
        <v>16809</v>
      </c>
      <c r="D733" s="2" t="str">
        <f t="shared" si="10"/>
        <v>Error?</v>
      </c>
    </row>
    <row r="734" spans="1:4" x14ac:dyDescent="0.2">
      <c r="A734" s="5">
        <v>673</v>
      </c>
      <c r="B734" s="138">
        <f>'Expenditures 15-22'!C53</f>
        <v>17379</v>
      </c>
      <c r="C734" s="2" t="s">
        <v>573</v>
      </c>
      <c r="D734" s="2" t="str">
        <f t="shared" si="10"/>
        <v>Error?</v>
      </c>
    </row>
    <row r="735" spans="1:4" x14ac:dyDescent="0.2">
      <c r="A735" s="5">
        <v>674</v>
      </c>
      <c r="B735" s="138">
        <f>'Expenditures 15-22'!C55</f>
        <v>85336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85336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9318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9318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112564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458175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48946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49228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1484</v>
      </c>
      <c r="D791" s="2" t="str">
        <f t="shared" si="11"/>
        <v>Error?</v>
      </c>
    </row>
    <row r="792" spans="1:4" x14ac:dyDescent="0.2">
      <c r="A792" s="5">
        <v>731</v>
      </c>
      <c r="B792" s="138">
        <f>'Expenditures 15-22'!D53</f>
        <v>1484</v>
      </c>
      <c r="C792" s="2" t="s">
        <v>573</v>
      </c>
      <c r="D792" s="2" t="str">
        <f t="shared" si="11"/>
        <v>Error?</v>
      </c>
    </row>
    <row r="793" spans="1:4" x14ac:dyDescent="0.2">
      <c r="A793" s="5">
        <v>732</v>
      </c>
      <c r="B793" s="138">
        <f>'Expenditures 15-22'!D55</f>
        <v>16361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16361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17845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67073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3173</v>
      </c>
      <c r="C836" s="2" t="s">
        <v>573</v>
      </c>
      <c r="D836" s="2" t="str">
        <f t="shared" si="12"/>
        <v>Error?</v>
      </c>
    </row>
    <row r="837" spans="1:4" x14ac:dyDescent="0.2">
      <c r="A837" s="5">
        <v>776</v>
      </c>
      <c r="B837" s="138">
        <f>'Expenditures 15-22'!E36</f>
        <v>1896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1494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3390</v>
      </c>
      <c r="C843" s="2" t="s">
        <v>573</v>
      </c>
      <c r="D843" s="2" t="str">
        <f t="shared" si="12"/>
        <v>Error?</v>
      </c>
    </row>
    <row r="844" spans="1:4" x14ac:dyDescent="0.2">
      <c r="A844" s="5">
        <v>783</v>
      </c>
      <c r="B844" s="138">
        <f>'Expenditures 15-22'!E44</f>
        <v>3217</v>
      </c>
      <c r="D844" s="2" t="str">
        <f t="shared" si="12"/>
        <v>Error?</v>
      </c>
    </row>
    <row r="845" spans="1:4" x14ac:dyDescent="0.2">
      <c r="A845" s="5">
        <v>784</v>
      </c>
      <c r="B845" s="138">
        <f>'Expenditures 15-22'!E45</f>
        <v>791</v>
      </c>
      <c r="D845" s="2" t="str">
        <f t="shared" si="12"/>
        <v>Error?</v>
      </c>
    </row>
    <row r="846" spans="1:4" x14ac:dyDescent="0.2">
      <c r="A846" s="5">
        <v>785</v>
      </c>
      <c r="B846" s="138">
        <f>'Expenditures 15-22'!E46</f>
        <v>2236</v>
      </c>
      <c r="D846" s="2" t="str">
        <f t="shared" si="12"/>
        <v>Error?</v>
      </c>
    </row>
    <row r="847" spans="1:4" x14ac:dyDescent="0.2">
      <c r="A847" s="5">
        <v>786</v>
      </c>
      <c r="B847" s="138">
        <f>'Expenditures 15-22'!E47</f>
        <v>6244</v>
      </c>
      <c r="C847" s="2" t="s">
        <v>573</v>
      </c>
      <c r="D847" s="2" t="str">
        <f t="shared" si="12"/>
        <v>Error?</v>
      </c>
    </row>
    <row r="848" spans="1:4" x14ac:dyDescent="0.2">
      <c r="A848" s="5">
        <v>787</v>
      </c>
      <c r="B848" s="138">
        <f>'Expenditures 15-22'!E49</f>
        <v>6955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6955</v>
      </c>
      <c r="C850" s="2" t="s">
        <v>573</v>
      </c>
      <c r="D850" s="2" t="str">
        <f t="shared" si="12"/>
        <v>Error?</v>
      </c>
    </row>
    <row r="851" spans="1:4" x14ac:dyDescent="0.2">
      <c r="A851" s="5">
        <v>790</v>
      </c>
      <c r="B851" s="138">
        <f>'Expenditures 15-22'!E55</f>
        <v>2815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2815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5080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130</v>
      </c>
      <c r="D858" s="2" t="str">
        <f t="shared" si="12"/>
        <v>Error?</v>
      </c>
    </row>
    <row r="859" spans="1:4" x14ac:dyDescent="0.2">
      <c r="A859" s="5">
        <v>798</v>
      </c>
      <c r="B859" s="138">
        <f>'Expenditures 15-22'!E64</f>
        <v>4081</v>
      </c>
      <c r="D859" s="2" t="str">
        <f t="shared" si="12"/>
        <v>Error?</v>
      </c>
    </row>
    <row r="860" spans="1:4" x14ac:dyDescent="0.2">
      <c r="A860" s="10">
        <v>799</v>
      </c>
      <c r="D860" s="2" t="str">
        <f t="shared" si="12"/>
        <v>OK</v>
      </c>
    </row>
    <row r="861" spans="1:4" x14ac:dyDescent="0.2">
      <c r="A861" s="5">
        <v>800</v>
      </c>
      <c r="B861" s="138">
        <f>'Expenditures 15-22'!E65</f>
        <v>9291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1313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1313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30008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214119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12178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12359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27</v>
      </c>
      <c r="D902" s="2" t="str">
        <f t="shared" si="13"/>
        <v>Error?</v>
      </c>
    </row>
    <row r="903" spans="1:4" x14ac:dyDescent="0.2">
      <c r="A903" s="5">
        <v>842</v>
      </c>
      <c r="B903" s="138">
        <f>'Expenditures 15-22'!F45</f>
        <v>724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751</v>
      </c>
      <c r="C905" s="2" t="s">
        <v>573</v>
      </c>
      <c r="D905" s="2" t="str">
        <f t="shared" si="13"/>
        <v>Error?</v>
      </c>
    </row>
    <row r="906" spans="1:4" x14ac:dyDescent="0.2">
      <c r="A906" s="5">
        <v>845</v>
      </c>
      <c r="B906" s="138">
        <f>'Expenditures 15-22'!F49</f>
        <v>74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74</v>
      </c>
      <c r="C908" s="2" t="s">
        <v>573</v>
      </c>
      <c r="D908" s="2" t="str">
        <f t="shared" si="13"/>
        <v>Error?</v>
      </c>
    </row>
    <row r="909" spans="1:4" x14ac:dyDescent="0.2">
      <c r="A909" s="5">
        <v>848</v>
      </c>
      <c r="B909" s="138">
        <f>'Expenditures 15-22'!F55</f>
        <v>185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13192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13877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14887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27246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7636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7636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7636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1020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3567</v>
      </c>
      <c r="D1022" s="2" t="str">
        <f t="shared" si="14"/>
        <v>Error?</v>
      </c>
    </row>
    <row r="1023" spans="1:4" x14ac:dyDescent="0.2">
      <c r="A1023" s="5">
        <v>962</v>
      </c>
      <c r="B1023" s="138">
        <f>'Expenditures 15-22'!H50</f>
        <v>1268</v>
      </c>
      <c r="D1023" s="2" t="str">
        <f t="shared" ref="D1023:D1086" si="15">IF(ISBLANK(B1023),"OK",IF(A1023-B1023=0,"OK","Error?"))</f>
        <v>Error?</v>
      </c>
    </row>
    <row r="1024" spans="1:4" x14ac:dyDescent="0.2">
      <c r="A1024" s="5">
        <v>963</v>
      </c>
      <c r="B1024" s="138">
        <f>'Expenditures 15-22'!H53</f>
        <v>4835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4835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14220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20075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391596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17338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424972</v>
      </c>
      <c r="C1108" s="2" t="s">
        <v>573</v>
      </c>
      <c r="D1108" s="2" t="str">
        <f t="shared" si="16"/>
        <v>Error?</v>
      </c>
    </row>
    <row r="1109" spans="1:4" x14ac:dyDescent="0.2">
      <c r="A1109" s="5">
        <v>1048</v>
      </c>
      <c r="B1109" s="138">
        <f>'Expenditures 15-22'!K36</f>
        <v>1896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1494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3390</v>
      </c>
      <c r="C1115" s="2" t="s">
        <v>573</v>
      </c>
      <c r="D1115" s="2" t="str">
        <f t="shared" si="16"/>
        <v>Error?</v>
      </c>
    </row>
    <row r="1116" spans="1:4" x14ac:dyDescent="0.2">
      <c r="A1116" s="5">
        <v>1055</v>
      </c>
      <c r="B1116" s="138">
        <f>'Expenditures 15-22'!K44</f>
        <v>4150</v>
      </c>
      <c r="C1116" s="2" t="s">
        <v>573</v>
      </c>
      <c r="D1116" s="2" t="str">
        <f t="shared" si="16"/>
        <v>Error?</v>
      </c>
    </row>
    <row r="1117" spans="1:4" x14ac:dyDescent="0.2">
      <c r="A1117" s="5">
        <v>1056</v>
      </c>
      <c r="B1117" s="138">
        <f>'Expenditures 15-22'!K45</f>
        <v>1515</v>
      </c>
      <c r="C1117" s="2" t="s">
        <v>573</v>
      </c>
      <c r="D1117" s="2" t="str">
        <f t="shared" si="16"/>
        <v>Error?</v>
      </c>
    </row>
    <row r="1118" spans="1:4" x14ac:dyDescent="0.2">
      <c r="A1118" s="5">
        <v>1057</v>
      </c>
      <c r="B1118" s="138">
        <f>'Expenditures 15-22'!K46</f>
        <v>2236</v>
      </c>
      <c r="C1118" s="2" t="s">
        <v>573</v>
      </c>
      <c r="D1118" s="2" t="str">
        <f t="shared" si="16"/>
        <v>Error?</v>
      </c>
    </row>
    <row r="1119" spans="1:4" x14ac:dyDescent="0.2">
      <c r="A1119" s="5">
        <v>1058</v>
      </c>
      <c r="B1119" s="138">
        <f>'Expenditures 15-22'!K47</f>
        <v>7901</v>
      </c>
      <c r="C1119" s="2" t="s">
        <v>573</v>
      </c>
      <c r="D1119" s="2" t="str">
        <f t="shared" si="16"/>
        <v>Error?</v>
      </c>
    </row>
    <row r="1120" spans="1:4" x14ac:dyDescent="0.2">
      <c r="A1120" s="5">
        <v>1059</v>
      </c>
      <c r="B1120" s="138">
        <f>'Expenditures 15-22'!K49</f>
        <v>11166</v>
      </c>
      <c r="C1120" s="2" t="s">
        <v>573</v>
      </c>
      <c r="D1120" s="2" t="str">
        <f t="shared" si="16"/>
        <v>Error?</v>
      </c>
    </row>
    <row r="1121" spans="1:4" x14ac:dyDescent="0.2">
      <c r="A1121" s="5">
        <v>1060</v>
      </c>
      <c r="B1121" s="138">
        <f>'Expenditures 15-22'!K50</f>
        <v>19561</v>
      </c>
      <c r="C1121" s="2" t="s">
        <v>573</v>
      </c>
      <c r="D1121" s="2" t="str">
        <f t="shared" si="16"/>
        <v>Error?</v>
      </c>
    </row>
    <row r="1122" spans="1:4" x14ac:dyDescent="0.2">
      <c r="A1122" s="5">
        <v>1061</v>
      </c>
      <c r="B1122" s="138">
        <f>'Expenditures 15-22'!K53</f>
        <v>30727</v>
      </c>
      <c r="C1122" s="2" t="s">
        <v>573</v>
      </c>
      <c r="D1122" s="2" t="str">
        <f t="shared" si="16"/>
        <v>Error?</v>
      </c>
    </row>
    <row r="1123" spans="1:4" x14ac:dyDescent="0.2">
      <c r="A1123" s="5">
        <v>1062</v>
      </c>
      <c r="B1123" s="138">
        <f>'Expenditures 15-22'!K55</f>
        <v>104697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104697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5765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22640</v>
      </c>
      <c r="C1130" s="2" t="s">
        <v>573</v>
      </c>
      <c r="D1130" s="2" t="str">
        <f t="shared" si="16"/>
        <v>Error?</v>
      </c>
    </row>
    <row r="1131" spans="1:4" x14ac:dyDescent="0.2">
      <c r="A1131" s="5">
        <v>1070</v>
      </c>
      <c r="B1131" s="138">
        <f>'Expenditures 15-22'!K64</f>
        <v>4081</v>
      </c>
      <c r="C1131" s="2" t="s">
        <v>573</v>
      </c>
      <c r="D1131" s="2" t="str">
        <f t="shared" si="16"/>
        <v>Error?</v>
      </c>
    </row>
    <row r="1132" spans="1:4" x14ac:dyDescent="0.2">
      <c r="A1132" s="10">
        <v>1071</v>
      </c>
      <c r="D1132" s="2" t="str">
        <f t="shared" si="16"/>
        <v>OK</v>
      </c>
    </row>
    <row r="1133" spans="1:4" x14ac:dyDescent="0.2">
      <c r="A1133" s="5">
        <v>1072</v>
      </c>
      <c r="B1133" s="138">
        <f>'Expenditures 15-22'!K65</f>
        <v>32486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1313</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1313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180514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195158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800644</v>
      </c>
      <c r="C1152" s="2" t="s">
        <v>573</v>
      </c>
      <c r="D1152" s="2" t="str">
        <f t="shared" si="17"/>
        <v>Error?</v>
      </c>
    </row>
    <row r="1153" spans="1:4" x14ac:dyDescent="0.2">
      <c r="A1153" s="5">
        <v>1092</v>
      </c>
      <c r="B1153" s="138">
        <f>'Expenditures 15-22'!K115</f>
        <v>-18779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33281</v>
      </c>
      <c r="D1221" s="2" t="str">
        <f t="shared" si="18"/>
        <v>Error?</v>
      </c>
    </row>
    <row r="1222" spans="1:4" x14ac:dyDescent="0.2">
      <c r="A1222" s="10">
        <v>1161</v>
      </c>
      <c r="D1222" s="2" t="str">
        <f t="shared" si="18"/>
        <v>OK</v>
      </c>
    </row>
    <row r="1223" spans="1:4" x14ac:dyDescent="0.2">
      <c r="A1223" s="5">
        <v>1162</v>
      </c>
      <c r="B1223" s="138">
        <f>'Expenditures 15-22'!C127</f>
        <v>33281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33281</v>
      </c>
      <c r="C1225" s="2" t="s">
        <v>573</v>
      </c>
      <c r="D1225" s="2" t="str">
        <f t="shared" si="18"/>
        <v>Error?</v>
      </c>
    </row>
    <row r="1226" spans="1:4" x14ac:dyDescent="0.2">
      <c r="A1226" s="5">
        <v>1165</v>
      </c>
      <c r="B1226" s="138">
        <f>'Expenditures 15-22'!C151</f>
        <v>33281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1998</v>
      </c>
      <c r="D1229" s="2" t="str">
        <f t="shared" si="18"/>
        <v>Error?</v>
      </c>
    </row>
    <row r="1230" spans="1:4" x14ac:dyDescent="0.2">
      <c r="A1230" s="10">
        <v>1169</v>
      </c>
      <c r="D1230" s="2" t="str">
        <f t="shared" si="18"/>
        <v>OK</v>
      </c>
    </row>
    <row r="1231" spans="1:4" x14ac:dyDescent="0.2">
      <c r="A1231" s="5">
        <v>1170</v>
      </c>
      <c r="B1231" s="138">
        <f>'Expenditures 15-22'!D127</f>
        <v>1998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1998</v>
      </c>
      <c r="C1233" s="2" t="s">
        <v>573</v>
      </c>
      <c r="D1233" s="2" t="str">
        <f t="shared" si="18"/>
        <v>Error?</v>
      </c>
    </row>
    <row r="1234" spans="1:4" x14ac:dyDescent="0.2">
      <c r="A1234" s="5">
        <v>1173</v>
      </c>
      <c r="B1234" s="138">
        <f>'Expenditures 15-22'!D151</f>
        <v>1998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12999</v>
      </c>
      <c r="D1237" s="2" t="str">
        <f t="shared" si="18"/>
        <v>Error?</v>
      </c>
    </row>
    <row r="1238" spans="1:4" x14ac:dyDescent="0.2">
      <c r="A1238" s="10">
        <v>1177</v>
      </c>
      <c r="D1238" s="2" t="str">
        <f t="shared" si="18"/>
        <v>OK</v>
      </c>
    </row>
    <row r="1239" spans="1:4" x14ac:dyDescent="0.2">
      <c r="A1239" s="5">
        <v>1178</v>
      </c>
      <c r="B1239" s="138">
        <f>'Expenditures 15-22'!E127</f>
        <v>12999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12999</v>
      </c>
      <c r="C1241" s="2" t="s">
        <v>573</v>
      </c>
      <c r="D1241" s="2" t="str">
        <f t="shared" si="18"/>
        <v>Error?</v>
      </c>
    </row>
    <row r="1242" spans="1:4" x14ac:dyDescent="0.2">
      <c r="A1242" s="5">
        <v>1181</v>
      </c>
      <c r="B1242" s="138">
        <f>'Expenditures 15-22'!E151</f>
        <v>27291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22775</v>
      </c>
      <c r="D1245" s="2" t="str">
        <f t="shared" si="18"/>
        <v>Error?</v>
      </c>
    </row>
    <row r="1246" spans="1:4" x14ac:dyDescent="0.2">
      <c r="A1246" s="10">
        <v>1185</v>
      </c>
      <c r="D1246" s="2" t="str">
        <f t="shared" si="18"/>
        <v>OK</v>
      </c>
    </row>
    <row r="1247" spans="1:4" x14ac:dyDescent="0.2">
      <c r="A1247" s="5">
        <v>1186</v>
      </c>
      <c r="B1247" s="138">
        <f>'Expenditures 15-22'!F127</f>
        <v>22775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22775</v>
      </c>
      <c r="C1249" s="2" t="s">
        <v>573</v>
      </c>
      <c r="D1249" s="2" t="str">
        <f t="shared" si="18"/>
        <v>Error?</v>
      </c>
    </row>
    <row r="1250" spans="1:4" x14ac:dyDescent="0.2">
      <c r="A1250" s="5">
        <v>1189</v>
      </c>
      <c r="B1250" s="138">
        <f>'Expenditures 15-22'!F151</f>
        <v>22775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4358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4358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4358</v>
      </c>
      <c r="C1258" s="2" t="s">
        <v>573</v>
      </c>
      <c r="D1258" s="2" t="str">
        <f t="shared" si="18"/>
        <v>Error?</v>
      </c>
    </row>
    <row r="1259" spans="1:4" x14ac:dyDescent="0.2">
      <c r="A1259" s="5">
        <v>1198</v>
      </c>
      <c r="B1259" s="138">
        <f>'Expenditures 15-22'!G151</f>
        <v>4358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75411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75411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75411</v>
      </c>
      <c r="C1281" s="2" t="s">
        <v>573</v>
      </c>
      <c r="D1281" s="2" t="str">
        <f t="shared" si="19"/>
        <v>Error?</v>
      </c>
    </row>
    <row r="1282" spans="1:4" x14ac:dyDescent="0.2">
      <c r="A1282" s="5">
        <v>1221</v>
      </c>
      <c r="B1282" s="138">
        <f>'Expenditures 15-22'!K139</f>
        <v>14292</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89703</v>
      </c>
      <c r="C1288" s="2" t="s">
        <v>573</v>
      </c>
      <c r="D1288" s="2" t="str">
        <f t="shared" si="19"/>
        <v>Error?</v>
      </c>
    </row>
    <row r="1289" spans="1:4" x14ac:dyDescent="0.2">
      <c r="A1289" s="5">
        <v>1228</v>
      </c>
      <c r="B1289" s="138">
        <f>'Expenditures 15-22'!K152</f>
        <v>10455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60675</v>
      </c>
      <c r="C1317" s="2" t="s">
        <v>573</v>
      </c>
      <c r="D1317" s="2" t="str">
        <f t="shared" si="19"/>
        <v>Error?</v>
      </c>
    </row>
    <row r="1318" spans="1:4" x14ac:dyDescent="0.2">
      <c r="A1318" s="5">
        <v>1257</v>
      </c>
      <c r="B1318" s="138">
        <f>'Expenditures 15-22'!H174</f>
        <v>60675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60675</v>
      </c>
      <c r="C1331" s="2" t="s">
        <v>573</v>
      </c>
      <c r="D1331" s="2" t="str">
        <f t="shared" si="19"/>
        <v>Error?</v>
      </c>
    </row>
    <row r="1332" spans="1:4" x14ac:dyDescent="0.2">
      <c r="A1332" s="5">
        <v>1271</v>
      </c>
      <c r="B1332" s="138">
        <f>'Expenditures 15-22'!K174</f>
        <v>60675</v>
      </c>
      <c r="C1332" s="2" t="s">
        <v>573</v>
      </c>
      <c r="D1332" s="2" t="str">
        <f t="shared" si="19"/>
        <v>Error?</v>
      </c>
    </row>
    <row r="1333" spans="1:4" x14ac:dyDescent="0.2">
      <c r="A1333" s="5">
        <v>1272</v>
      </c>
      <c r="B1333" s="138">
        <f>'Expenditures 15-22'!K175</f>
        <v>-183</v>
      </c>
      <c r="C1333" s="2" t="s">
        <v>573</v>
      </c>
      <c r="D1333" s="2" t="str">
        <f t="shared" si="19"/>
        <v>Error?</v>
      </c>
    </row>
    <row r="1334" spans="1:4" x14ac:dyDescent="0.2">
      <c r="A1334" s="10">
        <v>1273</v>
      </c>
      <c r="D1334" s="2" t="str">
        <f t="shared" si="19"/>
        <v>OK</v>
      </c>
    </row>
    <row r="1335" spans="1:4" x14ac:dyDescent="0.2">
      <c r="A1335" s="5">
        <v>1274</v>
      </c>
      <c r="B1335" s="138">
        <f>'Expenditures 15-22'!C182</f>
        <v>29380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29380</v>
      </c>
      <c r="C1339" s="2" t="s">
        <v>573</v>
      </c>
      <c r="D1339" s="2" t="str">
        <f t="shared" si="19"/>
        <v>Error?</v>
      </c>
    </row>
    <row r="1340" spans="1:4" x14ac:dyDescent="0.2">
      <c r="A1340" s="5">
        <v>1279</v>
      </c>
      <c r="B1340" s="138">
        <f>'Expenditures 15-22'!C210</f>
        <v>29380</v>
      </c>
      <c r="C1340" s="2" t="s">
        <v>573</v>
      </c>
      <c r="D1340" s="2" t="str">
        <f t="shared" si="19"/>
        <v>Error?</v>
      </c>
    </row>
    <row r="1341" spans="1:4" x14ac:dyDescent="0.2">
      <c r="A1341" s="5">
        <v>1280</v>
      </c>
      <c r="B1341" s="138">
        <f>'Expenditures 15-22'!D182</f>
        <v>4445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4445</v>
      </c>
      <c r="C1345" s="2" t="s">
        <v>573</v>
      </c>
      <c r="D1345" s="2" t="str">
        <f t="shared" si="20"/>
        <v>Error?</v>
      </c>
    </row>
    <row r="1346" spans="1:4" x14ac:dyDescent="0.2">
      <c r="A1346" s="5">
        <v>1285</v>
      </c>
      <c r="B1346" s="138">
        <f>'Expenditures 15-22'!D210</f>
        <v>4445</v>
      </c>
      <c r="C1346" s="2" t="s">
        <v>573</v>
      </c>
      <c r="D1346" s="2" t="str">
        <f t="shared" si="20"/>
        <v>Error?</v>
      </c>
    </row>
    <row r="1347" spans="1:4" x14ac:dyDescent="0.2">
      <c r="A1347" s="5">
        <v>1286</v>
      </c>
      <c r="B1347" s="138">
        <f>'Expenditures 15-22'!E182</f>
        <v>64341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64341</v>
      </c>
      <c r="C1351" s="2" t="s">
        <v>573</v>
      </c>
      <c r="D1351" s="2" t="str">
        <f t="shared" si="20"/>
        <v>Error?</v>
      </c>
    </row>
    <row r="1352" spans="1:4" x14ac:dyDescent="0.2">
      <c r="A1352" s="5">
        <v>1291</v>
      </c>
      <c r="B1352" s="138">
        <f>'Expenditures 15-22'!E196</f>
        <v>5035</v>
      </c>
      <c r="C1352" s="2" t="s">
        <v>573</v>
      </c>
      <c r="D1352" s="2" t="str">
        <f t="shared" si="20"/>
        <v>Error?</v>
      </c>
    </row>
    <row r="1353" spans="1:4" x14ac:dyDescent="0.2">
      <c r="A1353" s="5">
        <v>1292</v>
      </c>
      <c r="B1353" s="138">
        <f>'Expenditures 15-22'!E210</f>
        <v>69376</v>
      </c>
      <c r="C1353" s="2" t="s">
        <v>573</v>
      </c>
      <c r="D1353" s="2" t="str">
        <f t="shared" si="20"/>
        <v>Error?</v>
      </c>
    </row>
    <row r="1354" spans="1:4" x14ac:dyDescent="0.2">
      <c r="A1354" s="5">
        <v>1293</v>
      </c>
      <c r="B1354" s="138">
        <f>'Expenditures 15-22'!F182</f>
        <v>4549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4549</v>
      </c>
      <c r="C1358" s="2" t="s">
        <v>573</v>
      </c>
      <c r="D1358" s="2" t="str">
        <f t="shared" si="20"/>
        <v>Error?</v>
      </c>
    </row>
    <row r="1359" spans="1:4" x14ac:dyDescent="0.2">
      <c r="A1359" s="5">
        <v>1298</v>
      </c>
      <c r="B1359" s="138">
        <f>'Expenditures 15-22'!F210</f>
        <v>4549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195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195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195</v>
      </c>
      <c r="C1376" s="2" t="s">
        <v>573</v>
      </c>
      <c r="D1376" s="2" t="str">
        <f t="shared" si="20"/>
        <v>Error?</v>
      </c>
    </row>
    <row r="1377" spans="1:4" x14ac:dyDescent="0.2">
      <c r="A1377" s="5">
        <v>1316</v>
      </c>
      <c r="B1377" s="138">
        <f>'Expenditures 15-22'!K182</f>
        <v>102910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102910</v>
      </c>
      <c r="C1381" s="2" t="s">
        <v>573</v>
      </c>
      <c r="D1381" s="2" t="str">
        <f t="shared" si="20"/>
        <v>Error?</v>
      </c>
    </row>
    <row r="1382" spans="1:4" x14ac:dyDescent="0.2">
      <c r="A1382" s="5">
        <v>1321</v>
      </c>
      <c r="B1382" s="138">
        <f>'Expenditures 15-22'!K196</f>
        <v>5035</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107945</v>
      </c>
      <c r="C1388" s="2" t="s">
        <v>573</v>
      </c>
      <c r="D1388" s="2" t="str">
        <f t="shared" si="20"/>
        <v>Error?</v>
      </c>
    </row>
    <row r="1389" spans="1:4" x14ac:dyDescent="0.2">
      <c r="A1389" s="5">
        <v>1328</v>
      </c>
      <c r="B1389" s="138">
        <f>'Expenditures 15-22'!K211</f>
        <v>-21708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8975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106</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106</v>
      </c>
      <c r="C1424" s="2" t="s">
        <v>573</v>
      </c>
      <c r="D1424" s="2" t="str">
        <f t="shared" si="21"/>
        <v>Error?</v>
      </c>
    </row>
    <row r="1425" spans="1:4" x14ac:dyDescent="0.2">
      <c r="A1425" s="5">
        <v>1364</v>
      </c>
      <c r="B1425" s="138">
        <f>'Expenditures 15-22'!D259</f>
        <v>5629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5629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7344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13079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22054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486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8975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106</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106</v>
      </c>
      <c r="C1488" s="2" t="s">
        <v>573</v>
      </c>
      <c r="D1488" s="2" t="str">
        <f t="shared" si="22"/>
        <v>Error?</v>
      </c>
    </row>
    <row r="1489" spans="1:4" x14ac:dyDescent="0.2">
      <c r="A1489" s="5">
        <v>1428</v>
      </c>
      <c r="B1489" s="138">
        <f>'Expenditures 15-22'!K259</f>
        <v>5629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5629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7344</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7344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13079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22054</v>
      </c>
      <c r="C1517" s="2" t="s">
        <v>573</v>
      </c>
      <c r="D1517" s="2" t="str">
        <f t="shared" si="22"/>
        <v>Error?</v>
      </c>
    </row>
    <row r="1518" spans="1:4" x14ac:dyDescent="0.2">
      <c r="A1518" s="5">
        <v>1457</v>
      </c>
      <c r="B1518" s="138">
        <f>'Expenditures 15-22'!K296</f>
        <v>1876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90025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68891</v>
      </c>
      <c r="C1630" s="2" t="s">
        <v>573</v>
      </c>
      <c r="D1630" s="2" t="str">
        <f t="shared" si="24"/>
        <v>Error?</v>
      </c>
    </row>
    <row r="1631" spans="1:4" x14ac:dyDescent="0.2">
      <c r="A1631" s="5">
        <v>1570</v>
      </c>
      <c r="B1631" s="138">
        <f>'Acct Summary 7-8'!D79</f>
        <v>50532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60987</v>
      </c>
      <c r="C1644" s="2" t="s">
        <v>573</v>
      </c>
      <c r="D1644" s="2" t="str">
        <f t="shared" si="24"/>
        <v>Error?</v>
      </c>
    </row>
    <row r="1645" spans="1:4" x14ac:dyDescent="0.2">
      <c r="A1645" s="5">
        <v>1584</v>
      </c>
      <c r="B1645" s="138">
        <f>'Acct Summary 7-8'!E79</f>
        <v>-2172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6082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14374</v>
      </c>
      <c r="C1672" s="2" t="s">
        <v>573</v>
      </c>
      <c r="D1672" s="2" t="str">
        <f t="shared" si="25"/>
        <v>Error?</v>
      </c>
    </row>
    <row r="1673" spans="1:4" x14ac:dyDescent="0.2">
      <c r="A1673" s="5">
        <v>1612</v>
      </c>
      <c r="B1673" s="138">
        <f>'Acct Summary 7-8'!G79</f>
        <v>36034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37910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442516</v>
      </c>
      <c r="C1744" s="2" t="s">
        <v>573</v>
      </c>
      <c r="D1744" s="2" t="str">
        <f t="shared" si="26"/>
        <v>Error?</v>
      </c>
    </row>
    <row r="1745" spans="1:5" x14ac:dyDescent="0.2">
      <c r="A1745" s="5">
        <v>1684</v>
      </c>
      <c r="B1745" s="138">
        <f>'Tax Sched 23'!B5</f>
        <v>100158</v>
      </c>
      <c r="C1745" s="2" t="s">
        <v>573</v>
      </c>
      <c r="D1745" s="2" t="str">
        <f t="shared" si="26"/>
        <v>Error?</v>
      </c>
    </row>
    <row r="1746" spans="1:5" x14ac:dyDescent="0.2">
      <c r="A1746" s="5">
        <v>1685</v>
      </c>
      <c r="B1746" s="138">
        <f>'Tax Sched 23'!B6</f>
        <v>60492</v>
      </c>
      <c r="C1746" s="2" t="s">
        <v>573</v>
      </c>
      <c r="D1746" s="2" t="str">
        <f t="shared" si="26"/>
        <v>Error?</v>
      </c>
    </row>
    <row r="1747" spans="1:5" x14ac:dyDescent="0.2">
      <c r="A1747" s="5">
        <v>1686</v>
      </c>
      <c r="B1747" s="138">
        <f>'Tax Sched 23'!B7</f>
        <v>29137</v>
      </c>
      <c r="C1747" s="2" t="s">
        <v>573</v>
      </c>
      <c r="D1747" s="2" t="str">
        <f t="shared" si="26"/>
        <v>Error?</v>
      </c>
    </row>
    <row r="1748" spans="1:5" x14ac:dyDescent="0.2">
      <c r="A1748" s="5">
        <v>1687</v>
      </c>
      <c r="B1748" s="138">
        <f>'Tax Sched 23'!B8</f>
        <v>10470</v>
      </c>
      <c r="C1748" s="2" t="s">
        <v>573</v>
      </c>
      <c r="D1748" s="2" t="str">
        <f t="shared" si="26"/>
        <v>Error?</v>
      </c>
    </row>
    <row r="1749" spans="1:5" x14ac:dyDescent="0.2">
      <c r="A1749" s="5">
        <v>1688</v>
      </c>
      <c r="B1749" s="138">
        <f>'Tax Sched 23'!B10</f>
        <v>9105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52841</v>
      </c>
      <c r="C1752" s="2" t="s">
        <v>573</v>
      </c>
      <c r="D1752" s="2" t="str">
        <f t="shared" si="26"/>
        <v>Error?</v>
      </c>
    </row>
    <row r="1753" spans="1:5" x14ac:dyDescent="0.2">
      <c r="A1753" s="5">
        <v>1692</v>
      </c>
      <c r="B1753" s="138">
        <f>'Tax Sched 23'!B12</f>
        <v>9105</v>
      </c>
      <c r="C1753" s="2" t="s">
        <v>573</v>
      </c>
      <c r="D1753" s="2" t="str">
        <f t="shared" si="26"/>
        <v>Error?</v>
      </c>
    </row>
    <row r="1754" spans="1:5" x14ac:dyDescent="0.2">
      <c r="A1754" s="5">
        <v>1693</v>
      </c>
      <c r="B1754" s="138">
        <f>'Tax Sched 23'!B14</f>
        <v>3642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740031</v>
      </c>
      <c r="C1759" s="2" t="s">
        <v>573</v>
      </c>
      <c r="D1759" s="2" t="str">
        <f t="shared" si="26"/>
        <v>Error?</v>
      </c>
    </row>
    <row r="1760" spans="1:5" x14ac:dyDescent="0.2">
      <c r="A1760" s="5">
        <v>1699</v>
      </c>
      <c r="B1760" s="138">
        <f>'Tax Sched 23'!D4</f>
        <v>442516</v>
      </c>
      <c r="C1760" s="2" t="s">
        <v>573</v>
      </c>
      <c r="D1760" s="2" t="str">
        <f t="shared" si="26"/>
        <v>Error?</v>
      </c>
    </row>
    <row r="1761" spans="1:5" x14ac:dyDescent="0.2">
      <c r="A1761" s="5">
        <v>1700</v>
      </c>
      <c r="B1761" s="138">
        <f>'Tax Sched 23'!D5</f>
        <v>100158</v>
      </c>
      <c r="C1761" s="2" t="s">
        <v>573</v>
      </c>
      <c r="D1761" s="2" t="str">
        <f t="shared" si="26"/>
        <v>Error?</v>
      </c>
    </row>
    <row r="1762" spans="1:5" s="8" customFormat="1" x14ac:dyDescent="0.2">
      <c r="A1762" s="5">
        <v>1701</v>
      </c>
      <c r="B1762" s="138">
        <f>'Tax Sched 23'!D6</f>
        <v>60492</v>
      </c>
      <c r="C1762" s="2" t="s">
        <v>573</v>
      </c>
      <c r="D1762" s="2" t="str">
        <f t="shared" si="26"/>
        <v>Error?</v>
      </c>
      <c r="E1762" s="9"/>
    </row>
    <row r="1763" spans="1:5" x14ac:dyDescent="0.2">
      <c r="A1763" s="5">
        <v>1702</v>
      </c>
      <c r="B1763" s="138">
        <f>'Tax Sched 23'!D7</f>
        <v>29137</v>
      </c>
      <c r="C1763" s="2" t="s">
        <v>573</v>
      </c>
      <c r="D1763" s="2" t="str">
        <f t="shared" si="26"/>
        <v>Error?</v>
      </c>
    </row>
    <row r="1764" spans="1:5" x14ac:dyDescent="0.2">
      <c r="A1764" s="5">
        <v>1703</v>
      </c>
      <c r="B1764" s="138">
        <f>'Tax Sched 23'!D8</f>
        <v>10470</v>
      </c>
      <c r="C1764" s="2" t="s">
        <v>573</v>
      </c>
      <c r="D1764" s="2" t="str">
        <f t="shared" si="26"/>
        <v>Error?</v>
      </c>
    </row>
    <row r="1765" spans="1:5" x14ac:dyDescent="0.2">
      <c r="A1765" s="5">
        <v>1704</v>
      </c>
      <c r="B1765" s="138">
        <f>'Tax Sched 23'!D10</f>
        <v>9105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52841</v>
      </c>
      <c r="C1768" s="2" t="s">
        <v>573</v>
      </c>
      <c r="D1768" s="2" t="str">
        <f t="shared" si="26"/>
        <v>Error?</v>
      </c>
    </row>
    <row r="1769" spans="1:5" x14ac:dyDescent="0.2">
      <c r="A1769" s="5">
        <v>1708</v>
      </c>
      <c r="B1769" s="138">
        <f>'Tax Sched 23'!D12</f>
        <v>9105</v>
      </c>
      <c r="C1769" s="2" t="s">
        <v>573</v>
      </c>
      <c r="D1769" s="2" t="str">
        <f t="shared" si="26"/>
        <v>Error?</v>
      </c>
    </row>
    <row r="1770" spans="1:5" x14ac:dyDescent="0.2">
      <c r="A1770" s="5">
        <v>1709</v>
      </c>
      <c r="B1770" s="138">
        <f>'Tax Sched 23'!D14</f>
        <v>3642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740031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444821</v>
      </c>
      <c r="C1792" s="2" t="s">
        <v>573</v>
      </c>
      <c r="D1792" s="2" t="str">
        <f t="shared" si="27"/>
        <v>Error?</v>
      </c>
    </row>
    <row r="1793" spans="1:4" x14ac:dyDescent="0.2">
      <c r="A1793" s="5">
        <v>1732</v>
      </c>
      <c r="B1793" s="138">
        <f>'Tax Sched 23'!F5</f>
        <v>100680</v>
      </c>
      <c r="C1793" s="2" t="s">
        <v>573</v>
      </c>
      <c r="D1793" s="2" t="str">
        <f t="shared" si="27"/>
        <v>Error?</v>
      </c>
    </row>
    <row r="1794" spans="1:4" x14ac:dyDescent="0.2">
      <c r="A1794" s="5">
        <v>1733</v>
      </c>
      <c r="B1794" s="138">
        <f>'Tax Sched 23'!F6</f>
        <v>31412</v>
      </c>
      <c r="C1794" s="2" t="s">
        <v>573</v>
      </c>
      <c r="D1794" s="2" t="str">
        <f t="shared" si="27"/>
        <v>Error?</v>
      </c>
    </row>
    <row r="1795" spans="1:4" x14ac:dyDescent="0.2">
      <c r="A1795" s="5">
        <v>1734</v>
      </c>
      <c r="B1795" s="138">
        <f>'Tax Sched 23'!F7</f>
        <v>29289</v>
      </c>
      <c r="C1795" s="2" t="s">
        <v>573</v>
      </c>
      <c r="D1795" s="2" t="str">
        <f t="shared" si="27"/>
        <v>Error?</v>
      </c>
    </row>
    <row r="1796" spans="1:4" x14ac:dyDescent="0.2">
      <c r="A1796" s="5">
        <v>1735</v>
      </c>
      <c r="B1796" s="138">
        <f>'Tax Sched 23'!F8</f>
        <v>9500</v>
      </c>
      <c r="C1796" s="2" t="s">
        <v>573</v>
      </c>
      <c r="D1796" s="2" t="str">
        <f t="shared" si="27"/>
        <v>Error?</v>
      </c>
    </row>
    <row r="1797" spans="1:4" x14ac:dyDescent="0.2">
      <c r="A1797" s="5">
        <v>1736</v>
      </c>
      <c r="B1797" s="138">
        <f>'Tax Sched 23'!F10</f>
        <v>9153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45013</v>
      </c>
      <c r="C1800" s="2" t="s">
        <v>573</v>
      </c>
      <c r="D1800" s="2" t="str">
        <f t="shared" si="27"/>
        <v>Error?</v>
      </c>
    </row>
    <row r="1801" spans="1:4" x14ac:dyDescent="0.2">
      <c r="A1801" s="5">
        <v>1740</v>
      </c>
      <c r="B1801" s="138">
        <f>'Tax Sched 23'!F12</f>
        <v>9153</v>
      </c>
      <c r="C1801" s="2" t="s">
        <v>573</v>
      </c>
      <c r="D1801" s="2" t="str">
        <f t="shared" si="27"/>
        <v>Error?</v>
      </c>
    </row>
    <row r="1802" spans="1:4" x14ac:dyDescent="0.2">
      <c r="A1802" s="5">
        <v>1741</v>
      </c>
      <c r="B1802" s="138">
        <f>'Tax Sched 23'!F14</f>
        <v>3661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704338</v>
      </c>
      <c r="C1807" s="2" t="s">
        <v>573</v>
      </c>
      <c r="D1807" s="2" t="str">
        <f t="shared" si="27"/>
        <v>Error?</v>
      </c>
    </row>
    <row r="1808" spans="1:4" x14ac:dyDescent="0.2">
      <c r="A1808" s="5">
        <v>1747</v>
      </c>
      <c r="B1808" s="138">
        <f>'Tax Sched 23'!E4</f>
        <v>444821</v>
      </c>
      <c r="D1808" s="2" t="str">
        <f t="shared" si="27"/>
        <v>Error?</v>
      </c>
    </row>
    <row r="1809" spans="1:4" x14ac:dyDescent="0.2">
      <c r="A1809" s="5">
        <v>1748</v>
      </c>
      <c r="B1809" s="138">
        <f>'Tax Sched 23'!E5</f>
        <v>100680</v>
      </c>
      <c r="D1809" s="2" t="str">
        <f t="shared" si="27"/>
        <v>Error?</v>
      </c>
    </row>
    <row r="1810" spans="1:4" x14ac:dyDescent="0.2">
      <c r="A1810" s="5">
        <v>1749</v>
      </c>
      <c r="B1810" s="138">
        <f>'Tax Sched 23'!E6</f>
        <v>31412</v>
      </c>
      <c r="D1810" s="2" t="str">
        <f t="shared" si="27"/>
        <v>Error?</v>
      </c>
    </row>
    <row r="1811" spans="1:4" x14ac:dyDescent="0.2">
      <c r="A1811" s="5">
        <v>1750</v>
      </c>
      <c r="B1811" s="138">
        <f>'Tax Sched 23'!E7</f>
        <v>29289</v>
      </c>
      <c r="D1811" s="2" t="str">
        <f t="shared" si="27"/>
        <v>Error?</v>
      </c>
    </row>
    <row r="1812" spans="1:4" x14ac:dyDescent="0.2">
      <c r="A1812" s="5">
        <v>1751</v>
      </c>
      <c r="B1812" s="138">
        <f>'Tax Sched 23'!E8</f>
        <v>9500</v>
      </c>
      <c r="D1812" s="2" t="str">
        <f t="shared" si="27"/>
        <v>Error?</v>
      </c>
    </row>
    <row r="1813" spans="1:4" x14ac:dyDescent="0.2">
      <c r="A1813" s="5">
        <v>1752</v>
      </c>
      <c r="B1813" s="138">
        <f>'Tax Sched 23'!E10</f>
        <v>9153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45013</v>
      </c>
      <c r="D1816" s="2" t="str">
        <f t="shared" si="27"/>
        <v>Error?</v>
      </c>
    </row>
    <row r="1817" spans="1:4" x14ac:dyDescent="0.2">
      <c r="A1817" s="5">
        <v>1756</v>
      </c>
      <c r="B1817" s="138">
        <f>'Tax Sched 23'!E12</f>
        <v>9153</v>
      </c>
      <c r="D1817" s="2" t="str">
        <f t="shared" si="27"/>
        <v>Error?</v>
      </c>
    </row>
    <row r="1818" spans="1:4" x14ac:dyDescent="0.2">
      <c r="A1818" s="5">
        <v>1757</v>
      </c>
      <c r="B1818" s="138">
        <f>'Tax Sched 23'!E14</f>
        <v>3661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704338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60000</v>
      </c>
      <c r="C1939" s="2" t="s">
        <v>573</v>
      </c>
      <c r="D1939" s="2" t="str">
        <f t="shared" si="29"/>
        <v>Error?</v>
      </c>
    </row>
    <row r="1940" spans="1:5" x14ac:dyDescent="0.2">
      <c r="A1940" s="5">
        <v>1879</v>
      </c>
      <c r="B1940" s="138">
        <f>'Short-Term Long-Term Debt 24'!F49</f>
        <v>135000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3642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3642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3642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10000</v>
      </c>
      <c r="D2008" s="2" t="str">
        <f t="shared" si="30"/>
        <v>Error?</v>
      </c>
    </row>
    <row r="2009" spans="1:4" x14ac:dyDescent="0.2">
      <c r="A2009" s="5">
        <v>1948</v>
      </c>
      <c r="B2009" s="138">
        <f>'Cap Outlay Deprec 26'!C8</f>
        <v>325344</v>
      </c>
      <c r="D2009" s="2" t="str">
        <f t="shared" si="30"/>
        <v>Error?</v>
      </c>
    </row>
    <row r="2010" spans="1:4" x14ac:dyDescent="0.2">
      <c r="A2010" s="5">
        <v>1949</v>
      </c>
      <c r="B2010" s="138">
        <f>'Cap Outlay Deprec 26'!C10</f>
        <v>105796</v>
      </c>
      <c r="D2010" s="2" t="str">
        <f t="shared" si="30"/>
        <v>Error?</v>
      </c>
    </row>
    <row r="2011" spans="1:4" x14ac:dyDescent="0.2">
      <c r="A2011" s="5">
        <v>1950</v>
      </c>
      <c r="B2011" s="138">
        <f>'Cap Outlay Deprec 26'!C12</f>
        <v>282329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723469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3200</v>
      </c>
      <c r="D2016" s="2" t="str">
        <f t="shared" si="30"/>
        <v>Error?</v>
      </c>
    </row>
    <row r="2017" spans="1:4" x14ac:dyDescent="0.2">
      <c r="A2017" s="5">
        <v>1956</v>
      </c>
      <c r="B2017" s="138">
        <f>'Cap Outlay Deprec 26'!D12</f>
        <v>8625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11825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10000</v>
      </c>
      <c r="C2026" s="2" t="s">
        <v>573</v>
      </c>
      <c r="D2026" s="2" t="str">
        <f t="shared" si="30"/>
        <v>Error?</v>
      </c>
    </row>
    <row r="2027" spans="1:4" x14ac:dyDescent="0.2">
      <c r="A2027" s="5">
        <v>1966</v>
      </c>
      <c r="B2027" s="138">
        <f>'Cap Outlay Deprec 26'!F8</f>
        <v>325344</v>
      </c>
      <c r="C2027" s="2" t="s">
        <v>573</v>
      </c>
      <c r="D2027" s="2" t="str">
        <f t="shared" si="30"/>
        <v>Error?</v>
      </c>
    </row>
    <row r="2028" spans="1:4" x14ac:dyDescent="0.2">
      <c r="A2028" s="5">
        <v>1967</v>
      </c>
      <c r="B2028" s="138">
        <f>'Cap Outlay Deprec 26'!F10</f>
        <v>108996</v>
      </c>
      <c r="C2028" s="2" t="s">
        <v>573</v>
      </c>
      <c r="D2028" s="2" t="str">
        <f t="shared" si="30"/>
        <v>Error?</v>
      </c>
    </row>
    <row r="2029" spans="1:4" x14ac:dyDescent="0.2">
      <c r="A2029" s="5">
        <v>1968</v>
      </c>
      <c r="B2029" s="138">
        <f>'Cap Outlay Deprec 26'!F12</f>
        <v>290954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735294</v>
      </c>
      <c r="C2031" s="2" t="s">
        <v>573</v>
      </c>
      <c r="D2031" s="2" t="str">
        <f t="shared" si="30"/>
        <v>Error?</v>
      </c>
    </row>
    <row r="2032" spans="1:4" x14ac:dyDescent="0.2">
      <c r="A2032" s="10">
        <v>1971</v>
      </c>
      <c r="D2032" s="2" t="str">
        <f t="shared" si="30"/>
        <v>OK</v>
      </c>
    </row>
    <row r="2033" spans="1:4" x14ac:dyDescent="0.2">
      <c r="A2033" s="5">
        <v>1972</v>
      </c>
      <c r="B2033" s="138">
        <f>'Cap Outlay Deprec 26'!H8</f>
        <v>152144</v>
      </c>
      <c r="D2033" s="2" t="str">
        <f t="shared" si="30"/>
        <v>Error?</v>
      </c>
    </row>
    <row r="2034" spans="1:4" x14ac:dyDescent="0.2">
      <c r="A2034" s="5">
        <v>1973</v>
      </c>
      <c r="B2034" s="138">
        <f>'Cap Outlay Deprec 26'!H10</f>
        <v>55204</v>
      </c>
      <c r="D2034" s="2" t="str">
        <f t="shared" si="30"/>
        <v>Error?</v>
      </c>
    </row>
    <row r="2035" spans="1:4" x14ac:dyDescent="0.2">
      <c r="A2035" s="5">
        <v>1974</v>
      </c>
      <c r="B2035" s="138">
        <f>'Cap Outlay Deprec 26'!H12</f>
        <v>275562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482910</v>
      </c>
      <c r="C2037" s="2" t="s">
        <v>573</v>
      </c>
      <c r="D2037" s="2" t="str">
        <f t="shared" si="30"/>
        <v>Error?</v>
      </c>
    </row>
    <row r="2038" spans="1:4" x14ac:dyDescent="0.2">
      <c r="A2038" s="10">
        <v>1977</v>
      </c>
      <c r="D2038" s="2" t="str">
        <f t="shared" si="30"/>
        <v>OK</v>
      </c>
    </row>
    <row r="2039" spans="1:4" x14ac:dyDescent="0.2">
      <c r="A2039" s="5">
        <v>1978</v>
      </c>
      <c r="B2039" s="138">
        <f>'Cap Outlay Deprec 26'!I8</f>
        <v>6507</v>
      </c>
      <c r="D2039" s="2" t="str">
        <f t="shared" si="30"/>
        <v>Error?</v>
      </c>
    </row>
    <row r="2040" spans="1:4" x14ac:dyDescent="0.2">
      <c r="A2040" s="5">
        <v>1979</v>
      </c>
      <c r="B2040" s="138">
        <f>'Cap Outlay Deprec 26'!I10</f>
        <v>3827</v>
      </c>
      <c r="D2040" s="2" t="str">
        <f t="shared" si="30"/>
        <v>Error?</v>
      </c>
    </row>
    <row r="2041" spans="1:4" x14ac:dyDescent="0.2">
      <c r="A2041" s="5">
        <v>1980</v>
      </c>
      <c r="B2041" s="138">
        <f>'Cap Outlay Deprec 26'!I12</f>
        <v>2204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12538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158651</v>
      </c>
      <c r="C2051" s="2" t="s">
        <v>573</v>
      </c>
      <c r="D2051" s="2" t="str">
        <f t="shared" si="31"/>
        <v>Error?</v>
      </c>
    </row>
    <row r="2052" spans="1:4" x14ac:dyDescent="0.2">
      <c r="A2052" s="5">
        <v>1991</v>
      </c>
      <c r="B2052" s="138">
        <f>'Cap Outlay Deprec 26'!K10</f>
        <v>59031</v>
      </c>
      <c r="C2052" s="2" t="s">
        <v>573</v>
      </c>
      <c r="D2052" s="2" t="str">
        <f t="shared" si="31"/>
        <v>Error?</v>
      </c>
    </row>
    <row r="2053" spans="1:4" x14ac:dyDescent="0.2">
      <c r="A2053" s="5">
        <v>1992</v>
      </c>
      <c r="B2053" s="138">
        <f>'Cap Outlay Deprec 26'!K12</f>
        <v>277766</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495448</v>
      </c>
      <c r="C2055" s="2" t="s">
        <v>573</v>
      </c>
      <c r="D2055" s="2" t="str">
        <f t="shared" si="31"/>
        <v>Error?</v>
      </c>
    </row>
    <row r="2056" spans="1:4" x14ac:dyDescent="0.2">
      <c r="A2056" s="5">
        <v>1995</v>
      </c>
      <c r="B2056" s="138">
        <f>'Cap Outlay Deprec 26'!L5</f>
        <v>10000</v>
      </c>
      <c r="C2056" s="2" t="s">
        <v>573</v>
      </c>
      <c r="D2056" s="2" t="str">
        <f t="shared" si="31"/>
        <v>Error?</v>
      </c>
    </row>
    <row r="2057" spans="1:4" x14ac:dyDescent="0.2">
      <c r="A2057" s="5">
        <v>1996</v>
      </c>
      <c r="B2057" s="138">
        <f>'Cap Outlay Deprec 26'!L8</f>
        <v>166693</v>
      </c>
      <c r="C2057" s="2" t="s">
        <v>573</v>
      </c>
      <c r="D2057" s="2" t="str">
        <f t="shared" si="31"/>
        <v>Error?</v>
      </c>
    </row>
    <row r="2058" spans="1:4" x14ac:dyDescent="0.2">
      <c r="A2058" s="5">
        <v>1997</v>
      </c>
      <c r="B2058" s="138">
        <f>'Cap Outlay Deprec 26'!L10</f>
        <v>49965</v>
      </c>
      <c r="C2058" s="2" t="s">
        <v>573</v>
      </c>
      <c r="D2058" s="2" t="str">
        <f t="shared" si="31"/>
        <v>Error?</v>
      </c>
    </row>
    <row r="2059" spans="1:4" x14ac:dyDescent="0.2">
      <c r="A2059" s="5">
        <v>1998</v>
      </c>
      <c r="B2059" s="138">
        <f>'Cap Outlay Deprec 26'!L12</f>
        <v>13188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239846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14220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195158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14292</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506271</v>
      </c>
      <c r="C2551" s="2" t="s">
        <v>573</v>
      </c>
      <c r="D2551" s="2" t="str">
        <f t="shared" si="38"/>
        <v>Error?</v>
      </c>
    </row>
    <row r="2552" spans="1:4" x14ac:dyDescent="0.2">
      <c r="A2552" s="10">
        <v>2491</v>
      </c>
      <c r="D2552" s="2" t="str">
        <f t="shared" si="38"/>
        <v>OK</v>
      </c>
    </row>
    <row r="2553" spans="1:4" x14ac:dyDescent="0.2">
      <c r="A2553" s="5">
        <v>2492</v>
      </c>
      <c r="B2553" s="138">
        <f>'Acct Summary 7-8'!C6</f>
        <v>237926</v>
      </c>
      <c r="C2553" s="2" t="s">
        <v>573</v>
      </c>
      <c r="D2553" s="2" t="str">
        <f t="shared" si="38"/>
        <v>Error?</v>
      </c>
    </row>
    <row r="2554" spans="1:4" x14ac:dyDescent="0.2">
      <c r="A2554" s="5">
        <v>2493</v>
      </c>
      <c r="B2554" s="138">
        <f>'Acct Summary 7-8'!C7</f>
        <v>37668</v>
      </c>
      <c r="C2554" s="2" t="s">
        <v>573</v>
      </c>
      <c r="D2554" s="2" t="str">
        <f t="shared" si="38"/>
        <v>Error?</v>
      </c>
    </row>
    <row r="2555" spans="1:4" x14ac:dyDescent="0.2">
      <c r="A2555" s="5">
        <v>2494</v>
      </c>
      <c r="B2555" s="138">
        <f>'Acct Summary 7-8'!C8</f>
        <v>781865</v>
      </c>
      <c r="C2555" s="2" t="s">
        <v>573</v>
      </c>
      <c r="D2555" s="2" t="str">
        <f t="shared" si="38"/>
        <v>Error?</v>
      </c>
    </row>
    <row r="2556" spans="1:4" x14ac:dyDescent="0.2">
      <c r="A2556" s="5">
        <v>2495</v>
      </c>
      <c r="B2556" s="138">
        <f>'Acct Summary 7-8'!C12</f>
        <v>424972</v>
      </c>
      <c r="C2556" s="2" t="s">
        <v>573</v>
      </c>
      <c r="D2556" s="2" t="str">
        <f t="shared" si="38"/>
        <v>Error?</v>
      </c>
    </row>
    <row r="2557" spans="1:4" x14ac:dyDescent="0.2">
      <c r="A2557" s="5">
        <v>2496</v>
      </c>
      <c r="B2557" s="138">
        <f>'Acct Summary 7-8'!C13</f>
        <v>180514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195158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800644</v>
      </c>
      <c r="C2561" s="2" t="s">
        <v>573</v>
      </c>
      <c r="D2561" s="2" t="str">
        <f t="shared" si="39"/>
        <v>Error?</v>
      </c>
    </row>
    <row r="2562" spans="1:4" x14ac:dyDescent="0.2">
      <c r="A2562" s="5">
        <v>2501</v>
      </c>
      <c r="B2562" s="138">
        <f>'Acct Summary 7-8'!C20</f>
        <v>-18779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100158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100158</v>
      </c>
      <c r="C2568" s="2" t="s">
        <v>573</v>
      </c>
      <c r="D2568" s="2" t="str">
        <f t="shared" si="39"/>
        <v>Error?</v>
      </c>
    </row>
    <row r="2569" spans="1:4" x14ac:dyDescent="0.2">
      <c r="A2569" s="5">
        <v>2508</v>
      </c>
      <c r="B2569" s="138">
        <f>'Acct Summary 7-8'!D13</f>
        <v>75411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14292</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89703</v>
      </c>
      <c r="C2573" s="2" t="s">
        <v>573</v>
      </c>
      <c r="D2573" s="2" t="str">
        <f t="shared" si="39"/>
        <v>Error?</v>
      </c>
    </row>
    <row r="2574" spans="1:4" x14ac:dyDescent="0.2">
      <c r="A2574" s="5">
        <v>2513</v>
      </c>
      <c r="B2574" s="138">
        <f>'Acct Summary 7-8'!D20</f>
        <v>10455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46011</v>
      </c>
      <c r="C2591" s="2" t="s">
        <v>573</v>
      </c>
      <c r="D2591" s="2" t="str">
        <f t="shared" si="39"/>
        <v>Error?</v>
      </c>
    </row>
    <row r="2592" spans="1:4" x14ac:dyDescent="0.2">
      <c r="A2592" s="10">
        <v>2531</v>
      </c>
      <c r="D2592" s="2" t="str">
        <f t="shared" si="39"/>
        <v>OK</v>
      </c>
    </row>
    <row r="2593" spans="1:4" x14ac:dyDescent="0.2">
      <c r="A2593" s="5">
        <v>2532</v>
      </c>
      <c r="B2593" s="138">
        <f>'Acct Summary 7-8'!F6</f>
        <v>40226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86237</v>
      </c>
      <c r="C2595" s="2" t="s">
        <v>573</v>
      </c>
      <c r="D2595" s="2" t="str">
        <f t="shared" si="39"/>
        <v>Error?</v>
      </c>
    </row>
    <row r="2596" spans="1:4" x14ac:dyDescent="0.2">
      <c r="A2596" s="5">
        <v>2535</v>
      </c>
      <c r="B2596" s="138">
        <f>'Acct Summary 7-8'!F13</f>
        <v>102910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5035</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107945</v>
      </c>
      <c r="C2600" s="2" t="s">
        <v>573</v>
      </c>
      <c r="D2600" s="2" t="str">
        <f t="shared" si="39"/>
        <v>Error?</v>
      </c>
    </row>
    <row r="2601" spans="1:4" x14ac:dyDescent="0.2">
      <c r="A2601" s="5">
        <v>2540</v>
      </c>
      <c r="B2601" s="138">
        <f>'Acct Summary 7-8'!F20</f>
        <v>-21708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23930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23930</v>
      </c>
      <c r="C2606" s="2" t="s">
        <v>573</v>
      </c>
      <c r="D2606" s="2" t="str">
        <f t="shared" si="39"/>
        <v>Error?</v>
      </c>
    </row>
    <row r="2607" spans="1:4" x14ac:dyDescent="0.2">
      <c r="A2607" s="5">
        <v>2546</v>
      </c>
      <c r="B2607" s="138">
        <f>'Acct Summary 7-8'!G12</f>
        <v>8975</v>
      </c>
      <c r="C2607" s="2" t="s">
        <v>573</v>
      </c>
      <c r="D2607" s="2" t="str">
        <f t="shared" si="39"/>
        <v>Error?</v>
      </c>
    </row>
    <row r="2608" spans="1:4" x14ac:dyDescent="0.2">
      <c r="A2608" s="5">
        <v>2547</v>
      </c>
      <c r="B2608" s="138">
        <f>'Acct Summary 7-8'!G13</f>
        <v>13079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22054</v>
      </c>
      <c r="C2612" s="2" t="s">
        <v>573</v>
      </c>
      <c r="D2612" s="2" t="str">
        <f t="shared" si="39"/>
        <v>Error?</v>
      </c>
    </row>
    <row r="2613" spans="1:4" x14ac:dyDescent="0.2">
      <c r="A2613" s="5">
        <v>2552</v>
      </c>
      <c r="B2613" s="138">
        <f>'Acct Summary 7-8'!G20</f>
        <v>1876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60492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60492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60675</v>
      </c>
      <c r="C2634" s="2" t="s">
        <v>573</v>
      </c>
      <c r="D2634" s="2" t="str">
        <f t="shared" si="40"/>
        <v>Error?</v>
      </c>
    </row>
    <row r="2635" spans="1:4" x14ac:dyDescent="0.2">
      <c r="A2635" s="5">
        <v>2574</v>
      </c>
      <c r="B2635" s="138">
        <f>'Acct Summary 7-8'!E17</f>
        <v>60675</v>
      </c>
      <c r="C2635" s="2" t="s">
        <v>573</v>
      </c>
      <c r="D2635" s="2" t="str">
        <f t="shared" si="40"/>
        <v>Error?</v>
      </c>
    </row>
    <row r="2636" spans="1:4" x14ac:dyDescent="0.2">
      <c r="A2636" s="5">
        <v>2575</v>
      </c>
      <c r="B2636" s="138">
        <f>'Acct Summary 7-8'!E20</f>
        <v>-183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180938</v>
      </c>
      <c r="C2789" s="2" t="s">
        <v>573</v>
      </c>
      <c r="D2789" s="2" t="str">
        <f t="shared" si="42"/>
        <v>Error?</v>
      </c>
    </row>
    <row r="2790" spans="1:4" x14ac:dyDescent="0.2">
      <c r="A2790" s="5">
        <v>2729</v>
      </c>
      <c r="B2790" s="138">
        <f>'Expenditures 15-22'!E102</f>
        <v>180938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5035</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5035</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126021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22601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126021</v>
      </c>
      <c r="D2912" s="2" t="str">
        <f t="shared" si="44"/>
        <v>Error?</v>
      </c>
    </row>
    <row r="2913" spans="1:4" x14ac:dyDescent="0.2">
      <c r="A2913" s="5">
        <v>2852</v>
      </c>
      <c r="B2913" s="138">
        <f>'Assets-Liab 5-6'!I41</f>
        <v>126021</v>
      </c>
      <c r="C2913" s="2" t="s">
        <v>573</v>
      </c>
      <c r="D2913" s="2" t="str">
        <f t="shared" si="44"/>
        <v>Error?</v>
      </c>
    </row>
    <row r="2914" spans="1:4" x14ac:dyDescent="0.2">
      <c r="A2914" s="5">
        <v>2853</v>
      </c>
      <c r="B2914" s="138">
        <f>'Assets-Liab 5-6'!L33</f>
        <v>22601</v>
      </c>
      <c r="D2914" s="2" t="str">
        <f t="shared" si="44"/>
        <v>Error?</v>
      </c>
    </row>
    <row r="2915" spans="1:4" x14ac:dyDescent="0.2">
      <c r="A2915" s="10">
        <v>2854</v>
      </c>
      <c r="D2915" s="2" t="str">
        <f t="shared" si="44"/>
        <v>OK</v>
      </c>
    </row>
    <row r="2916" spans="1:4" x14ac:dyDescent="0.2">
      <c r="A2916" s="5">
        <v>2855</v>
      </c>
      <c r="B2916" s="138">
        <f>'Assets-Liab 5-6'!L34</f>
        <v>22601</v>
      </c>
      <c r="C2916" s="2" t="s">
        <v>573</v>
      </c>
      <c r="D2916" s="2" t="str">
        <f t="shared" si="44"/>
        <v>Error?</v>
      </c>
    </row>
    <row r="2917" spans="1:4" x14ac:dyDescent="0.2">
      <c r="A2917" s="5">
        <v>2856</v>
      </c>
      <c r="B2917" s="138">
        <f>'Assets-Liab 5-6'!L41</f>
        <v>22601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19521</v>
      </c>
      <c r="D2949" s="2" t="str">
        <f t="shared" si="45"/>
        <v>Error?</v>
      </c>
    </row>
    <row r="2950" spans="1:4" x14ac:dyDescent="0.2">
      <c r="A2950" s="5">
        <v>2889</v>
      </c>
      <c r="B2950" s="138">
        <f>'Expenditures 15-22'!E79</f>
        <v>161417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14220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19521</v>
      </c>
      <c r="C2973" s="2" t="s">
        <v>573</v>
      </c>
      <c r="D2973" s="2" t="str">
        <f t="shared" si="45"/>
        <v>Error?</v>
      </c>
    </row>
    <row r="2974" spans="1:4" x14ac:dyDescent="0.2">
      <c r="A2974" s="5">
        <v>2913</v>
      </c>
      <c r="B2974" s="138">
        <f>'Expenditures 15-22'!K79</f>
        <v>175637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14292</v>
      </c>
      <c r="C2988" s="2" t="s">
        <v>573</v>
      </c>
      <c r="D2988" s="2" t="str">
        <f t="shared" si="45"/>
        <v>Error?</v>
      </c>
    </row>
    <row r="2989" spans="1:4" x14ac:dyDescent="0.2">
      <c r="A2989" s="5">
        <v>2928</v>
      </c>
      <c r="B2989" s="138">
        <f>'Expenditures 15-22'!E188</f>
        <v>5035</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5035</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9105</v>
      </c>
      <c r="C3225" s="2" t="s">
        <v>573</v>
      </c>
      <c r="D3225" s="2" t="str">
        <f t="shared" si="49"/>
        <v>Error?</v>
      </c>
    </row>
    <row r="3226" spans="1:4" x14ac:dyDescent="0.2">
      <c r="A3226" s="5">
        <v>3165</v>
      </c>
      <c r="B3226" s="138">
        <f>'Acct Summary 7-8'!I8</f>
        <v>9105</v>
      </c>
      <c r="C3226" s="2" t="s">
        <v>573</v>
      </c>
      <c r="D3226" s="2" t="str">
        <f t="shared" si="49"/>
        <v>Error?</v>
      </c>
    </row>
    <row r="3227" spans="1:4" x14ac:dyDescent="0.2">
      <c r="A3227" s="5">
        <v>3166</v>
      </c>
      <c r="B3227" s="138">
        <f>'Acct Summary 7-8'!I20</f>
        <v>9105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2355</v>
      </c>
      <c r="C3231" s="2" t="s">
        <v>573</v>
      </c>
      <c r="D3231" s="2" t="str">
        <f t="shared" si="49"/>
        <v>Error?</v>
      </c>
    </row>
    <row r="3232" spans="1:4" x14ac:dyDescent="0.2">
      <c r="A3232" s="5">
        <v>3171</v>
      </c>
      <c r="B3232" s="138">
        <f>'Acct Summary 7-8'!C77</f>
        <v>-2355</v>
      </c>
      <c r="C3232" s="2" t="s">
        <v>573</v>
      </c>
      <c r="D3232" s="2" t="str">
        <f t="shared" si="49"/>
        <v>Error?</v>
      </c>
    </row>
    <row r="3233" spans="1:4" x14ac:dyDescent="0.2">
      <c r="A3233" s="5">
        <v>3172</v>
      </c>
      <c r="B3233" s="138">
        <f>'Acct Summary 7-8'!C78</f>
        <v>-21134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10455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30000</v>
      </c>
      <c r="C3255" s="2" t="s">
        <v>573</v>
      </c>
      <c r="D3255" s="2" t="str">
        <f t="shared" si="49"/>
        <v>Error?</v>
      </c>
    </row>
    <row r="3256" spans="1:4" x14ac:dyDescent="0.2">
      <c r="A3256" s="5">
        <v>3195</v>
      </c>
      <c r="B3256" s="138">
        <f>'Acct Summary 7-8'!F78</f>
        <v>8292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1876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2355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2355</v>
      </c>
      <c r="C3277" s="2" t="s">
        <v>573</v>
      </c>
      <c r="D3277" s="2" t="str">
        <f t="shared" si="50"/>
        <v>Error?</v>
      </c>
    </row>
    <row r="3278" spans="1:4" x14ac:dyDescent="0.2">
      <c r="A3278" s="5">
        <v>3217</v>
      </c>
      <c r="B3278" s="138">
        <f>'Acct Summary 7-8'!E78</f>
        <v>2172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6957</v>
      </c>
      <c r="D3316" s="2" t="str">
        <f t="shared" si="50"/>
        <v>Error?</v>
      </c>
    </row>
    <row r="3317" spans="1:4" x14ac:dyDescent="0.2">
      <c r="A3317" s="5">
        <v>3256</v>
      </c>
      <c r="B3317" s="138">
        <f>'Acct Summary 7-8'!I44</f>
        <v>141957</v>
      </c>
      <c r="C3317" s="2" t="s">
        <v>573</v>
      </c>
      <c r="D3317" s="2" t="str">
        <f t="shared" si="50"/>
        <v>Error?</v>
      </c>
    </row>
    <row r="3318" spans="1:4" x14ac:dyDescent="0.2">
      <c r="A3318" s="5">
        <v>3257</v>
      </c>
      <c r="B3318" s="138">
        <f>'Acct Summary 7-8'!I76</f>
        <v>36887</v>
      </c>
      <c r="C3318" s="2" t="s">
        <v>573</v>
      </c>
      <c r="D3318" s="2" t="str">
        <f t="shared" si="50"/>
        <v>Error?</v>
      </c>
    </row>
    <row r="3319" spans="1:4" x14ac:dyDescent="0.2">
      <c r="A3319" s="5">
        <v>3258</v>
      </c>
      <c r="B3319" s="138">
        <f>'Acct Summary 7-8'!I77</f>
        <v>105070</v>
      </c>
      <c r="C3319" s="2" t="s">
        <v>573</v>
      </c>
      <c r="D3319" s="2" t="str">
        <f t="shared" si="50"/>
        <v>Error?</v>
      </c>
    </row>
    <row r="3320" spans="1:4" x14ac:dyDescent="0.2">
      <c r="A3320" s="5">
        <v>3259</v>
      </c>
      <c r="B3320" s="138">
        <f>'Acct Summary 7-8'!I78</f>
        <v>114175</v>
      </c>
      <c r="C3320" s="2" t="s">
        <v>573</v>
      </c>
      <c r="D3320" s="2" t="str">
        <f t="shared" si="50"/>
        <v>Error?</v>
      </c>
    </row>
    <row r="3321" spans="1:4" x14ac:dyDescent="0.2">
      <c r="A3321" s="5">
        <v>3260</v>
      </c>
      <c r="B3321" s="138">
        <f>'Acct Summary 7-8'!I79</f>
        <v>11846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126021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16020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16038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5463</v>
      </c>
      <c r="D3387" s="2" t="str">
        <f t="shared" si="51"/>
        <v>Error?</v>
      </c>
    </row>
    <row r="3388" spans="1:4" x14ac:dyDescent="0.2">
      <c r="A3388" s="5">
        <v>3327</v>
      </c>
      <c r="B3388" s="138">
        <f>'Expenditures 15-22'!D217</f>
        <v>3026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5463</v>
      </c>
      <c r="C3390" s="2" t="s">
        <v>573</v>
      </c>
      <c r="D3390" s="2" t="str">
        <f t="shared" si="51"/>
        <v>Error?</v>
      </c>
    </row>
    <row r="3391" spans="1:4" x14ac:dyDescent="0.2">
      <c r="A3391" s="5">
        <v>3330</v>
      </c>
      <c r="B3391" s="138">
        <f>'Expenditures 15-22'!K217</f>
        <v>3026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68891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60987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14374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37910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126021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22601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13460</v>
      </c>
      <c r="C3446" s="2" t="s">
        <v>573</v>
      </c>
      <c r="D3446" s="2" t="str">
        <f t="shared" si="52"/>
        <v>Error?</v>
      </c>
    </row>
    <row r="3447" spans="1:4" x14ac:dyDescent="0.2">
      <c r="A3447" s="5">
        <v>3386</v>
      </c>
      <c r="B3447" s="138">
        <f>'Tax Sched 23'!D16</f>
        <v>13460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12503</v>
      </c>
      <c r="C3449" s="2" t="s">
        <v>573</v>
      </c>
      <c r="D3449" s="2" t="str">
        <f t="shared" si="52"/>
        <v>Error?</v>
      </c>
    </row>
    <row r="3450" spans="1:4" x14ac:dyDescent="0.2">
      <c r="A3450" s="5">
        <v>3389</v>
      </c>
      <c r="B3450" s="138">
        <f>'Tax Sched 23'!E16</f>
        <v>12503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68777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68777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68777</v>
      </c>
      <c r="D3567" s="2" t="str">
        <f t="shared" si="54"/>
        <v>Error?</v>
      </c>
    </row>
    <row r="3568" spans="1:4" x14ac:dyDescent="0.2">
      <c r="A3568" s="5">
        <v>3507</v>
      </c>
      <c r="B3568" s="138">
        <f>'Assets-Liab 5-6'!K41</f>
        <v>68777</v>
      </c>
      <c r="C3568" s="2" t="s">
        <v>573</v>
      </c>
      <c r="D3568" s="2" t="str">
        <f t="shared" si="54"/>
        <v>Error?</v>
      </c>
    </row>
    <row r="3569" spans="1:4" x14ac:dyDescent="0.2">
      <c r="A3569" s="5">
        <v>3508</v>
      </c>
      <c r="B3569" s="138">
        <f>'Acct Summary 7-8'!K4</f>
        <v>9105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9105</v>
      </c>
      <c r="C3571" s="2" t="s">
        <v>573</v>
      </c>
      <c r="D3571" s="2" t="str">
        <f t="shared" si="54"/>
        <v>Error?</v>
      </c>
    </row>
    <row r="3572" spans="1:4" x14ac:dyDescent="0.2">
      <c r="A3572" s="5">
        <v>3511</v>
      </c>
      <c r="B3572" s="138">
        <f>'Acct Summary 7-8'!K13</f>
        <v>4512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4512</v>
      </c>
      <c r="C3575" s="2" t="s">
        <v>573</v>
      </c>
      <c r="D3575" s="2" t="str">
        <f t="shared" si="54"/>
        <v>Error?</v>
      </c>
    </row>
    <row r="3576" spans="1:4" x14ac:dyDescent="0.2">
      <c r="A3576" s="5">
        <v>3515</v>
      </c>
      <c r="B3576" s="138">
        <f>'Acct Summary 7-8'!K20</f>
        <v>4593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4593</v>
      </c>
      <c r="C3588" s="2" t="s">
        <v>573</v>
      </c>
      <c r="D3588" s="2" t="str">
        <f t="shared" si="55"/>
        <v>Error?</v>
      </c>
    </row>
    <row r="3589" spans="1:4" x14ac:dyDescent="0.2">
      <c r="A3589" s="5">
        <v>3528</v>
      </c>
      <c r="B3589" s="138">
        <f>'Acct Summary 7-8'!K79</f>
        <v>64184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68777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4512</v>
      </c>
      <c r="D3632" s="2" t="str">
        <f t="shared" si="55"/>
        <v>Error?</v>
      </c>
    </row>
    <row r="3633" spans="1:4" x14ac:dyDescent="0.2">
      <c r="A3633" s="5">
        <v>3572</v>
      </c>
      <c r="B3633" s="138">
        <f>'Expenditures 15-22'!E350</f>
        <v>4512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4512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4512</v>
      </c>
      <c r="C3669" s="2" t="s">
        <v>573</v>
      </c>
      <c r="D3669" s="2" t="str">
        <f t="shared" si="56"/>
        <v>Error?</v>
      </c>
    </row>
    <row r="3670" spans="1:4" x14ac:dyDescent="0.2">
      <c r="A3670" s="5">
        <v>3609</v>
      </c>
      <c r="B3670" s="138">
        <f>'Expenditures 15-22'!K350</f>
        <v>4512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4512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4512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4593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9105</v>
      </c>
      <c r="C3725" s="2" t="s">
        <v>573</v>
      </c>
      <c r="D3725" s="2" t="str">
        <f t="shared" si="57"/>
        <v>Error?</v>
      </c>
    </row>
    <row r="3726" spans="1:4" x14ac:dyDescent="0.2">
      <c r="A3726" s="5">
        <v>3665</v>
      </c>
      <c r="B3726" s="138">
        <f>'Tax Sched 23'!D13</f>
        <v>9105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9153</v>
      </c>
      <c r="C3728" s="2" t="s">
        <v>573</v>
      </c>
      <c r="D3728" s="2" t="str">
        <f t="shared" si="57"/>
        <v>Error?</v>
      </c>
    </row>
    <row r="3729" spans="1:4" x14ac:dyDescent="0.2">
      <c r="A3729" s="5">
        <v>3668</v>
      </c>
      <c r="B3729" s="138">
        <f>'Tax Sched 23'!E13</f>
        <v>9153</v>
      </c>
      <c r="D3729" s="2" t="str">
        <f t="shared" si="57"/>
        <v>Error?</v>
      </c>
    </row>
    <row r="3730" spans="1:4" x14ac:dyDescent="0.2">
      <c r="A3730" s="5">
        <v>3669</v>
      </c>
      <c r="B3730" s="138">
        <f>'ICR Computation 30'!E10</f>
        <v>13192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322074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1103939</v>
      </c>
      <c r="C4122" s="2" t="s">
        <v>573</v>
      </c>
      <c r="D4122" s="2" t="str">
        <f t="shared" si="63"/>
        <v>Error?</v>
      </c>
    </row>
    <row r="4123" spans="1:4" x14ac:dyDescent="0.2">
      <c r="A4123" s="5">
        <v>4062</v>
      </c>
      <c r="B4123" s="138">
        <f>'Acct Summary 7-8'!D10</f>
        <v>100158</v>
      </c>
      <c r="C4123" s="2" t="s">
        <v>573</v>
      </c>
      <c r="D4123" s="2" t="str">
        <f t="shared" si="63"/>
        <v>Error?</v>
      </c>
    </row>
    <row r="4124" spans="1:4" x14ac:dyDescent="0.2">
      <c r="A4124" s="5">
        <v>4063</v>
      </c>
      <c r="B4124" s="138">
        <f>'Acct Summary 7-8'!E10</f>
        <v>60492</v>
      </c>
      <c r="C4124" s="2" t="s">
        <v>573</v>
      </c>
      <c r="D4124" s="2" t="str">
        <f t="shared" si="63"/>
        <v>Error?</v>
      </c>
    </row>
    <row r="4125" spans="1:4" x14ac:dyDescent="0.2">
      <c r="A4125" s="5">
        <v>4064</v>
      </c>
      <c r="B4125" s="138">
        <f>'Acct Summary 7-8'!F10</f>
        <v>86237</v>
      </c>
      <c r="C4125" s="2" t="s">
        <v>573</v>
      </c>
      <c r="D4125" s="2" t="str">
        <f t="shared" si="63"/>
        <v>Error?</v>
      </c>
    </row>
    <row r="4126" spans="1:4" x14ac:dyDescent="0.2">
      <c r="A4126" s="5">
        <v>4065</v>
      </c>
      <c r="B4126" s="138">
        <f>'Acct Summary 7-8'!G10</f>
        <v>23930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9105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9105</v>
      </c>
      <c r="C4130" s="2" t="s">
        <v>573</v>
      </c>
      <c r="D4130" s="2" t="str">
        <f t="shared" si="63"/>
        <v>Error?</v>
      </c>
    </row>
    <row r="4131" spans="1:4" x14ac:dyDescent="0.2">
      <c r="A4131" s="5">
        <v>4070</v>
      </c>
      <c r="B4131" s="138">
        <f>'Acct Summary 7-8'!C18</f>
        <v>322074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1122718</v>
      </c>
      <c r="C4136" s="2" t="s">
        <v>573</v>
      </c>
      <c r="D4136" s="2" t="str">
        <f t="shared" si="63"/>
        <v>Error?</v>
      </c>
    </row>
    <row r="4137" spans="1:4" x14ac:dyDescent="0.2">
      <c r="A4137" s="5">
        <v>4076</v>
      </c>
      <c r="B4137" s="138">
        <f>'Acct Summary 7-8'!D19</f>
        <v>89703</v>
      </c>
      <c r="C4137" s="2" t="s">
        <v>573</v>
      </c>
      <c r="D4137" s="2" t="str">
        <f t="shared" si="63"/>
        <v>Error?</v>
      </c>
    </row>
    <row r="4138" spans="1:4" x14ac:dyDescent="0.2">
      <c r="A4138" s="5">
        <v>4077</v>
      </c>
      <c r="B4138" s="138">
        <f>'Acct Summary 7-8'!E19</f>
        <v>60675</v>
      </c>
      <c r="C4138" s="2" t="s">
        <v>573</v>
      </c>
      <c r="D4138" s="2" t="str">
        <f t="shared" si="63"/>
        <v>Error?</v>
      </c>
    </row>
    <row r="4139" spans="1:4" x14ac:dyDescent="0.2">
      <c r="A4139" s="5">
        <v>4078</v>
      </c>
      <c r="B4139" s="138">
        <f>'Acct Summary 7-8'!F19</f>
        <v>107945</v>
      </c>
      <c r="C4139" s="2" t="s">
        <v>573</v>
      </c>
      <c r="D4139" s="2" t="str">
        <f t="shared" si="63"/>
        <v>Error?</v>
      </c>
    </row>
    <row r="4140" spans="1:4" x14ac:dyDescent="0.2">
      <c r="A4140" s="5">
        <v>4079</v>
      </c>
      <c r="B4140" s="138">
        <f>'Acct Summary 7-8'!G19</f>
        <v>22054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4512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135000</v>
      </c>
      <c r="C4171" s="2" t="s">
        <v>573</v>
      </c>
      <c r="D4171" s="2" t="str">
        <f t="shared" si="64"/>
        <v>Error?</v>
      </c>
    </row>
    <row r="4172" spans="1:4" x14ac:dyDescent="0.2">
      <c r="A4172" s="5">
        <v>4111</v>
      </c>
      <c r="B4172" s="138">
        <f>'Short-Term Long-Term Debt 24'!J49</f>
        <v>135000</v>
      </c>
      <c r="C4172" s="2" t="s">
        <v>573</v>
      </c>
      <c r="D4172" s="2" t="str">
        <f t="shared" si="64"/>
        <v>Error?</v>
      </c>
    </row>
    <row r="4173" spans="1:4" x14ac:dyDescent="0.2">
      <c r="A4173" s="5">
        <v>4112</v>
      </c>
      <c r="B4173" s="138">
        <f>'Short-Term Long-Term Debt 24'!H49</f>
        <v>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14292</v>
      </c>
      <c r="D4201" s="2" t="str">
        <f t="shared" si="64"/>
        <v>Error?</v>
      </c>
    </row>
    <row r="4202" spans="1:4" x14ac:dyDescent="0.2">
      <c r="A4202" s="5">
        <v>4141</v>
      </c>
      <c r="B4202" s="138">
        <f>'Expenditures 15-22'!E137</f>
        <v>14292</v>
      </c>
      <c r="C4202" s="2" t="s">
        <v>573</v>
      </c>
      <c r="D4202" s="2" t="str">
        <f t="shared" si="64"/>
        <v>Error?</v>
      </c>
    </row>
    <row r="4203" spans="1:4" x14ac:dyDescent="0.2">
      <c r="A4203" s="5">
        <v>4142</v>
      </c>
      <c r="B4203" s="138">
        <f>'Expenditures 15-22'!E139</f>
        <v>14292</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2430</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160</v>
      </c>
      <c r="C4267" s="2" t="s">
        <v>573</v>
      </c>
      <c r="D4267" s="2" t="str">
        <f t="shared" si="65"/>
        <v>Error?</v>
      </c>
      <c r="E4267" s="128"/>
    </row>
    <row r="4268" spans="1:5" x14ac:dyDescent="0.2">
      <c r="A4268" s="12">
        <v>4207</v>
      </c>
      <c r="B4268" s="138">
        <f>('FP Info 3'!J10)*100000</f>
        <v>3139.9999999999995</v>
      </c>
      <c r="C4268" s="2" t="s">
        <v>573</v>
      </c>
      <c r="D4268" s="2" t="str">
        <f t="shared" si="65"/>
        <v>Error?</v>
      </c>
    </row>
    <row r="4269" spans="1:5" x14ac:dyDescent="0.2">
      <c r="A4269" s="12">
        <v>4208</v>
      </c>
      <c r="B4269" s="138">
        <f>'FP Info 3'!J16</f>
        <v>270273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5087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16569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16569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1523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6085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18305382</v>
      </c>
      <c r="D4995" s="2" t="str">
        <f t="shared" si="77"/>
        <v>Error?</v>
      </c>
    </row>
    <row r="4996" spans="1:4" x14ac:dyDescent="0.2">
      <c r="A4996" s="12">
        <v>4935</v>
      </c>
      <c r="B4996" s="138">
        <f>'FP Info 3'!H31</f>
        <v>1263071.358</v>
      </c>
      <c r="D4996" s="2" t="str">
        <f t="shared" si="77"/>
        <v>Error?</v>
      </c>
    </row>
    <row r="4997" spans="1:4" x14ac:dyDescent="0.2">
      <c r="A4997" s="12">
        <v>4936</v>
      </c>
      <c r="B4997" s="138">
        <f>'FP Info 3'!H37</f>
        <v>135000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9105</v>
      </c>
      <c r="D5026" s="2" t="str">
        <f t="shared" si="77"/>
        <v>Error?</v>
      </c>
    </row>
    <row r="5027" spans="1:4" x14ac:dyDescent="0.2">
      <c r="A5027" s="5">
        <v>4966</v>
      </c>
      <c r="B5027" s="138">
        <f>'Revenues 9-14'!F104</f>
        <v>9157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442516</v>
      </c>
      <c r="D5061" s="2" t="str">
        <f t="shared" si="78"/>
        <v>Error?</v>
      </c>
    </row>
    <row r="5062" spans="1:4" x14ac:dyDescent="0.2">
      <c r="A5062" s="10">
        <v>5001</v>
      </c>
      <c r="D5062" s="2" t="str">
        <f t="shared" si="78"/>
        <v>OK</v>
      </c>
    </row>
    <row r="5063" spans="1:4" x14ac:dyDescent="0.2">
      <c r="A5063" s="5">
        <v>5002</v>
      </c>
      <c r="B5063" s="138">
        <f>'Revenues 9-14'!C7</f>
        <v>3642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455263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6074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6074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1460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1404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14610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419</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419</v>
      </c>
      <c r="C5102" s="2" t="s">
        <v>573</v>
      </c>
      <c r="D5102" s="2" t="str">
        <f t="shared" si="78"/>
        <v>Error?</v>
      </c>
    </row>
    <row r="5103" spans="1:4" x14ac:dyDescent="0.2">
      <c r="A5103" s="5">
        <v>5042</v>
      </c>
      <c r="B5103" s="138">
        <f>'Revenues 9-14'!C84</f>
        <v>5585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5585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16775</v>
      </c>
      <c r="D5119" s="2" t="str">
        <f t="shared" ref="D5119:D5182" si="79">IF(ISBLANK(B5119),"OK",IF(A5119-B5119=0,"OK","Error?"))</f>
        <v>Error?</v>
      </c>
    </row>
    <row r="5120" spans="1:4" x14ac:dyDescent="0.2">
      <c r="A5120" s="5">
        <v>5059</v>
      </c>
      <c r="B5120" s="138">
        <f>'Revenues 9-14'!C108</f>
        <v>22860</v>
      </c>
      <c r="C5120" s="2" t="s">
        <v>573</v>
      </c>
      <c r="D5120" s="2" t="str">
        <f t="shared" si="79"/>
        <v>Error?</v>
      </c>
    </row>
    <row r="5121" spans="1:4" x14ac:dyDescent="0.2">
      <c r="A5121" s="5">
        <v>5060</v>
      </c>
      <c r="B5121" s="138">
        <f>'Revenues 9-14'!C109</f>
        <v>506271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237865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237865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237926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5273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5273</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9066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9066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37668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37668</v>
      </c>
      <c r="C5326" s="2" t="s">
        <v>573</v>
      </c>
      <c r="D5326" s="2" t="str">
        <f t="shared" si="82"/>
        <v>Error?</v>
      </c>
    </row>
    <row r="5327" spans="1:5" x14ac:dyDescent="0.2">
      <c r="A5327" s="5">
        <v>5266</v>
      </c>
      <c r="B5327" s="138">
        <f>'Revenues 9-14'!C268</f>
        <v>781865</v>
      </c>
      <c r="C5327" s="2" t="s">
        <v>573</v>
      </c>
      <c r="D5327" s="2" t="str">
        <f t="shared" si="82"/>
        <v>Error?</v>
      </c>
    </row>
    <row r="5328" spans="1:5" x14ac:dyDescent="0.2">
      <c r="A5328" s="5">
        <v>5267</v>
      </c>
      <c r="B5328" s="138">
        <f>'Revenues 9-14'!D5</f>
        <v>100158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100158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100158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100158</v>
      </c>
      <c r="C5508" s="2" t="s">
        <v>573</v>
      </c>
      <c r="D5508" s="2" t="str">
        <f t="shared" si="85"/>
        <v>Error?</v>
      </c>
    </row>
    <row r="5509" spans="1:4" x14ac:dyDescent="0.2">
      <c r="A5509" s="5">
        <v>5448</v>
      </c>
      <c r="B5509" s="138">
        <f>'Revenues 9-14'!E5</f>
        <v>60492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60492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60492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60492</v>
      </c>
      <c r="C5552" s="2" t="s">
        <v>573</v>
      </c>
      <c r="D5552" s="2" t="str">
        <f t="shared" si="85"/>
        <v>Error?</v>
      </c>
    </row>
    <row r="5553" spans="1:4" x14ac:dyDescent="0.2">
      <c r="A5553" s="5">
        <v>5492</v>
      </c>
      <c r="B5553" s="138">
        <f>'Revenues 9-14'!F5</f>
        <v>29137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29137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7717</v>
      </c>
      <c r="D5586" s="2" t="str">
        <f t="shared" si="86"/>
        <v>Error?</v>
      </c>
    </row>
    <row r="5587" spans="1:4" x14ac:dyDescent="0.2">
      <c r="A5587" s="5">
        <v>5526</v>
      </c>
      <c r="B5587" s="138">
        <f>'Revenues 9-14'!F108</f>
        <v>16874</v>
      </c>
      <c r="C5587" s="2" t="s">
        <v>573</v>
      </c>
      <c r="D5587" s="2" t="str">
        <f t="shared" si="86"/>
        <v>Error?</v>
      </c>
    </row>
    <row r="5588" spans="1:4" x14ac:dyDescent="0.2">
      <c r="A5588" s="5">
        <v>5527</v>
      </c>
      <c r="B5588" s="138">
        <f>'Revenues 9-14'!F109</f>
        <v>46011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11299</v>
      </c>
      <c r="D5615" s="2" t="str">
        <f t="shared" si="86"/>
        <v>Error?</v>
      </c>
    </row>
    <row r="5616" spans="1:4" x14ac:dyDescent="0.2">
      <c r="A5616" s="10">
        <v>5555</v>
      </c>
      <c r="D5616" s="2" t="str">
        <f t="shared" si="86"/>
        <v>OK</v>
      </c>
    </row>
    <row r="5617" spans="1:5" x14ac:dyDescent="0.2">
      <c r="A5617" s="5">
        <v>5556</v>
      </c>
      <c r="B5617" s="138">
        <f>'Revenues 9-14'!F153</f>
        <v>28927</v>
      </c>
      <c r="D5617" s="2" t="str">
        <f t="shared" si="86"/>
        <v>Error?</v>
      </c>
    </row>
    <row r="5618" spans="1:5" x14ac:dyDescent="0.2">
      <c r="A5618" s="5">
        <v>5557</v>
      </c>
      <c r="B5618" s="138">
        <f>'Revenues 9-14'!F155</f>
        <v>40226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40226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40226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86237</v>
      </c>
      <c r="C5720" s="2" t="s">
        <v>573</v>
      </c>
      <c r="D5720" s="2" t="str">
        <f t="shared" si="88"/>
        <v>Error?</v>
      </c>
    </row>
    <row r="5721" spans="1:4" x14ac:dyDescent="0.2">
      <c r="A5721" s="5">
        <v>5660</v>
      </c>
      <c r="B5721" s="138">
        <f>'Revenues 9-14'!G5</f>
        <v>10470</v>
      </c>
      <c r="D5721" s="2" t="str">
        <f t="shared" si="88"/>
        <v>Error?</v>
      </c>
    </row>
    <row r="5722" spans="1:4" x14ac:dyDescent="0.2">
      <c r="A5722" s="5">
        <v>5661</v>
      </c>
      <c r="B5722" s="138">
        <f>'Revenues 9-14'!G7</f>
        <v>0</v>
      </c>
      <c r="D5722" s="2" t="str">
        <f t="shared" si="88"/>
        <v>Error?</v>
      </c>
    </row>
    <row r="5723" spans="1:4" x14ac:dyDescent="0.2">
      <c r="A5723" s="5">
        <v>5662</v>
      </c>
      <c r="B5723" s="138">
        <f>'Revenues 9-14'!G8</f>
        <v>13460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23930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23930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9105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9105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9105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9105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9105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9105</v>
      </c>
      <c r="C6023" s="2" t="s">
        <v>573</v>
      </c>
      <c r="D6023" s="2" t="str">
        <f t="shared" si="93"/>
        <v>Error?</v>
      </c>
    </row>
    <row r="6024" spans="1:5" x14ac:dyDescent="0.2">
      <c r="A6024" s="5">
        <v>5963</v>
      </c>
      <c r="B6024" s="138">
        <f>'Revenues 9-14'!G109</f>
        <v>23930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9105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9105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13206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1515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36598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36598</v>
      </c>
      <c r="D6215" s="2" t="str">
        <f t="shared" si="96"/>
        <v>Error?</v>
      </c>
      <c r="E6215" s="2" t="s">
        <v>190</v>
      </c>
    </row>
    <row r="6216" spans="1:5" x14ac:dyDescent="0.2">
      <c r="A6216">
        <v>6155</v>
      </c>
      <c r="B6216" s="138">
        <f>'Assets-Liab 5-6'!J41</f>
        <v>36598</v>
      </c>
      <c r="D6216" s="2" t="str">
        <f t="shared" si="96"/>
        <v>Error?</v>
      </c>
      <c r="E6216" s="2" t="s">
        <v>190</v>
      </c>
    </row>
    <row r="6217" spans="1:5" x14ac:dyDescent="0.2">
      <c r="A6217">
        <v>6156</v>
      </c>
      <c r="B6217" s="138">
        <f>'Assets-Liab 5-6'!J4</f>
        <v>36598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53068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53068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53068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43285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43285</v>
      </c>
      <c r="D6229" s="2" t="str">
        <f t="shared" si="96"/>
        <v>Error?</v>
      </c>
      <c r="E6229" s="2" t="s">
        <v>190</v>
      </c>
    </row>
    <row r="6230" spans="1:5" x14ac:dyDescent="0.2">
      <c r="A6230">
        <v>6169</v>
      </c>
      <c r="B6230" s="138">
        <f>'Acct Summary 7-8'!J20</f>
        <v>9783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6887</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9783</v>
      </c>
      <c r="D6263" s="2" t="str">
        <f t="shared" si="96"/>
        <v>Error?</v>
      </c>
      <c r="E6263" s="2" t="s">
        <v>190</v>
      </c>
    </row>
    <row r="6264" spans="1:5" x14ac:dyDescent="0.2">
      <c r="A6264">
        <v>6203</v>
      </c>
      <c r="B6264" s="138">
        <f>'Acct Summary 7-8'!J79</f>
        <v>26815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36598</v>
      </c>
      <c r="D6266" s="2" t="str">
        <f t="shared" si="96"/>
        <v>Error?</v>
      </c>
      <c r="E6266" s="2" t="s">
        <v>190</v>
      </c>
    </row>
    <row r="6267" spans="1:5" x14ac:dyDescent="0.2">
      <c r="A6267">
        <v>6206</v>
      </c>
      <c r="B6267" s="138">
        <f>'Acct Summary 7-8'!C82</f>
        <v>-21134</v>
      </c>
      <c r="D6267" s="2" t="str">
        <f t="shared" si="96"/>
        <v>Error?</v>
      </c>
      <c r="E6267" s="2" t="s">
        <v>190</v>
      </c>
    </row>
    <row r="6268" spans="1:5" x14ac:dyDescent="0.2">
      <c r="A6268">
        <v>6207</v>
      </c>
      <c r="B6268" s="138">
        <f>'Acct Summary 7-8'!D82</f>
        <v>10455</v>
      </c>
      <c r="D6268" s="2" t="str">
        <f t="shared" si="96"/>
        <v>Error?</v>
      </c>
      <c r="E6268" s="2" t="s">
        <v>190</v>
      </c>
    </row>
    <row r="6269" spans="1:5" x14ac:dyDescent="0.2">
      <c r="A6269">
        <v>6208</v>
      </c>
      <c r="B6269" s="138">
        <f>'Acct Summary 7-8'!E82</f>
        <v>2172</v>
      </c>
      <c r="D6269" s="2" t="str">
        <f t="shared" si="96"/>
        <v>Error?</v>
      </c>
      <c r="E6269" s="2" t="s">
        <v>190</v>
      </c>
    </row>
    <row r="6270" spans="1:5" x14ac:dyDescent="0.2">
      <c r="A6270">
        <v>6209</v>
      </c>
      <c r="B6270" s="138">
        <f>'Acct Summary 7-8'!F82</f>
        <v>8292</v>
      </c>
      <c r="D6270" s="2" t="str">
        <f t="shared" si="96"/>
        <v>Error?</v>
      </c>
      <c r="E6270" s="2" t="s">
        <v>190</v>
      </c>
    </row>
    <row r="6271" spans="1:5" x14ac:dyDescent="0.2">
      <c r="A6271">
        <v>6210</v>
      </c>
      <c r="B6271" s="138">
        <f>'Acct Summary 7-8'!G82</f>
        <v>1876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114175</v>
      </c>
      <c r="D6273" s="2" t="str">
        <f t="shared" si="97"/>
        <v>Error?</v>
      </c>
      <c r="E6273" s="2" t="s">
        <v>190</v>
      </c>
    </row>
    <row r="6274" spans="1:5" x14ac:dyDescent="0.2">
      <c r="A6274">
        <v>6213</v>
      </c>
      <c r="B6274" s="138">
        <f>'Acct Summary 7-8'!J82</f>
        <v>9783</v>
      </c>
      <c r="D6274" s="2" t="str">
        <f t="shared" si="97"/>
        <v>Error?</v>
      </c>
      <c r="E6274" s="2" t="s">
        <v>190</v>
      </c>
    </row>
    <row r="6275" spans="1:5" x14ac:dyDescent="0.2">
      <c r="A6275">
        <v>6214</v>
      </c>
      <c r="B6275" s="138">
        <f>'Acct Summary 7-8'!K82</f>
        <v>4593</v>
      </c>
      <c r="D6275" s="2" t="str">
        <f t="shared" si="97"/>
        <v>Error?</v>
      </c>
      <c r="E6275" s="2" t="s">
        <v>190</v>
      </c>
    </row>
    <row r="6276" spans="1:5" x14ac:dyDescent="0.2">
      <c r="A6276">
        <v>6215</v>
      </c>
      <c r="B6276" s="138">
        <f>'Acct Summary 7-8'!C83</f>
        <v>-0.30677446981463469</v>
      </c>
      <c r="D6276" s="2" t="str">
        <f t="shared" si="97"/>
        <v>Error?</v>
      </c>
      <c r="E6276" s="2" t="s">
        <v>190</v>
      </c>
    </row>
    <row r="6277" spans="1:5" x14ac:dyDescent="0.2">
      <c r="A6277">
        <v>6216</v>
      </c>
      <c r="B6277" s="138">
        <f>'Acct Summary 7-8'!D83</f>
        <v>0.17142997688031875</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0.57687491303742866</v>
      </c>
      <c r="D6279" s="2" t="str">
        <f t="shared" si="97"/>
        <v>Error?</v>
      </c>
      <c r="E6279" s="2" t="s">
        <v>190</v>
      </c>
    </row>
    <row r="6280" spans="1:5" x14ac:dyDescent="0.2">
      <c r="A6280">
        <v>6219</v>
      </c>
      <c r="B6280" s="138">
        <f>'Acct Summary 7-8'!G83</f>
        <v>4.9485623845950934E-2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0.90599979368517947</v>
      </c>
      <c r="D6282" s="2" t="str">
        <f t="shared" si="97"/>
        <v>Error?</v>
      </c>
      <c r="E6282" s="2" t="s">
        <v>190</v>
      </c>
    </row>
    <row r="6283" spans="1:5" x14ac:dyDescent="0.2">
      <c r="A6283">
        <v>6222</v>
      </c>
      <c r="B6283" s="138">
        <f>'Acct Summary 7-8'!J83</f>
        <v>0.26730968905404667</v>
      </c>
      <c r="D6283" s="2" t="str">
        <f t="shared" si="97"/>
        <v>Error?</v>
      </c>
      <c r="E6283" s="2" t="s">
        <v>190</v>
      </c>
    </row>
    <row r="6284" spans="1:5" x14ac:dyDescent="0.2">
      <c r="A6284">
        <v>6223</v>
      </c>
      <c r="B6284" s="138">
        <f>'Acct Summary 7-8'!K83</f>
        <v>6.6781045989211515E-2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2355</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52841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52841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227</v>
      </c>
      <c r="D6350" s="2" t="str">
        <f t="shared" si="98"/>
        <v>Error?</v>
      </c>
      <c r="E6350" s="2" t="s">
        <v>190</v>
      </c>
    </row>
    <row r="6351" spans="1:5" x14ac:dyDescent="0.2">
      <c r="A6351">
        <v>6290</v>
      </c>
      <c r="B6351" s="138">
        <f>'Revenues 9-14'!J108</f>
        <v>227</v>
      </c>
      <c r="D6351" s="2" t="str">
        <f t="shared" si="98"/>
        <v>Error?</v>
      </c>
      <c r="E6351" s="2" t="s">
        <v>190</v>
      </c>
    </row>
    <row r="6352" spans="1:5" x14ac:dyDescent="0.2">
      <c r="A6352">
        <v>6291</v>
      </c>
      <c r="B6352" s="138">
        <f>'Revenues 9-14'!J109</f>
        <v>53068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5945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5945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375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375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375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6320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43285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53068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4590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4590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6454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2682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2682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25522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25522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1151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1151</v>
      </c>
      <c r="D7198" s="2" t="str">
        <f t="shared" si="111"/>
        <v>Error?</v>
      </c>
    </row>
    <row r="7199" spans="1:4" x14ac:dyDescent="0.2">
      <c r="A7199">
        <v>7138</v>
      </c>
      <c r="B7199" s="138">
        <f>'Expenditures 15-22'!C330</f>
        <v>25522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17763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43285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25522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17763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43285</v>
      </c>
      <c r="D7224" s="2" t="str">
        <f t="shared" si="111"/>
        <v>Error?</v>
      </c>
    </row>
    <row r="7225" spans="1:4" x14ac:dyDescent="0.2">
      <c r="A7225">
        <v>7164</v>
      </c>
      <c r="B7225" s="138">
        <f>'Expenditures 15-22'!K343</f>
        <v>9783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6320</v>
      </c>
      <c r="D7624" s="2" t="str">
        <f t="shared" si="124"/>
        <v>Error?</v>
      </c>
      <c r="E7624" s="2" t="s">
        <v>19</v>
      </c>
    </row>
    <row r="7625" spans="1:5" x14ac:dyDescent="0.2">
      <c r="A7625">
        <f t="shared" si="123"/>
        <v>7564</v>
      </c>
      <c r="B7625" s="138">
        <f>'Cap Outlay Deprec 26'!I17</f>
        <v>632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13170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2355</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2886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2886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3642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30000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161417</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South Wilmington CCSD 74</v>
      </c>
      <c r="B7" s="2385"/>
      <c r="C7" s="2385"/>
      <c r="D7" s="2422"/>
      <c r="E7" s="2423">
        <f>COVER!A13</f>
        <v>24032074003</v>
      </c>
      <c r="F7" s="2424"/>
      <c r="G7" s="2391" t="str">
        <f>COVER!T23</f>
        <v>066-004945</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GASSENSMITH &amp; MICHALESKO, LTD</v>
      </c>
      <c r="H9" s="2398"/>
      <c r="I9" s="2398"/>
      <c r="J9" s="2398"/>
      <c r="K9" s="2398"/>
      <c r="L9" s="2399"/>
    </row>
    <row r="10" spans="1:29" ht="13.5" customHeight="1" x14ac:dyDescent="0.2">
      <c r="A10" s="2381" t="str">
        <f>COVER!A38</f>
        <v>CYNTHIA CHRISTENSEN</v>
      </c>
      <c r="B10" s="2382"/>
      <c r="C10" s="2382"/>
      <c r="D10" s="2382"/>
      <c r="E10" s="2382"/>
      <c r="F10" s="2383"/>
      <c r="G10" s="2397" t="str">
        <f>COVER!T17</f>
        <v>323 SPRINGFIELD</v>
      </c>
      <c r="H10" s="2410"/>
      <c r="I10" s="2410"/>
      <c r="J10" s="2410"/>
      <c r="K10" s="2410"/>
      <c r="L10" s="2411"/>
    </row>
    <row r="11" spans="1:29" ht="13.5" customHeight="1" x14ac:dyDescent="0.2">
      <c r="A11" s="1184" t="s">
        <v>1519</v>
      </c>
      <c r="B11" s="1185"/>
      <c r="C11" s="1186"/>
      <c r="D11" s="1191"/>
      <c r="E11" s="1186"/>
      <c r="F11" s="1190"/>
      <c r="G11" s="2397" t="str">
        <f>COVER!T19</f>
        <v>JOLIET</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JOHN@GASSENSMITH.COM</v>
      </c>
      <c r="J13" s="2419"/>
      <c r="K13" s="2419"/>
      <c r="L13" s="2420"/>
    </row>
    <row r="14" spans="1:29" ht="13.5" customHeight="1" x14ac:dyDescent="0.2">
      <c r="A14" s="2397" t="str">
        <f>COVER!A19</f>
        <v>375 5TH AVENUE</v>
      </c>
      <c r="B14" s="2410"/>
      <c r="C14" s="2410"/>
      <c r="D14" s="2410"/>
      <c r="E14" s="2410"/>
      <c r="F14" s="2411"/>
      <c r="G14" s="1195" t="s">
        <v>1185</v>
      </c>
      <c r="H14" s="1193"/>
      <c r="I14" s="1193"/>
      <c r="J14" s="1193"/>
      <c r="K14" s="1193"/>
      <c r="L14" s="1194"/>
    </row>
    <row r="15" spans="1:29" ht="13.5" customHeight="1" x14ac:dyDescent="0.2">
      <c r="A15" s="2397" t="str">
        <f>COVER!A21</f>
        <v xml:space="preserve">SOUTH WILMINGTON  </v>
      </c>
      <c r="B15" s="2410"/>
      <c r="C15" s="2410"/>
      <c r="D15" s="2410"/>
      <c r="E15" s="2410"/>
      <c r="F15" s="2411"/>
      <c r="G15" s="2407" t="str">
        <f>COVER!T15</f>
        <v>JOHN MICHALESKO</v>
      </c>
      <c r="H15" s="2408"/>
      <c r="I15" s="2408"/>
      <c r="J15" s="2408"/>
      <c r="K15" s="2408"/>
      <c r="L15" s="2409"/>
    </row>
    <row r="16" spans="1:29" ht="12.2" customHeight="1" x14ac:dyDescent="0.2">
      <c r="A16" s="2387">
        <f>COVER!A25</f>
        <v>60474</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815-744-6200</v>
      </c>
      <c r="H18" s="2385"/>
      <c r="I18" s="2385"/>
      <c r="J18" s="2385"/>
      <c r="K18" s="2384" t="str">
        <f>COVER!X21</f>
        <v>815-744-3822</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South Wilmington CCSD 74</v>
      </c>
      <c r="B1" s="2421"/>
      <c r="C1" s="2421"/>
      <c r="D1" s="2421"/>
    </row>
    <row r="2" spans="1:11" s="1212" customFormat="1" ht="12.75" x14ac:dyDescent="0.2">
      <c r="A2" s="2426">
        <f>'Single Audit Cover'!E7</f>
        <v>24032074003</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South Wilmington CCSD 74</v>
      </c>
      <c r="B1" s="2429"/>
      <c r="C1" s="2429"/>
      <c r="D1" s="2429"/>
      <c r="E1" s="2429"/>
    </row>
    <row r="2" spans="1:5" x14ac:dyDescent="0.2">
      <c r="A2" s="2430">
        <f>'Single Audit Cover'!E7</f>
        <v>24032074003</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37668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1515</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-5087</v>
      </c>
    </row>
    <row r="19" spans="1:4" ht="13.5" thickBot="1" x14ac:dyDescent="0.25">
      <c r="A19" s="1262" t="s">
        <v>1235</v>
      </c>
      <c r="D19" s="1263">
        <f>SUM(D10:D17)</f>
        <v>34096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34096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34096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South Wilmington CCSD 74</v>
      </c>
      <c r="C1" s="2433"/>
      <c r="D1" s="2433"/>
      <c r="E1" s="2433"/>
      <c r="F1" s="2433"/>
      <c r="G1" s="2433"/>
      <c r="H1" s="2433"/>
      <c r="I1" s="2433"/>
      <c r="J1" s="2433"/>
      <c r="K1" s="2433"/>
      <c r="L1" s="2433"/>
      <c r="M1" s="2433"/>
    </row>
    <row r="2" spans="2:14" ht="15" x14ac:dyDescent="0.2">
      <c r="B2" s="2434">
        <f>'Single Audit Cover'!E7</f>
        <v>24032074003</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South Wilmington CCSD 74</v>
      </c>
      <c r="B1" s="2438"/>
      <c r="C1" s="2438"/>
      <c r="D1" s="2438"/>
      <c r="E1" s="2438"/>
      <c r="F1" s="2438"/>
    </row>
    <row r="2" spans="1:7" ht="13.5" customHeight="1" x14ac:dyDescent="0.2">
      <c r="A2" s="2434">
        <f>'Single Audit Cover'!E7</f>
        <v>24032074003</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2092</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South Wilmington CCSD 74</v>
      </c>
      <c r="C1" s="2454"/>
      <c r="D1" s="2454"/>
      <c r="E1" s="2454"/>
      <c r="F1" s="2454"/>
      <c r="G1" s="2454"/>
      <c r="H1" s="2454"/>
      <c r="I1" s="2454"/>
      <c r="J1" s="1406"/>
    </row>
    <row r="2" spans="2:10" s="317" customFormat="1" ht="12.75" customHeight="1" x14ac:dyDescent="0.2">
      <c r="B2" s="2455">
        <f>'Single Audit Cover'!E7</f>
        <v>24032074003</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South Wilmington CCSD 74</v>
      </c>
      <c r="C1" s="2453"/>
      <c r="D1" s="2453"/>
      <c r="E1" s="2453"/>
      <c r="F1" s="2453"/>
      <c r="G1" s="2453"/>
      <c r="H1" s="2453"/>
      <c r="I1" s="2453"/>
      <c r="J1" s="2453"/>
      <c r="K1" s="2453"/>
      <c r="L1" s="1371"/>
      <c r="M1" s="1371"/>
    </row>
    <row r="2" spans="1:13" ht="12" customHeight="1" x14ac:dyDescent="0.2">
      <c r="B2" s="2455">
        <f>'Single Audit Cover'!E7</f>
        <v>24032074003</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South Wilmington CCSD 74</v>
      </c>
      <c r="C1" s="2480"/>
      <c r="D1" s="2480"/>
      <c r="E1" s="2480"/>
      <c r="F1" s="2480"/>
      <c r="G1" s="2480"/>
      <c r="H1" s="2480"/>
      <c r="I1" s="2480"/>
      <c r="J1" s="2480"/>
      <c r="K1" s="2480"/>
      <c r="L1" s="1449"/>
    </row>
    <row r="2" spans="1:12" ht="12.75" customHeight="1" x14ac:dyDescent="0.2">
      <c r="B2" s="2481">
        <f>'Single Audit Cover'!E7</f>
        <v>24032074003</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South Wilmington CCSD 74</v>
      </c>
      <c r="C1" s="2453"/>
      <c r="D1" s="2453"/>
      <c r="E1" s="1469"/>
    </row>
    <row r="2" spans="2:5" s="1279" customFormat="1" ht="12.75" customHeight="1" x14ac:dyDescent="0.2">
      <c r="B2" s="2455">
        <f>'Single Audit Cover'!E7</f>
        <v>24032074003</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C64" sqref="C6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18305382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2.4299999999999999E-2</v>
      </c>
      <c r="E10" s="356" t="s">
        <v>1005</v>
      </c>
      <c r="F10" s="355">
        <v>5.4999999999999997E-3</v>
      </c>
      <c r="G10" s="356" t="s">
        <v>1005</v>
      </c>
      <c r="H10" s="355">
        <v>1.6000000000000001E-3</v>
      </c>
      <c r="I10" s="356" t="s">
        <v>1006</v>
      </c>
      <c r="J10" s="1732">
        <f>ROUND(D10+F10+H10,5)</f>
        <v>3.1399999999999997E-2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977365</v>
      </c>
      <c r="E16" s="356"/>
      <c r="F16" s="1733">
        <f>SUM('Acct Summary 7-8'!C17,'Acct Summary 7-8'!D17,'Acct Summary 7-8'!F17)</f>
        <v>998292</v>
      </c>
      <c r="G16" s="356"/>
      <c r="H16" s="1733">
        <f>SUM(D16-F16)</f>
        <v>-20927</v>
      </c>
      <c r="I16" s="222"/>
      <c r="J16" s="1733">
        <f>SUM('Acct Summary 7-8'!C81,'Acct Summary 7-8'!D81,'Acct Summary 7-8'!F81,'Acct Summary 7-8'!I81)</f>
        <v>270273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2071</v>
      </c>
      <c r="C31" s="367" t="s">
        <v>586</v>
      </c>
      <c r="D31" s="237" t="s">
        <v>1072</v>
      </c>
      <c r="E31" s="222"/>
      <c r="F31" s="222"/>
      <c r="G31" s="363"/>
      <c r="H31" s="1735">
        <f>IF(B31="X",(J7*0.069),IF(B32="X",(J7*0.138),"Enter x in a.or b."))</f>
        <v>1263071.358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64" sqref="C6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South Wilmington CCSD 74</v>
      </c>
      <c r="E7" s="391"/>
      <c r="G7" s="252"/>
      <c r="H7" s="387"/>
      <c r="I7" s="387"/>
      <c r="J7" s="387"/>
      <c r="K7" s="387"/>
      <c r="L7" s="329"/>
      <c r="M7" s="329"/>
      <c r="N7" s="329"/>
      <c r="O7" s="329"/>
      <c r="P7" s="329"/>
    </row>
    <row r="8" spans="1:18" ht="12.75" x14ac:dyDescent="0.2">
      <c r="A8" s="329"/>
      <c r="B8" s="329"/>
      <c r="C8" s="389" t="s">
        <v>1125</v>
      </c>
      <c r="D8" s="392">
        <f>COVER!A13</f>
        <v>24032074003</v>
      </c>
      <c r="E8" s="393"/>
      <c r="G8" s="329"/>
      <c r="H8" s="329"/>
      <c r="I8" s="329"/>
      <c r="J8" s="329"/>
      <c r="K8" s="329"/>
      <c r="L8" s="329"/>
      <c r="M8" s="329"/>
      <c r="N8" s="329"/>
      <c r="O8" s="329"/>
      <c r="P8" s="329"/>
    </row>
    <row r="9" spans="1:18" ht="12.75" x14ac:dyDescent="0.2">
      <c r="A9" s="329"/>
      <c r="B9" s="329"/>
      <c r="C9" s="389" t="s">
        <v>713</v>
      </c>
      <c r="D9" s="394" t="str">
        <f>COVER!A15</f>
        <v>GRUNDY/KANKAKEE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270273</v>
      </c>
      <c r="I12" s="404"/>
      <c r="J12" s="404"/>
      <c r="K12" s="405">
        <f>TRUNC((H12/H13*100000),5)/100000</f>
        <v>0.27653230880000002</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977365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998292</v>
      </c>
      <c r="I17" s="404"/>
      <c r="J17" s="416"/>
      <c r="K17" s="405">
        <f>TRUNC((H17/H18*100000),5)/100000</f>
        <v>1.0214116526999999</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977365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8.2446839000000001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270273</v>
      </c>
      <c r="I24" s="422"/>
      <c r="J24" s="422"/>
      <c r="K24" s="423">
        <f>TRUNC(((H24/H25*100000)/100000),2)</f>
        <v>97.46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2773.0333300000002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488570.64558000001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135000</v>
      </c>
      <c r="I32" s="420"/>
      <c r="J32" s="420"/>
      <c r="K32" s="423">
        <f>TRUNC(100-((((H32/H33*100))*100)/100),2)</f>
        <v>89.31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1263071.358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6" activePane="bottomLeft" state="frozen"/>
      <selection activeCell="C64" sqref="C64"/>
      <selection pane="bottomLeft" activeCell="C64" sqref="C6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68891</v>
      </c>
      <c r="D4" s="466">
        <v>60987</v>
      </c>
      <c r="E4" s="466">
        <v>0</v>
      </c>
      <c r="F4" s="466">
        <v>14374</v>
      </c>
      <c r="G4" s="466">
        <v>37910</v>
      </c>
      <c r="H4" s="466">
        <v>0</v>
      </c>
      <c r="I4" s="466">
        <v>126021</v>
      </c>
      <c r="J4" s="467">
        <v>36598</v>
      </c>
      <c r="K4" s="466">
        <v>68777</v>
      </c>
      <c r="L4" s="466">
        <v>22601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68891</v>
      </c>
      <c r="D13" s="1737">
        <f t="shared" ref="D13:L13" si="0">SUM(D4:D12)</f>
        <v>60987</v>
      </c>
      <c r="E13" s="1737">
        <f t="shared" si="0"/>
        <v>0</v>
      </c>
      <c r="F13" s="1737">
        <f t="shared" si="0"/>
        <v>14374</v>
      </c>
      <c r="G13" s="1737">
        <f t="shared" si="0"/>
        <v>37910</v>
      </c>
      <c r="H13" s="1737">
        <f t="shared" si="0"/>
        <v>0</v>
      </c>
      <c r="I13" s="1737">
        <f t="shared" si="0"/>
        <v>126021</v>
      </c>
      <c r="J13" s="1737">
        <f t="shared" si="0"/>
        <v>36598</v>
      </c>
      <c r="K13" s="1737">
        <f t="shared" si="0"/>
        <v>68777</v>
      </c>
      <c r="L13" s="1737">
        <f t="shared" si="0"/>
        <v>22601</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10000</v>
      </c>
      <c r="N16" s="484"/>
    </row>
    <row r="17" spans="1:14" s="485" customFormat="1" ht="12.75" customHeight="1" x14ac:dyDescent="0.2">
      <c r="A17" s="482" t="s">
        <v>1403</v>
      </c>
      <c r="B17" s="483">
        <v>230</v>
      </c>
      <c r="C17" s="477"/>
      <c r="D17" s="477"/>
      <c r="E17" s="477"/>
      <c r="F17" s="477"/>
      <c r="G17" s="477"/>
      <c r="H17" s="477"/>
      <c r="I17" s="477"/>
      <c r="J17" s="477"/>
      <c r="K17" s="477"/>
      <c r="L17" s="477"/>
      <c r="M17" s="467">
        <v>325344</v>
      </c>
      <c r="N17" s="484"/>
    </row>
    <row r="18" spans="1:14" s="485" customFormat="1" ht="12.75" customHeight="1" x14ac:dyDescent="0.2">
      <c r="A18" s="482" t="s">
        <v>1404</v>
      </c>
      <c r="B18" s="483">
        <v>240</v>
      </c>
      <c r="C18" s="477"/>
      <c r="D18" s="477"/>
      <c r="E18" s="477"/>
      <c r="F18" s="477"/>
      <c r="G18" s="477"/>
      <c r="H18" s="477"/>
      <c r="I18" s="477"/>
      <c r="J18" s="477"/>
      <c r="K18" s="477"/>
      <c r="L18" s="477"/>
      <c r="M18" s="467">
        <v>108996</v>
      </c>
      <c r="N18" s="484"/>
    </row>
    <row r="19" spans="1:14" s="485" customFormat="1" ht="12.75" customHeight="1" x14ac:dyDescent="0.2">
      <c r="A19" s="482" t="s">
        <v>1405</v>
      </c>
      <c r="B19" s="483">
        <v>250</v>
      </c>
      <c r="C19" s="477"/>
      <c r="D19" s="477"/>
      <c r="E19" s="477"/>
      <c r="F19" s="477"/>
      <c r="G19" s="477"/>
      <c r="H19" s="477"/>
      <c r="I19" s="477"/>
      <c r="J19" s="477"/>
      <c r="K19" s="477"/>
      <c r="L19" s="477"/>
      <c r="M19" s="467">
        <v>290955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135000</v>
      </c>
    </row>
    <row r="23" spans="1:14" ht="13.5" customHeight="1" thickBot="1" x14ac:dyDescent="0.25">
      <c r="A23" s="1736" t="s">
        <v>643</v>
      </c>
      <c r="B23" s="1741"/>
      <c r="C23" s="468"/>
      <c r="D23" s="468"/>
      <c r="E23" s="468"/>
      <c r="F23" s="468"/>
      <c r="G23" s="468"/>
      <c r="H23" s="468"/>
      <c r="I23" s="468"/>
      <c r="J23" s="468"/>
      <c r="K23" s="468"/>
      <c r="L23" s="468"/>
      <c r="M23" s="1688">
        <f>SUM(M15:M22)</f>
        <v>735295</v>
      </c>
      <c r="N23" s="1688">
        <f>SUM(N21:N22)</f>
        <v>135000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22601</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22601</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135000</v>
      </c>
    </row>
    <row r="37" spans="1:14" ht="13.5" thickBot="1" x14ac:dyDescent="0.25">
      <c r="A37" s="1736" t="s">
        <v>653</v>
      </c>
      <c r="B37" s="1741"/>
      <c r="C37" s="477"/>
      <c r="D37" s="477"/>
      <c r="E37" s="477"/>
      <c r="F37" s="477"/>
      <c r="G37" s="477"/>
      <c r="H37" s="477"/>
      <c r="I37" s="477"/>
      <c r="J37" s="477"/>
      <c r="K37" s="477"/>
      <c r="L37" s="480"/>
      <c r="M37" s="468"/>
      <c r="N37" s="1688">
        <f>SUM(N36:N36)</f>
        <v>135000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68891</v>
      </c>
      <c r="D39" s="466">
        <v>60987</v>
      </c>
      <c r="E39" s="466">
        <v>0</v>
      </c>
      <c r="F39" s="466">
        <v>14374</v>
      </c>
      <c r="G39" s="466">
        <v>37910</v>
      </c>
      <c r="H39" s="466">
        <v>0</v>
      </c>
      <c r="I39" s="466">
        <v>126021</v>
      </c>
      <c r="J39" s="467">
        <v>36598</v>
      </c>
      <c r="K39" s="466">
        <v>68777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735295</v>
      </c>
      <c r="N40" s="497"/>
    </row>
    <row r="41" spans="1:14" ht="13.5" customHeight="1" thickBot="1" x14ac:dyDescent="0.25">
      <c r="A41" s="1736" t="s">
        <v>655</v>
      </c>
      <c r="B41" s="1706"/>
      <c r="C41" s="1688">
        <f>(SUM(C34,C37,C38,C39))</f>
        <v>68891</v>
      </c>
      <c r="D41" s="1688">
        <f t="shared" ref="D41:L41" si="2">SUM(D34,D37,D38:D39)</f>
        <v>60987</v>
      </c>
      <c r="E41" s="1688">
        <f t="shared" si="2"/>
        <v>0</v>
      </c>
      <c r="F41" s="1688">
        <f t="shared" si="2"/>
        <v>14374</v>
      </c>
      <c r="G41" s="1688">
        <f t="shared" si="2"/>
        <v>37910</v>
      </c>
      <c r="H41" s="1688">
        <f t="shared" si="2"/>
        <v>0</v>
      </c>
      <c r="I41" s="1688">
        <f t="shared" si="2"/>
        <v>126021</v>
      </c>
      <c r="J41" s="1688">
        <f t="shared" si="2"/>
        <v>36598</v>
      </c>
      <c r="K41" s="1688">
        <f t="shared" si="2"/>
        <v>68777</v>
      </c>
      <c r="L41" s="1688">
        <f t="shared" si="2"/>
        <v>22601</v>
      </c>
      <c r="M41" s="1688">
        <f>SUM(M40)</f>
        <v>735295</v>
      </c>
      <c r="N41" s="1688">
        <f>SUM(N37)</f>
        <v>135000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C64" sqref="C64"/>
      <selection pane="bottomLeft" activeCell="C64" sqref="C6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506271</v>
      </c>
      <c r="D4" s="1742">
        <f>'Revenues 9-14'!D109</f>
        <v>100158</v>
      </c>
      <c r="E4" s="1742">
        <f>'Revenues 9-14'!E109</f>
        <v>60492</v>
      </c>
      <c r="F4" s="1742">
        <f>'Revenues 9-14'!F109</f>
        <v>46011</v>
      </c>
      <c r="G4" s="1742">
        <f>'Revenues 9-14'!G109</f>
        <v>23930</v>
      </c>
      <c r="H4" s="1742">
        <f>'Revenues 9-14'!H109</f>
        <v>0</v>
      </c>
      <c r="I4" s="1742">
        <f>'Revenues 9-14'!I109</f>
        <v>9105</v>
      </c>
      <c r="J4" s="1742">
        <f>'Revenues 9-14'!J109</f>
        <v>53068</v>
      </c>
      <c r="K4" s="1742">
        <f>'Revenues 9-14'!K109</f>
        <v>9105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237926</v>
      </c>
      <c r="D6" s="1743">
        <f>'Revenues 9-14'!D170</f>
        <v>0</v>
      </c>
      <c r="E6" s="1743">
        <f>'Revenues 9-14'!E170</f>
        <v>0</v>
      </c>
      <c r="F6" s="1743">
        <f>'Revenues 9-14'!F170</f>
        <v>40226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37668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781865</v>
      </c>
      <c r="D8" s="1688">
        <f t="shared" ref="D8:K8" si="0">SUM(D4:D7)</f>
        <v>100158</v>
      </c>
      <c r="E8" s="1688">
        <f t="shared" si="0"/>
        <v>60492</v>
      </c>
      <c r="F8" s="1688">
        <f t="shared" si="0"/>
        <v>86237</v>
      </c>
      <c r="G8" s="1688">
        <f t="shared" si="0"/>
        <v>23930</v>
      </c>
      <c r="H8" s="1688">
        <f t="shared" si="0"/>
        <v>0</v>
      </c>
      <c r="I8" s="1688">
        <f t="shared" si="0"/>
        <v>9105</v>
      </c>
      <c r="J8" s="1688">
        <f t="shared" si="0"/>
        <v>53068</v>
      </c>
      <c r="K8" s="1688">
        <f t="shared" si="0"/>
        <v>9105</v>
      </c>
      <c r="L8" s="347"/>
    </row>
    <row r="9" spans="1:13" ht="15.75" thickTop="1" x14ac:dyDescent="0.2">
      <c r="A9" s="514" t="s">
        <v>1653</v>
      </c>
      <c r="B9" s="515">
        <v>3998</v>
      </c>
      <c r="C9" s="481">
        <v>322074</v>
      </c>
      <c r="D9" s="516"/>
      <c r="E9" s="481"/>
      <c r="F9" s="481"/>
      <c r="G9" s="517"/>
      <c r="H9" s="481"/>
      <c r="I9" s="509" t="s">
        <v>1169</v>
      </c>
      <c r="J9" s="478"/>
      <c r="K9" s="481"/>
      <c r="L9" s="347"/>
    </row>
    <row r="10" spans="1:13" s="519" customFormat="1" ht="13.5" thickBot="1" x14ac:dyDescent="0.25">
      <c r="A10" s="1736" t="s">
        <v>1173</v>
      </c>
      <c r="B10" s="1709"/>
      <c r="C10" s="1688">
        <f>SUM(C8:C9)</f>
        <v>1103939</v>
      </c>
      <c r="D10" s="1688">
        <f t="shared" ref="D10:K10" si="1">SUM(D8:D9)</f>
        <v>100158</v>
      </c>
      <c r="E10" s="1688">
        <f t="shared" si="1"/>
        <v>60492</v>
      </c>
      <c r="F10" s="1688">
        <f t="shared" si="1"/>
        <v>86237</v>
      </c>
      <c r="G10" s="1688">
        <f t="shared" si="1"/>
        <v>23930</v>
      </c>
      <c r="H10" s="1688">
        <f t="shared" si="1"/>
        <v>0</v>
      </c>
      <c r="I10" s="1688">
        <f t="shared" si="1"/>
        <v>9105</v>
      </c>
      <c r="J10" s="1688">
        <f t="shared" si="1"/>
        <v>53068</v>
      </c>
      <c r="K10" s="1688">
        <f t="shared" si="1"/>
        <v>9105</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424972</v>
      </c>
      <c r="D12" s="520" t="s">
        <v>1169</v>
      </c>
      <c r="E12" s="468" t="s">
        <v>1169</v>
      </c>
      <c r="F12" s="468" t="s">
        <v>1169</v>
      </c>
      <c r="G12" s="1742">
        <f>'Expenditures 15-22'!K229</f>
        <v>8975</v>
      </c>
      <c r="H12" s="521"/>
      <c r="I12" s="468" t="s">
        <v>1169</v>
      </c>
      <c r="J12" s="468" t="s">
        <v>1169</v>
      </c>
      <c r="K12" s="521" t="s">
        <v>1169</v>
      </c>
      <c r="L12" s="347"/>
    </row>
    <row r="13" spans="1:13" ht="15.75" customHeight="1" x14ac:dyDescent="0.2">
      <c r="A13" s="1576" t="s">
        <v>457</v>
      </c>
      <c r="B13" s="1578">
        <v>2000</v>
      </c>
      <c r="C13" s="1743">
        <f>'Expenditures 15-22'!K74</f>
        <v>180514</v>
      </c>
      <c r="D13" s="1743">
        <f>'Expenditures 15-22'!K129</f>
        <v>75411</v>
      </c>
      <c r="E13" s="469" t="s">
        <v>1169</v>
      </c>
      <c r="F13" s="1743">
        <f>'Expenditures 15-22'!K184</f>
        <v>102910</v>
      </c>
      <c r="G13" s="1743">
        <f>'Expenditures 15-22'!K279</f>
        <v>13079</v>
      </c>
      <c r="H13" s="1743">
        <f>'Expenditures 15-22'!K303</f>
        <v>0</v>
      </c>
      <c r="I13" s="468" t="s">
        <v>1169</v>
      </c>
      <c r="J13" s="1743">
        <f>'Expenditures 15-22'!K330</f>
        <v>43285</v>
      </c>
      <c r="K13" s="1747">
        <f>'Expenditures 15-22'!K352</f>
        <v>4512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195158</v>
      </c>
      <c r="D15" s="1743">
        <f>'Expenditures 15-22'!K139</f>
        <v>14292</v>
      </c>
      <c r="E15" s="1743">
        <f>'Expenditures 15-22'!K160</f>
        <v>0</v>
      </c>
      <c r="F15" s="1743">
        <f>'Expenditures 15-22'!K196</f>
        <v>5035</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60675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800644</v>
      </c>
      <c r="D17" s="1688">
        <f t="shared" si="2"/>
        <v>89703</v>
      </c>
      <c r="E17" s="1688">
        <f t="shared" si="2"/>
        <v>60675</v>
      </c>
      <c r="F17" s="1688">
        <f t="shared" si="2"/>
        <v>107945</v>
      </c>
      <c r="G17" s="1688">
        <f t="shared" si="2"/>
        <v>22054</v>
      </c>
      <c r="H17" s="1688">
        <f t="shared" si="2"/>
        <v>0</v>
      </c>
      <c r="I17" s="468"/>
      <c r="J17" s="1688">
        <f>SUM(J12:J16)</f>
        <v>43285</v>
      </c>
      <c r="K17" s="1688">
        <f>SUM(K12:K16)</f>
        <v>4512</v>
      </c>
      <c r="L17" s="347"/>
    </row>
    <row r="18" spans="1:12" ht="15" customHeight="1" thickTop="1" x14ac:dyDescent="0.2">
      <c r="A18" s="1744" t="s">
        <v>1654</v>
      </c>
      <c r="B18" s="1745">
        <v>4180</v>
      </c>
      <c r="C18" s="1742">
        <f t="shared" ref="C18:H18" si="3">C9</f>
        <v>322074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1122718</v>
      </c>
      <c r="D19" s="1688">
        <f t="shared" si="4"/>
        <v>89703</v>
      </c>
      <c r="E19" s="1688">
        <f t="shared" si="4"/>
        <v>60675</v>
      </c>
      <c r="F19" s="1688">
        <f t="shared" si="4"/>
        <v>107945</v>
      </c>
      <c r="G19" s="1688">
        <f t="shared" si="4"/>
        <v>22054</v>
      </c>
      <c r="H19" s="1688">
        <f t="shared" si="4"/>
        <v>0</v>
      </c>
      <c r="I19" s="468"/>
      <c r="J19" s="1688">
        <f>SUM(J17:J18)</f>
        <v>43285</v>
      </c>
      <c r="K19" s="1688">
        <f>SUM(K17:K18)</f>
        <v>4512</v>
      </c>
      <c r="L19" s="347"/>
    </row>
    <row r="20" spans="1:12" ht="16.5" thickTop="1" thickBot="1" x14ac:dyDescent="0.25">
      <c r="A20" s="2126" t="s">
        <v>1655</v>
      </c>
      <c r="B20" s="2127"/>
      <c r="C20" s="1746">
        <f>C8-C17</f>
        <v>-18779</v>
      </c>
      <c r="D20" s="1746">
        <f t="shared" ref="D20:K20" si="5">D8-D17</f>
        <v>10455</v>
      </c>
      <c r="E20" s="1746">
        <f t="shared" si="5"/>
        <v>-183</v>
      </c>
      <c r="F20" s="1746">
        <f t="shared" si="5"/>
        <v>-21708</v>
      </c>
      <c r="G20" s="1746">
        <f t="shared" si="5"/>
        <v>1876</v>
      </c>
      <c r="H20" s="1746">
        <f t="shared" si="5"/>
        <v>0</v>
      </c>
      <c r="I20" s="1746">
        <f t="shared" si="5"/>
        <v>9105</v>
      </c>
      <c r="J20" s="1746">
        <f t="shared" si="5"/>
        <v>9783</v>
      </c>
      <c r="K20" s="1746">
        <f t="shared" si="5"/>
        <v>4593</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v>30000</v>
      </c>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135000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2355</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v>6957</v>
      </c>
      <c r="J43" s="467"/>
      <c r="K43" s="467"/>
      <c r="L43" s="524"/>
    </row>
    <row r="44" spans="1:12" s="485" customFormat="1" ht="13.5" customHeight="1" thickBot="1" x14ac:dyDescent="0.25">
      <c r="A44" s="2140" t="s">
        <v>374</v>
      </c>
      <c r="B44" s="2141"/>
      <c r="C44" s="1703">
        <f>SUM(C24:C43)</f>
        <v>0</v>
      </c>
      <c r="D44" s="1703">
        <f t="shared" ref="D44:K44" si="6">SUM(D24:D43)</f>
        <v>0</v>
      </c>
      <c r="E44" s="1703">
        <f t="shared" si="6"/>
        <v>2355</v>
      </c>
      <c r="F44" s="1703">
        <f t="shared" si="6"/>
        <v>30000</v>
      </c>
      <c r="G44" s="1703">
        <f t="shared" si="6"/>
        <v>0</v>
      </c>
      <c r="H44" s="1703">
        <f t="shared" si="6"/>
        <v>0</v>
      </c>
      <c r="I44" s="1703">
        <f t="shared" si="6"/>
        <v>141957</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v>2355</v>
      </c>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6887</v>
      </c>
      <c r="J75" s="530"/>
      <c r="K75" s="532"/>
      <c r="L75" s="524"/>
    </row>
    <row r="76" spans="1:12" s="485" customFormat="1" ht="14.25" thickTop="1" thickBot="1" x14ac:dyDescent="0.25">
      <c r="A76" s="2116" t="s">
        <v>440</v>
      </c>
      <c r="B76" s="2117"/>
      <c r="C76" s="1703">
        <f t="shared" ref="C76:K76" si="7">SUM(C47:C75)</f>
        <v>2355</v>
      </c>
      <c r="D76" s="1703">
        <f t="shared" si="7"/>
        <v>0</v>
      </c>
      <c r="E76" s="1703">
        <f t="shared" si="7"/>
        <v>0</v>
      </c>
      <c r="F76" s="1703">
        <f t="shared" si="7"/>
        <v>0</v>
      </c>
      <c r="G76" s="1703">
        <f t="shared" si="7"/>
        <v>0</v>
      </c>
      <c r="H76" s="1703">
        <f t="shared" si="7"/>
        <v>0</v>
      </c>
      <c r="I76" s="1703">
        <f t="shared" si="7"/>
        <v>36887</v>
      </c>
      <c r="J76" s="1703">
        <f t="shared" si="7"/>
        <v>0</v>
      </c>
      <c r="K76" s="1703">
        <f t="shared" si="7"/>
        <v>0</v>
      </c>
      <c r="L76" s="524"/>
    </row>
    <row r="77" spans="1:12" ht="14.25" thickTop="1" thickBot="1" x14ac:dyDescent="0.25">
      <c r="A77" s="2118" t="s">
        <v>1177</v>
      </c>
      <c r="B77" s="2119"/>
      <c r="C77" s="1703">
        <f t="shared" ref="C77:K77" si="8">C44-C76</f>
        <v>-2355</v>
      </c>
      <c r="D77" s="1703">
        <f t="shared" si="8"/>
        <v>0</v>
      </c>
      <c r="E77" s="1703">
        <f t="shared" si="8"/>
        <v>2355</v>
      </c>
      <c r="F77" s="1703">
        <f t="shared" si="8"/>
        <v>30000</v>
      </c>
      <c r="G77" s="1703">
        <f t="shared" si="8"/>
        <v>0</v>
      </c>
      <c r="H77" s="1703">
        <f t="shared" si="8"/>
        <v>0</v>
      </c>
      <c r="I77" s="1703">
        <f t="shared" si="8"/>
        <v>105070</v>
      </c>
      <c r="J77" s="1703">
        <f t="shared" si="8"/>
        <v>0</v>
      </c>
      <c r="K77" s="1703">
        <f t="shared" si="8"/>
        <v>0</v>
      </c>
      <c r="L77" s="347"/>
    </row>
    <row r="78" spans="1:12" ht="21.75" customHeight="1" thickTop="1" thickBot="1" x14ac:dyDescent="0.25">
      <c r="A78" s="2122" t="s">
        <v>597</v>
      </c>
      <c r="B78" s="2123"/>
      <c r="C78" s="1702">
        <f t="shared" ref="C78:K78" si="9">C20+C77</f>
        <v>-21134</v>
      </c>
      <c r="D78" s="1702">
        <f t="shared" si="9"/>
        <v>10455</v>
      </c>
      <c r="E78" s="1702">
        <f t="shared" si="9"/>
        <v>2172</v>
      </c>
      <c r="F78" s="1702">
        <f t="shared" si="9"/>
        <v>8292</v>
      </c>
      <c r="G78" s="1702">
        <f t="shared" si="9"/>
        <v>1876</v>
      </c>
      <c r="H78" s="1702">
        <f t="shared" si="9"/>
        <v>0</v>
      </c>
      <c r="I78" s="1702">
        <f t="shared" si="9"/>
        <v>114175</v>
      </c>
      <c r="J78" s="1702">
        <f t="shared" si="9"/>
        <v>9783</v>
      </c>
      <c r="K78" s="1702">
        <f t="shared" si="9"/>
        <v>4593</v>
      </c>
      <c r="L78" s="533"/>
    </row>
    <row r="79" spans="1:12" ht="13.5" thickTop="1" x14ac:dyDescent="0.2">
      <c r="A79" s="1494" t="s">
        <v>1949</v>
      </c>
      <c r="B79" s="534"/>
      <c r="C79" s="478">
        <v>90025</v>
      </c>
      <c r="D79" s="535">
        <v>50532</v>
      </c>
      <c r="E79" s="535">
        <v>-2172</v>
      </c>
      <c r="F79" s="535">
        <v>6082</v>
      </c>
      <c r="G79" s="535">
        <v>36034</v>
      </c>
      <c r="H79" s="535">
        <v>0</v>
      </c>
      <c r="I79" s="535">
        <v>11846</v>
      </c>
      <c r="J79" s="535">
        <v>26815</v>
      </c>
      <c r="K79" s="535">
        <v>64184</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68891</v>
      </c>
      <c r="D81" s="1688">
        <f>SUM(D78:D80)</f>
        <v>60987</v>
      </c>
      <c r="E81" s="1688">
        <f t="shared" ref="E81:K81" si="10">SUM(E78:E80)</f>
        <v>0</v>
      </c>
      <c r="F81" s="1688">
        <f t="shared" si="10"/>
        <v>14374</v>
      </c>
      <c r="G81" s="1688">
        <f t="shared" si="10"/>
        <v>37910</v>
      </c>
      <c r="H81" s="1688">
        <f t="shared" si="10"/>
        <v>0</v>
      </c>
      <c r="I81" s="1688">
        <f t="shared" si="10"/>
        <v>126021</v>
      </c>
      <c r="J81" s="1688">
        <f t="shared" si="10"/>
        <v>36598</v>
      </c>
      <c r="K81" s="1688">
        <f t="shared" si="10"/>
        <v>68777</v>
      </c>
      <c r="L81" s="347"/>
    </row>
    <row r="82" spans="1:12" ht="0.75" customHeight="1" thickTop="1" thickBot="1" x14ac:dyDescent="0.25">
      <c r="A82" s="536" t="s">
        <v>343</v>
      </c>
      <c r="B82" s="537"/>
      <c r="C82" s="538">
        <f>(C81-C79)</f>
        <v>-21134</v>
      </c>
      <c r="D82" s="538">
        <f t="shared" ref="D82:K82" si="11">(D81-D79)</f>
        <v>10455</v>
      </c>
      <c r="E82" s="538">
        <f t="shared" si="11"/>
        <v>2172</v>
      </c>
      <c r="F82" s="538">
        <f t="shared" si="11"/>
        <v>8292</v>
      </c>
      <c r="G82" s="538">
        <f t="shared" si="11"/>
        <v>1876</v>
      </c>
      <c r="H82" s="538">
        <f t="shared" si="11"/>
        <v>0</v>
      </c>
      <c r="I82" s="538">
        <f t="shared" si="11"/>
        <v>114175</v>
      </c>
      <c r="J82" s="538">
        <f t="shared" si="11"/>
        <v>9783</v>
      </c>
      <c r="K82" s="538">
        <f t="shared" si="11"/>
        <v>4593</v>
      </c>
    </row>
    <row r="83" spans="1:12" ht="14.25" hidden="1" thickTop="1" thickBot="1" x14ac:dyDescent="0.25">
      <c r="A83" s="539" t="s">
        <v>344</v>
      </c>
      <c r="B83" s="464"/>
      <c r="C83" s="540">
        <f>C82/C81</f>
        <v>-0.30677446981463469</v>
      </c>
      <c r="D83" s="540">
        <f t="shared" ref="D83:K83" si="12">D82/D81</f>
        <v>0.17142997688031875</v>
      </c>
      <c r="E83" s="540" t="e">
        <f t="shared" si="12"/>
        <v>#DIV/0!</v>
      </c>
      <c r="F83" s="540">
        <f t="shared" si="12"/>
        <v>0.57687491303742866</v>
      </c>
      <c r="G83" s="540">
        <f t="shared" si="12"/>
        <v>4.9485623845950934E-2</v>
      </c>
      <c r="H83" s="540" t="e">
        <f t="shared" si="12"/>
        <v>#DIV/0!</v>
      </c>
      <c r="I83" s="540">
        <f t="shared" si="12"/>
        <v>0.90599979368517947</v>
      </c>
      <c r="J83" s="540">
        <f t="shared" si="12"/>
        <v>0.26730968905404667</v>
      </c>
      <c r="K83" s="540">
        <f t="shared" si="12"/>
        <v>6.6781045989211515E-2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64" sqref="C64"/>
      <selection pane="bottomLeft" activeCell="F5" sqref="F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442516</v>
      </c>
      <c r="D5" s="481">
        <v>100158</v>
      </c>
      <c r="E5" s="466">
        <v>60492</v>
      </c>
      <c r="F5" s="548">
        <v>29137</v>
      </c>
      <c r="G5" s="466">
        <v>10470</v>
      </c>
      <c r="H5" s="466">
        <v>0</v>
      </c>
      <c r="I5" s="466">
        <v>9105</v>
      </c>
      <c r="J5" s="467">
        <v>52841</v>
      </c>
      <c r="K5" s="466">
        <v>9105</v>
      </c>
    </row>
    <row r="6" spans="1:12" ht="15" x14ac:dyDescent="0.2">
      <c r="A6" s="463" t="s">
        <v>1662</v>
      </c>
      <c r="B6" s="470">
        <v>1130</v>
      </c>
      <c r="C6" s="466">
        <v>9105</v>
      </c>
      <c r="D6" s="466">
        <v>0</v>
      </c>
      <c r="E6" s="475"/>
      <c r="F6" s="475"/>
      <c r="G6" s="468"/>
      <c r="H6" s="468"/>
      <c r="I6" s="468"/>
      <c r="J6" s="468"/>
      <c r="K6" s="468"/>
    </row>
    <row r="7" spans="1:12" x14ac:dyDescent="0.2">
      <c r="A7" s="463" t="s">
        <v>110</v>
      </c>
      <c r="B7" s="549">
        <v>1140</v>
      </c>
      <c r="C7" s="466">
        <v>3642</v>
      </c>
      <c r="D7" s="466">
        <v>0</v>
      </c>
      <c r="E7" s="468"/>
      <c r="F7" s="467">
        <v>0</v>
      </c>
      <c r="G7" s="467">
        <v>0</v>
      </c>
      <c r="H7" s="467">
        <v>0</v>
      </c>
      <c r="I7" s="468"/>
      <c r="J7" s="468"/>
      <c r="K7" s="468"/>
    </row>
    <row r="8" spans="1:12" x14ac:dyDescent="0.2">
      <c r="A8" s="463" t="s">
        <v>413</v>
      </c>
      <c r="B8" s="470">
        <v>1150</v>
      </c>
      <c r="C8" s="475"/>
      <c r="D8" s="475"/>
      <c r="E8" s="477"/>
      <c r="F8" s="477"/>
      <c r="G8" s="481">
        <v>13460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455263</v>
      </c>
      <c r="D12" s="1707">
        <f t="shared" si="0"/>
        <v>100158</v>
      </c>
      <c r="E12" s="1707">
        <f t="shared" si="0"/>
        <v>60492</v>
      </c>
      <c r="F12" s="1707">
        <f t="shared" si="0"/>
        <v>29137</v>
      </c>
      <c r="G12" s="1707">
        <f t="shared" si="0"/>
        <v>23930</v>
      </c>
      <c r="H12" s="1707">
        <f t="shared" si="0"/>
        <v>0</v>
      </c>
      <c r="I12" s="1707">
        <f t="shared" si="0"/>
        <v>9105</v>
      </c>
      <c r="J12" s="1707">
        <f t="shared" si="0"/>
        <v>52841</v>
      </c>
      <c r="K12" s="1688">
        <f t="shared" si="0"/>
        <v>9105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6074</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6074</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1460</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1460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13206</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1404</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14610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419</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419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5585</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5585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6085</v>
      </c>
      <c r="D104" s="466">
        <v>0</v>
      </c>
      <c r="E104" s="481">
        <v>0</v>
      </c>
      <c r="F104" s="467">
        <v>9157</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16775</v>
      </c>
      <c r="D107" s="466">
        <v>0</v>
      </c>
      <c r="E107" s="466">
        <v>0</v>
      </c>
      <c r="F107" s="466">
        <v>7717</v>
      </c>
      <c r="G107" s="466">
        <v>0</v>
      </c>
      <c r="H107" s="466">
        <v>0</v>
      </c>
      <c r="I107" s="466">
        <v>0</v>
      </c>
      <c r="J107" s="467">
        <v>227</v>
      </c>
      <c r="K107" s="466">
        <v>0</v>
      </c>
    </row>
    <row r="108" spans="1:12" ht="12.75" customHeight="1" thickBot="1" x14ac:dyDescent="0.25">
      <c r="A108" s="1708" t="s">
        <v>487</v>
      </c>
      <c r="B108" s="1712"/>
      <c r="C108" s="1707">
        <f>SUM(C95:C107)</f>
        <v>22860</v>
      </c>
      <c r="D108" s="1707">
        <f t="shared" ref="D108:K108" si="3">SUM(D95:D107)</f>
        <v>0</v>
      </c>
      <c r="E108" s="1707">
        <f t="shared" si="3"/>
        <v>0</v>
      </c>
      <c r="F108" s="1707">
        <f t="shared" si="3"/>
        <v>16874</v>
      </c>
      <c r="G108" s="1707">
        <f t="shared" si="3"/>
        <v>0</v>
      </c>
      <c r="H108" s="1707">
        <f t="shared" si="3"/>
        <v>0</v>
      </c>
      <c r="I108" s="1707">
        <f t="shared" si="3"/>
        <v>0</v>
      </c>
      <c r="J108" s="1707">
        <f t="shared" si="3"/>
        <v>227</v>
      </c>
      <c r="K108" s="1688">
        <f t="shared" si="3"/>
        <v>0</v>
      </c>
    </row>
    <row r="109" spans="1:12" ht="14.25" thickTop="1" thickBot="1" x14ac:dyDescent="0.25">
      <c r="A109" s="1713" t="s">
        <v>248</v>
      </c>
      <c r="B109" s="1714" t="s">
        <v>570</v>
      </c>
      <c r="C109" s="1715">
        <f t="shared" ref="C109:K109" si="4">SUM(C12,C18,C40,C63,C67,C75,C82,C93,C108,)</f>
        <v>506271</v>
      </c>
      <c r="D109" s="1715">
        <f t="shared" si="4"/>
        <v>100158</v>
      </c>
      <c r="E109" s="1715">
        <f t="shared" si="4"/>
        <v>60492</v>
      </c>
      <c r="F109" s="1715">
        <f t="shared" si="4"/>
        <v>46011</v>
      </c>
      <c r="G109" s="1715">
        <f t="shared" si="4"/>
        <v>23930</v>
      </c>
      <c r="H109" s="1715">
        <f t="shared" si="4"/>
        <v>0</v>
      </c>
      <c r="I109" s="1715">
        <f t="shared" si="4"/>
        <v>9105</v>
      </c>
      <c r="J109" s="1715">
        <f t="shared" si="4"/>
        <v>53068</v>
      </c>
      <c r="K109" s="1702">
        <f t="shared" si="4"/>
        <v>9105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237865</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237865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61</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11299</v>
      </c>
      <c r="G152" s="467">
        <v>0</v>
      </c>
      <c r="H152" s="468"/>
      <c r="I152" s="468"/>
      <c r="J152" s="468"/>
      <c r="K152" s="468"/>
    </row>
    <row r="153" spans="1:11" ht="12.75" customHeight="1" x14ac:dyDescent="0.2">
      <c r="A153" s="463" t="s">
        <v>1057</v>
      </c>
      <c r="B153" s="562">
        <v>3510</v>
      </c>
      <c r="C153" s="551">
        <v>0</v>
      </c>
      <c r="D153" s="466">
        <v>0</v>
      </c>
      <c r="E153" s="561"/>
      <c r="F153" s="466">
        <v>28927</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40226</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44" t="s">
        <v>398</v>
      </c>
      <c r="B169" s="2145"/>
      <c r="C169" s="1722">
        <f t="shared" ref="C169:K169" si="6">SUM(C132,C141,C145,C146:C150,C155,C156:C167,C168)</f>
        <v>61</v>
      </c>
      <c r="D169" s="1722">
        <f t="shared" si="6"/>
        <v>0</v>
      </c>
      <c r="E169" s="1722">
        <f t="shared" si="6"/>
        <v>0</v>
      </c>
      <c r="F169" s="1722">
        <f t="shared" si="6"/>
        <v>40226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237926</v>
      </c>
      <c r="D170" s="1715">
        <f t="shared" si="7"/>
        <v>0</v>
      </c>
      <c r="E170" s="1715">
        <f t="shared" si="7"/>
        <v>0</v>
      </c>
      <c r="F170" s="1715">
        <f t="shared" si="7"/>
        <v>40226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16569</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16569</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5273</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5273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9066</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9066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1523</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150</v>
      </c>
      <c r="D263" s="576">
        <v>0</v>
      </c>
      <c r="E263" s="468"/>
      <c r="F263" s="576">
        <v>0</v>
      </c>
      <c r="G263" s="576">
        <v>0</v>
      </c>
      <c r="H263" s="468"/>
      <c r="I263" s="468"/>
      <c r="J263" s="468"/>
      <c r="K263" s="468"/>
    </row>
    <row r="264" spans="1:11" ht="12.75" customHeight="1" thickTop="1" thickBot="1" x14ac:dyDescent="0.25">
      <c r="A264" s="463" t="s">
        <v>377</v>
      </c>
      <c r="B264" s="470">
        <v>4992</v>
      </c>
      <c r="C264" s="575">
        <v>5087</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37668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37668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781865</v>
      </c>
      <c r="D268" s="1715">
        <f t="shared" si="12"/>
        <v>100158</v>
      </c>
      <c r="E268" s="1715">
        <f t="shared" si="12"/>
        <v>60492</v>
      </c>
      <c r="F268" s="1715">
        <f t="shared" si="12"/>
        <v>86237</v>
      </c>
      <c r="G268" s="1715">
        <f t="shared" si="12"/>
        <v>23930</v>
      </c>
      <c r="H268" s="1715">
        <f t="shared" si="12"/>
        <v>0</v>
      </c>
      <c r="I268" s="1715">
        <f t="shared" si="12"/>
        <v>9105</v>
      </c>
      <c r="J268" s="1715">
        <f t="shared" si="12"/>
        <v>53068</v>
      </c>
      <c r="K268" s="1702">
        <f t="shared" si="12"/>
        <v>9105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94" colorId="8" zoomScale="110" zoomScaleNormal="110" workbookViewId="0">
      <selection activeCell="C64" sqref="C6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316891</v>
      </c>
      <c r="D5" s="466">
        <v>48946</v>
      </c>
      <c r="E5" s="466">
        <v>0</v>
      </c>
      <c r="F5" s="466">
        <v>12178</v>
      </c>
      <c r="G5" s="466">
        <v>7636</v>
      </c>
      <c r="H5" s="466">
        <v>0</v>
      </c>
      <c r="I5" s="466">
        <v>5945</v>
      </c>
      <c r="J5" s="466">
        <v>0</v>
      </c>
      <c r="K5" s="1671">
        <f>SUM(C5:J5)</f>
        <v>391596</v>
      </c>
      <c r="L5" s="466">
        <v>389787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0</v>
      </c>
      <c r="D7" s="467">
        <v>0</v>
      </c>
      <c r="E7" s="467">
        <v>0</v>
      </c>
      <c r="F7" s="467">
        <v>0</v>
      </c>
      <c r="G7" s="467">
        <v>0</v>
      </c>
      <c r="H7" s="467">
        <v>0</v>
      </c>
      <c r="I7" s="467">
        <v>0</v>
      </c>
      <c r="J7" s="467">
        <v>0</v>
      </c>
      <c r="K7" s="1671">
        <f t="shared" ref="K7:K32" si="0">SUM(C7:J7)</f>
        <v>0</v>
      </c>
      <c r="L7" s="466"/>
    </row>
    <row r="8" spans="1:14" x14ac:dyDescent="0.2">
      <c r="A8" s="1504" t="s">
        <v>164</v>
      </c>
      <c r="B8" s="614">
        <v>1200</v>
      </c>
      <c r="C8" s="466">
        <v>16020</v>
      </c>
      <c r="D8" s="466">
        <v>0</v>
      </c>
      <c r="E8" s="466">
        <v>18</v>
      </c>
      <c r="F8" s="466">
        <v>0</v>
      </c>
      <c r="G8" s="466">
        <v>0</v>
      </c>
      <c r="H8" s="466">
        <v>0</v>
      </c>
      <c r="I8" s="467">
        <v>0</v>
      </c>
      <c r="J8" s="467">
        <v>0</v>
      </c>
      <c r="K8" s="1671">
        <f t="shared" si="0"/>
        <v>16038</v>
      </c>
      <c r="L8" s="466">
        <v>14308</v>
      </c>
    </row>
    <row r="9" spans="1:14" x14ac:dyDescent="0.2">
      <c r="A9" s="1504" t="s">
        <v>721</v>
      </c>
      <c r="B9" s="614" t="s">
        <v>968</v>
      </c>
      <c r="C9" s="467">
        <v>0</v>
      </c>
      <c r="D9" s="467">
        <v>0</v>
      </c>
      <c r="E9" s="467">
        <v>0</v>
      </c>
      <c r="F9" s="467">
        <v>0</v>
      </c>
      <c r="G9" s="467">
        <v>0</v>
      </c>
      <c r="H9" s="467">
        <v>0</v>
      </c>
      <c r="I9" s="467">
        <v>0</v>
      </c>
      <c r="J9" s="467">
        <v>0</v>
      </c>
      <c r="K9" s="1671">
        <f t="shared" si="0"/>
        <v>0</v>
      </c>
      <c r="L9" s="466"/>
    </row>
    <row r="10" spans="1:14" x14ac:dyDescent="0.2">
      <c r="A10" s="1504" t="s">
        <v>722</v>
      </c>
      <c r="B10" s="614">
        <v>1250</v>
      </c>
      <c r="C10" s="466">
        <v>0</v>
      </c>
      <c r="D10" s="466">
        <v>0</v>
      </c>
      <c r="E10" s="466">
        <v>0</v>
      </c>
      <c r="F10" s="466">
        <v>0</v>
      </c>
      <c r="G10" s="466">
        <v>0</v>
      </c>
      <c r="H10" s="466">
        <v>0</v>
      </c>
      <c r="I10" s="467">
        <v>0</v>
      </c>
      <c r="J10" s="467">
        <v>0</v>
      </c>
      <c r="K10" s="1671">
        <f t="shared" si="0"/>
        <v>0</v>
      </c>
      <c r="L10" s="466"/>
    </row>
    <row r="11" spans="1:14" x14ac:dyDescent="0.2">
      <c r="A11" s="1504" t="s">
        <v>1130</v>
      </c>
      <c r="B11" s="614" t="s">
        <v>161</v>
      </c>
      <c r="C11" s="467">
        <v>0</v>
      </c>
      <c r="D11" s="467">
        <v>0</v>
      </c>
      <c r="E11" s="467">
        <v>0</v>
      </c>
      <c r="F11" s="467">
        <v>0</v>
      </c>
      <c r="G11" s="467">
        <v>0</v>
      </c>
      <c r="H11" s="467">
        <v>0</v>
      </c>
      <c r="I11" s="467">
        <v>0</v>
      </c>
      <c r="J11" s="467">
        <v>0</v>
      </c>
      <c r="K11" s="1671">
        <f t="shared" si="0"/>
        <v>0</v>
      </c>
      <c r="L11" s="466"/>
    </row>
    <row r="12" spans="1:14" x14ac:dyDescent="0.2">
      <c r="A12" s="1504" t="s">
        <v>962</v>
      </c>
      <c r="B12" s="614">
        <v>1300</v>
      </c>
      <c r="C12" s="466">
        <v>0</v>
      </c>
      <c r="D12" s="466">
        <v>0</v>
      </c>
      <c r="E12" s="466">
        <v>0</v>
      </c>
      <c r="F12" s="466">
        <v>0</v>
      </c>
      <c r="G12" s="466">
        <v>0</v>
      </c>
      <c r="H12" s="466">
        <v>0</v>
      </c>
      <c r="I12" s="467">
        <v>0</v>
      </c>
      <c r="J12" s="467">
        <v>0</v>
      </c>
      <c r="K12" s="1671">
        <f t="shared" si="0"/>
        <v>0</v>
      </c>
      <c r="L12" s="466"/>
    </row>
    <row r="13" spans="1:14" x14ac:dyDescent="0.2">
      <c r="A13" s="1504" t="s">
        <v>723</v>
      </c>
      <c r="B13" s="614">
        <v>1400</v>
      </c>
      <c r="C13" s="466">
        <v>0</v>
      </c>
      <c r="D13" s="466">
        <v>0</v>
      </c>
      <c r="E13" s="466">
        <v>0</v>
      </c>
      <c r="F13" s="466">
        <v>0</v>
      </c>
      <c r="G13" s="466">
        <v>0</v>
      </c>
      <c r="H13" s="466">
        <v>0</v>
      </c>
      <c r="I13" s="467">
        <v>0</v>
      </c>
      <c r="J13" s="467">
        <v>0</v>
      </c>
      <c r="K13" s="1671">
        <f t="shared" si="0"/>
        <v>0</v>
      </c>
      <c r="L13" s="466"/>
    </row>
    <row r="14" spans="1:14" x14ac:dyDescent="0.2">
      <c r="A14" s="1504" t="s">
        <v>963</v>
      </c>
      <c r="B14" s="614">
        <v>1500</v>
      </c>
      <c r="C14" s="466">
        <v>12700</v>
      </c>
      <c r="D14" s="466">
        <v>282</v>
      </c>
      <c r="E14" s="466">
        <v>3155</v>
      </c>
      <c r="F14" s="466">
        <v>181</v>
      </c>
      <c r="G14" s="466">
        <v>0</v>
      </c>
      <c r="H14" s="466">
        <v>1020</v>
      </c>
      <c r="I14" s="467">
        <v>0</v>
      </c>
      <c r="J14" s="467">
        <v>0</v>
      </c>
      <c r="K14" s="1671">
        <f t="shared" si="0"/>
        <v>17338</v>
      </c>
      <c r="L14" s="466">
        <v>18470</v>
      </c>
    </row>
    <row r="15" spans="1:14" x14ac:dyDescent="0.2">
      <c r="A15" s="1504" t="s">
        <v>964</v>
      </c>
      <c r="B15" s="614">
        <v>1600</v>
      </c>
      <c r="C15" s="466">
        <v>0</v>
      </c>
      <c r="D15" s="466">
        <v>0</v>
      </c>
      <c r="E15" s="466">
        <v>0</v>
      </c>
      <c r="F15" s="466">
        <v>0</v>
      </c>
      <c r="G15" s="466">
        <v>0</v>
      </c>
      <c r="H15" s="466">
        <v>0</v>
      </c>
      <c r="I15" s="467">
        <v>0</v>
      </c>
      <c r="J15" s="467">
        <v>0</v>
      </c>
      <c r="K15" s="1671">
        <f t="shared" si="0"/>
        <v>0</v>
      </c>
      <c r="L15" s="466"/>
    </row>
    <row r="16" spans="1:14" x14ac:dyDescent="0.2">
      <c r="A16" s="1504" t="s">
        <v>987</v>
      </c>
      <c r="B16" s="614" t="s">
        <v>424</v>
      </c>
      <c r="C16" s="466">
        <v>0</v>
      </c>
      <c r="D16" s="466">
        <v>0</v>
      </c>
      <c r="E16" s="466">
        <v>0</v>
      </c>
      <c r="F16" s="466">
        <v>0</v>
      </c>
      <c r="G16" s="466">
        <v>0</v>
      </c>
      <c r="H16" s="466">
        <v>0</v>
      </c>
      <c r="I16" s="467">
        <v>0</v>
      </c>
      <c r="J16" s="467">
        <v>0</v>
      </c>
      <c r="K16" s="1671">
        <f t="shared" si="0"/>
        <v>0</v>
      </c>
      <c r="L16" s="466"/>
    </row>
    <row r="17" spans="1:12" x14ac:dyDescent="0.2">
      <c r="A17" s="1504" t="s">
        <v>724</v>
      </c>
      <c r="B17" s="614" t="s">
        <v>162</v>
      </c>
      <c r="C17" s="467">
        <v>0</v>
      </c>
      <c r="D17" s="467">
        <v>0</v>
      </c>
      <c r="E17" s="467">
        <v>0</v>
      </c>
      <c r="F17" s="467">
        <v>0</v>
      </c>
      <c r="G17" s="467">
        <v>0</v>
      </c>
      <c r="H17" s="467">
        <v>0</v>
      </c>
      <c r="I17" s="467">
        <v>0</v>
      </c>
      <c r="J17" s="467">
        <v>0</v>
      </c>
      <c r="K17" s="1671">
        <f t="shared" si="0"/>
        <v>0</v>
      </c>
      <c r="L17" s="466"/>
    </row>
    <row r="18" spans="1:12" x14ac:dyDescent="0.2">
      <c r="A18" s="1504" t="s">
        <v>1087</v>
      </c>
      <c r="B18" s="614">
        <v>1800</v>
      </c>
      <c r="C18" s="466">
        <v>0</v>
      </c>
      <c r="D18" s="466">
        <v>0</v>
      </c>
      <c r="E18" s="466">
        <v>0</v>
      </c>
      <c r="F18" s="466">
        <v>0</v>
      </c>
      <c r="G18" s="466">
        <v>0</v>
      </c>
      <c r="H18" s="466">
        <v>0</v>
      </c>
      <c r="I18" s="467">
        <v>0</v>
      </c>
      <c r="J18" s="467">
        <v>0</v>
      </c>
      <c r="K18" s="1671">
        <f t="shared" si="0"/>
        <v>0</v>
      </c>
      <c r="L18" s="466"/>
    </row>
    <row r="19" spans="1:12" x14ac:dyDescent="0.2">
      <c r="A19" s="1504" t="s">
        <v>134</v>
      </c>
      <c r="B19" s="614">
        <v>1900</v>
      </c>
      <c r="C19" s="466">
        <v>0</v>
      </c>
      <c r="D19" s="466">
        <v>0</v>
      </c>
      <c r="E19" s="466">
        <v>0</v>
      </c>
      <c r="F19" s="466">
        <v>0</v>
      </c>
      <c r="G19" s="466">
        <v>0</v>
      </c>
      <c r="H19" s="466">
        <v>0</v>
      </c>
      <c r="I19" s="467">
        <v>0</v>
      </c>
      <c r="J19" s="467">
        <v>0</v>
      </c>
      <c r="K19" s="1671">
        <f t="shared" si="0"/>
        <v>0</v>
      </c>
      <c r="L19" s="466"/>
    </row>
    <row r="20" spans="1:12" x14ac:dyDescent="0.2">
      <c r="A20" s="1505" t="s">
        <v>738</v>
      </c>
      <c r="B20" s="602" t="s">
        <v>725</v>
      </c>
      <c r="C20" s="477"/>
      <c r="D20" s="477"/>
      <c r="E20" s="477"/>
      <c r="F20" s="477"/>
      <c r="G20" s="477"/>
      <c r="H20" s="474">
        <v>0</v>
      </c>
      <c r="I20" s="616"/>
      <c r="J20" s="475"/>
      <c r="K20" s="1671">
        <f t="shared" si="0"/>
        <v>0</v>
      </c>
      <c r="L20" s="471"/>
    </row>
    <row r="21" spans="1:12" x14ac:dyDescent="0.2">
      <c r="A21" s="1505" t="s">
        <v>739</v>
      </c>
      <c r="B21" s="602" t="s">
        <v>726</v>
      </c>
      <c r="C21" s="477"/>
      <c r="D21" s="477"/>
      <c r="E21" s="477"/>
      <c r="F21" s="477"/>
      <c r="G21" s="477"/>
      <c r="H21" s="474">
        <v>0</v>
      </c>
      <c r="I21" s="616"/>
      <c r="J21" s="477"/>
      <c r="K21" s="1671">
        <f t="shared" si="0"/>
        <v>0</v>
      </c>
      <c r="L21" s="471"/>
    </row>
    <row r="22" spans="1:12" x14ac:dyDescent="0.2">
      <c r="A22" s="1505" t="s">
        <v>740</v>
      </c>
      <c r="B22" s="602" t="s">
        <v>727</v>
      </c>
      <c r="C22" s="477"/>
      <c r="D22" s="477"/>
      <c r="E22" s="477"/>
      <c r="F22" s="477"/>
      <c r="G22" s="477"/>
      <c r="H22" s="474">
        <v>0</v>
      </c>
      <c r="I22" s="616"/>
      <c r="J22" s="477"/>
      <c r="K22" s="1671">
        <f t="shared" si="0"/>
        <v>0</v>
      </c>
      <c r="L22" s="471"/>
    </row>
    <row r="23" spans="1:12" x14ac:dyDescent="0.2">
      <c r="A23" s="1505" t="s">
        <v>741</v>
      </c>
      <c r="B23" s="602" t="s">
        <v>728</v>
      </c>
      <c r="C23" s="477"/>
      <c r="D23" s="477"/>
      <c r="E23" s="477"/>
      <c r="F23" s="477"/>
      <c r="G23" s="477"/>
      <c r="H23" s="474">
        <v>0</v>
      </c>
      <c r="I23" s="616"/>
      <c r="J23" s="477"/>
      <c r="K23" s="1671">
        <f t="shared" si="0"/>
        <v>0</v>
      </c>
      <c r="L23" s="471"/>
    </row>
    <row r="24" spans="1:12" ht="12.75" customHeight="1" x14ac:dyDescent="0.2">
      <c r="A24" s="1505" t="s">
        <v>742</v>
      </c>
      <c r="B24" s="602" t="s">
        <v>729</v>
      </c>
      <c r="C24" s="477"/>
      <c r="D24" s="477"/>
      <c r="E24" s="477"/>
      <c r="F24" s="477"/>
      <c r="G24" s="477"/>
      <c r="H24" s="474">
        <v>0</v>
      </c>
      <c r="I24" s="616"/>
      <c r="J24" s="477"/>
      <c r="K24" s="1671">
        <f t="shared" si="0"/>
        <v>0</v>
      </c>
      <c r="L24" s="471"/>
    </row>
    <row r="25" spans="1:12" ht="12.75" customHeight="1" x14ac:dyDescent="0.2">
      <c r="A25" s="1505" t="s">
        <v>802</v>
      </c>
      <c r="B25" s="602" t="s">
        <v>730</v>
      </c>
      <c r="C25" s="477"/>
      <c r="D25" s="477"/>
      <c r="E25" s="477"/>
      <c r="F25" s="477"/>
      <c r="G25" s="477"/>
      <c r="H25" s="474">
        <v>0</v>
      </c>
      <c r="I25" s="616"/>
      <c r="J25" s="477"/>
      <c r="K25" s="1671">
        <f t="shared" si="0"/>
        <v>0</v>
      </c>
      <c r="L25" s="471"/>
    </row>
    <row r="26" spans="1:12" x14ac:dyDescent="0.2">
      <c r="A26" s="1505" t="s">
        <v>622</v>
      </c>
      <c r="B26" s="602" t="s">
        <v>731</v>
      </c>
      <c r="C26" s="477"/>
      <c r="D26" s="477"/>
      <c r="E26" s="477"/>
      <c r="F26" s="477"/>
      <c r="G26" s="477"/>
      <c r="H26" s="474">
        <v>0</v>
      </c>
      <c r="I26" s="616"/>
      <c r="J26" s="477"/>
      <c r="K26" s="1671">
        <f t="shared" si="0"/>
        <v>0</v>
      </c>
      <c r="L26" s="471"/>
    </row>
    <row r="27" spans="1:12" x14ac:dyDescent="0.2">
      <c r="A27" s="1505" t="s">
        <v>623</v>
      </c>
      <c r="B27" s="602" t="s">
        <v>732</v>
      </c>
      <c r="C27" s="477"/>
      <c r="D27" s="477"/>
      <c r="E27" s="477"/>
      <c r="F27" s="477"/>
      <c r="G27" s="477"/>
      <c r="H27" s="474">
        <v>0</v>
      </c>
      <c r="I27" s="616"/>
      <c r="J27" s="477"/>
      <c r="K27" s="1671">
        <f t="shared" si="0"/>
        <v>0</v>
      </c>
      <c r="L27" s="471"/>
    </row>
    <row r="28" spans="1:12" x14ac:dyDescent="0.2">
      <c r="A28" s="1505" t="s">
        <v>150</v>
      </c>
      <c r="B28" s="602" t="s">
        <v>733</v>
      </c>
      <c r="C28" s="477"/>
      <c r="D28" s="477"/>
      <c r="E28" s="477"/>
      <c r="F28" s="477"/>
      <c r="G28" s="477"/>
      <c r="H28" s="474">
        <v>0</v>
      </c>
      <c r="I28" s="616"/>
      <c r="J28" s="477"/>
      <c r="K28" s="1671">
        <f t="shared" si="0"/>
        <v>0</v>
      </c>
      <c r="L28" s="471"/>
    </row>
    <row r="29" spans="1:12" x14ac:dyDescent="0.2">
      <c r="A29" s="1505" t="s">
        <v>151</v>
      </c>
      <c r="B29" s="602" t="s">
        <v>734</v>
      </c>
      <c r="C29" s="477"/>
      <c r="D29" s="477"/>
      <c r="E29" s="477"/>
      <c r="F29" s="477"/>
      <c r="G29" s="477"/>
      <c r="H29" s="474">
        <v>0</v>
      </c>
      <c r="I29" s="616"/>
      <c r="J29" s="477"/>
      <c r="K29" s="1671">
        <f t="shared" si="0"/>
        <v>0</v>
      </c>
      <c r="L29" s="471"/>
    </row>
    <row r="30" spans="1:12" x14ac:dyDescent="0.2">
      <c r="A30" s="1505" t="s">
        <v>152</v>
      </c>
      <c r="B30" s="602" t="s">
        <v>735</v>
      </c>
      <c r="C30" s="477"/>
      <c r="D30" s="477"/>
      <c r="E30" s="477"/>
      <c r="F30" s="477"/>
      <c r="G30" s="477"/>
      <c r="H30" s="474">
        <v>0</v>
      </c>
      <c r="I30" s="616"/>
      <c r="J30" s="477"/>
      <c r="K30" s="1671">
        <f t="shared" si="0"/>
        <v>0</v>
      </c>
      <c r="L30" s="471"/>
    </row>
    <row r="31" spans="1:12" x14ac:dyDescent="0.2">
      <c r="A31" s="1505" t="s">
        <v>153</v>
      </c>
      <c r="B31" s="602" t="s">
        <v>736</v>
      </c>
      <c r="C31" s="477"/>
      <c r="D31" s="477"/>
      <c r="E31" s="477"/>
      <c r="F31" s="477"/>
      <c r="G31" s="477"/>
      <c r="H31" s="474">
        <v>0</v>
      </c>
      <c r="I31" s="616"/>
      <c r="J31" s="477"/>
      <c r="K31" s="1671">
        <f t="shared" si="0"/>
        <v>0</v>
      </c>
      <c r="L31" s="471"/>
    </row>
    <row r="32" spans="1:12" x14ac:dyDescent="0.2">
      <c r="A32" s="1506" t="s">
        <v>1129</v>
      </c>
      <c r="B32" s="614" t="s">
        <v>737</v>
      </c>
      <c r="C32" s="477"/>
      <c r="D32" s="477"/>
      <c r="E32" s="477"/>
      <c r="F32" s="477"/>
      <c r="G32" s="477"/>
      <c r="H32" s="474">
        <v>0</v>
      </c>
      <c r="I32" s="616"/>
      <c r="J32" s="480"/>
      <c r="K32" s="1671">
        <f t="shared" si="0"/>
        <v>0</v>
      </c>
      <c r="L32" s="471"/>
    </row>
    <row r="33" spans="1:14" ht="12.75" customHeight="1" thickBot="1" x14ac:dyDescent="0.25">
      <c r="A33" s="1668" t="s">
        <v>1668</v>
      </c>
      <c r="B33" s="1669" t="s">
        <v>570</v>
      </c>
      <c r="C33" s="1670">
        <f>SUM(C5:C32)</f>
        <v>345611</v>
      </c>
      <c r="D33" s="1670">
        <f t="shared" ref="D33:L33" si="1">SUM(D5:D32)</f>
        <v>49228</v>
      </c>
      <c r="E33" s="1670">
        <f t="shared" si="1"/>
        <v>3173</v>
      </c>
      <c r="F33" s="1670">
        <f t="shared" si="1"/>
        <v>12359</v>
      </c>
      <c r="G33" s="1670">
        <f t="shared" si="1"/>
        <v>7636</v>
      </c>
      <c r="H33" s="1670">
        <f t="shared" si="1"/>
        <v>1020</v>
      </c>
      <c r="I33" s="1670">
        <f t="shared" si="1"/>
        <v>5945</v>
      </c>
      <c r="J33" s="1670">
        <f t="shared" si="1"/>
        <v>0</v>
      </c>
      <c r="K33" s="1670">
        <f t="shared" si="1"/>
        <v>424972</v>
      </c>
      <c r="L33" s="1670">
        <f t="shared" si="1"/>
        <v>422565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1896</v>
      </c>
      <c r="F36" s="481">
        <v>0</v>
      </c>
      <c r="G36" s="481">
        <v>0</v>
      </c>
      <c r="H36" s="481">
        <v>0</v>
      </c>
      <c r="I36" s="467">
        <v>0</v>
      </c>
      <c r="J36" s="467">
        <v>0</v>
      </c>
      <c r="K36" s="1671">
        <f t="shared" ref="K36:K41" si="2">SUM(C36:J36)</f>
        <v>1896</v>
      </c>
      <c r="L36" s="466">
        <v>1897</v>
      </c>
    </row>
    <row r="37" spans="1:14" x14ac:dyDescent="0.2">
      <c r="A37" s="1504" t="s">
        <v>1090</v>
      </c>
      <c r="B37" s="614">
        <v>2120</v>
      </c>
      <c r="C37" s="466">
        <v>0</v>
      </c>
      <c r="D37" s="466">
        <v>0</v>
      </c>
      <c r="E37" s="466">
        <v>0</v>
      </c>
      <c r="F37" s="466">
        <v>0</v>
      </c>
      <c r="G37" s="466">
        <v>0</v>
      </c>
      <c r="H37" s="466">
        <v>0</v>
      </c>
      <c r="I37" s="467">
        <v>0</v>
      </c>
      <c r="J37" s="467">
        <v>0</v>
      </c>
      <c r="K37" s="1671">
        <f t="shared" si="2"/>
        <v>0</v>
      </c>
      <c r="L37" s="466"/>
    </row>
    <row r="38" spans="1:14" x14ac:dyDescent="0.2">
      <c r="A38" s="1504" t="s">
        <v>198</v>
      </c>
      <c r="B38" s="614">
        <v>2130</v>
      </c>
      <c r="C38" s="466">
        <v>0</v>
      </c>
      <c r="D38" s="466">
        <v>0</v>
      </c>
      <c r="E38" s="466">
        <v>1494</v>
      </c>
      <c r="F38" s="466">
        <v>0</v>
      </c>
      <c r="G38" s="466">
        <v>0</v>
      </c>
      <c r="H38" s="466">
        <v>0</v>
      </c>
      <c r="I38" s="467">
        <v>0</v>
      </c>
      <c r="J38" s="467">
        <v>0</v>
      </c>
      <c r="K38" s="1671">
        <f t="shared" si="2"/>
        <v>1494</v>
      </c>
      <c r="L38" s="466">
        <v>1565</v>
      </c>
    </row>
    <row r="39" spans="1:14" x14ac:dyDescent="0.2">
      <c r="A39" s="1504" t="s">
        <v>199</v>
      </c>
      <c r="B39" s="614">
        <v>2140</v>
      </c>
      <c r="C39" s="466">
        <v>0</v>
      </c>
      <c r="D39" s="466">
        <v>0</v>
      </c>
      <c r="E39" s="466">
        <v>0</v>
      </c>
      <c r="F39" s="466">
        <v>0</v>
      </c>
      <c r="G39" s="466">
        <v>0</v>
      </c>
      <c r="H39" s="466">
        <v>0</v>
      </c>
      <c r="I39" s="467">
        <v>0</v>
      </c>
      <c r="J39" s="467">
        <v>0</v>
      </c>
      <c r="K39" s="1671">
        <f t="shared" si="2"/>
        <v>0</v>
      </c>
      <c r="L39" s="466"/>
    </row>
    <row r="40" spans="1:14" x14ac:dyDescent="0.2">
      <c r="A40" s="1504" t="s">
        <v>200</v>
      </c>
      <c r="B40" s="614">
        <v>2150</v>
      </c>
      <c r="C40" s="466">
        <v>0</v>
      </c>
      <c r="D40" s="466">
        <v>0</v>
      </c>
      <c r="E40" s="466">
        <v>0</v>
      </c>
      <c r="F40" s="466">
        <v>0</v>
      </c>
      <c r="G40" s="466">
        <v>0</v>
      </c>
      <c r="H40" s="466">
        <v>0</v>
      </c>
      <c r="I40" s="467">
        <v>0</v>
      </c>
      <c r="J40" s="467">
        <v>0</v>
      </c>
      <c r="K40" s="1671">
        <f t="shared" si="2"/>
        <v>0</v>
      </c>
      <c r="L40" s="466"/>
    </row>
    <row r="41" spans="1:14" x14ac:dyDescent="0.2">
      <c r="A41" s="1504" t="s">
        <v>1669</v>
      </c>
      <c r="B41" s="614">
        <v>2190</v>
      </c>
      <c r="C41" s="466">
        <v>0</v>
      </c>
      <c r="D41" s="466">
        <v>0</v>
      </c>
      <c r="E41" s="466">
        <v>0</v>
      </c>
      <c r="F41" s="466">
        <v>0</v>
      </c>
      <c r="G41" s="466">
        <v>0</v>
      </c>
      <c r="H41" s="466">
        <v>0</v>
      </c>
      <c r="I41" s="467">
        <v>0</v>
      </c>
      <c r="J41" s="467">
        <v>0</v>
      </c>
      <c r="K41" s="1671">
        <f t="shared" si="2"/>
        <v>0</v>
      </c>
      <c r="L41" s="466"/>
    </row>
    <row r="42" spans="1:14" ht="12.75" customHeight="1" thickBot="1" x14ac:dyDescent="0.25">
      <c r="A42" s="1668" t="s">
        <v>560</v>
      </c>
      <c r="B42" s="1669" t="s">
        <v>716</v>
      </c>
      <c r="C42" s="1670">
        <f>SUM(C36:C41)</f>
        <v>0</v>
      </c>
      <c r="D42" s="1670">
        <f t="shared" ref="D42:L42" si="3">SUM(D36:D41)</f>
        <v>0</v>
      </c>
      <c r="E42" s="1670">
        <f t="shared" si="3"/>
        <v>3390</v>
      </c>
      <c r="F42" s="1670">
        <f t="shared" si="3"/>
        <v>0</v>
      </c>
      <c r="G42" s="1670">
        <f t="shared" si="3"/>
        <v>0</v>
      </c>
      <c r="H42" s="1670">
        <f t="shared" si="3"/>
        <v>0</v>
      </c>
      <c r="I42" s="1670">
        <f t="shared" si="3"/>
        <v>0</v>
      </c>
      <c r="J42" s="1670">
        <f t="shared" si="3"/>
        <v>0</v>
      </c>
      <c r="K42" s="1670">
        <f t="shared" si="3"/>
        <v>3390</v>
      </c>
      <c r="L42" s="1670">
        <f t="shared" si="3"/>
        <v>3462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531</v>
      </c>
      <c r="D44" s="481">
        <v>0</v>
      </c>
      <c r="E44" s="481">
        <v>3217</v>
      </c>
      <c r="F44" s="481">
        <v>27</v>
      </c>
      <c r="G44" s="481">
        <v>0</v>
      </c>
      <c r="H44" s="481">
        <v>0</v>
      </c>
      <c r="I44" s="467">
        <v>375</v>
      </c>
      <c r="J44" s="467">
        <v>0</v>
      </c>
      <c r="K44" s="1672">
        <f>SUM(C44:J44)</f>
        <v>4150</v>
      </c>
      <c r="L44" s="481">
        <v>2093</v>
      </c>
    </row>
    <row r="45" spans="1:14" x14ac:dyDescent="0.2">
      <c r="A45" s="1504" t="s">
        <v>815</v>
      </c>
      <c r="B45" s="614">
        <v>2220</v>
      </c>
      <c r="C45" s="466">
        <v>0</v>
      </c>
      <c r="D45" s="466">
        <v>0</v>
      </c>
      <c r="E45" s="466">
        <v>791</v>
      </c>
      <c r="F45" s="466">
        <v>724</v>
      </c>
      <c r="G45" s="466">
        <v>0</v>
      </c>
      <c r="H45" s="466">
        <v>0</v>
      </c>
      <c r="I45" s="467">
        <v>0</v>
      </c>
      <c r="J45" s="467">
        <v>0</v>
      </c>
      <c r="K45" s="1672">
        <f>SUM(C45:J45)</f>
        <v>1515</v>
      </c>
      <c r="L45" s="466">
        <v>1582</v>
      </c>
    </row>
    <row r="46" spans="1:14" x14ac:dyDescent="0.2">
      <c r="A46" s="1504" t="s">
        <v>816</v>
      </c>
      <c r="B46" s="614">
        <v>2230</v>
      </c>
      <c r="C46" s="466">
        <v>0</v>
      </c>
      <c r="D46" s="466">
        <v>0</v>
      </c>
      <c r="E46" s="466">
        <v>2236</v>
      </c>
      <c r="F46" s="466">
        <v>0</v>
      </c>
      <c r="G46" s="466">
        <v>0</v>
      </c>
      <c r="H46" s="466">
        <v>0</v>
      </c>
      <c r="I46" s="467">
        <v>0</v>
      </c>
      <c r="J46" s="467">
        <v>0</v>
      </c>
      <c r="K46" s="1672">
        <f>SUM(C46:J46)</f>
        <v>2236</v>
      </c>
      <c r="L46" s="466">
        <v>2213</v>
      </c>
    </row>
    <row r="47" spans="1:14" ht="12.75" customHeight="1" thickBot="1" x14ac:dyDescent="0.25">
      <c r="A47" s="1668" t="s">
        <v>561</v>
      </c>
      <c r="B47" s="1669" t="s">
        <v>32</v>
      </c>
      <c r="C47" s="1670">
        <f>SUM(C44:C46)</f>
        <v>531</v>
      </c>
      <c r="D47" s="1670">
        <f t="shared" ref="D47:K47" si="4">SUM(D44:D46)</f>
        <v>0</v>
      </c>
      <c r="E47" s="1670">
        <f t="shared" si="4"/>
        <v>6244</v>
      </c>
      <c r="F47" s="1670">
        <f t="shared" si="4"/>
        <v>751</v>
      </c>
      <c r="G47" s="1670">
        <f t="shared" si="4"/>
        <v>0</v>
      </c>
      <c r="H47" s="1670">
        <f t="shared" si="4"/>
        <v>0</v>
      </c>
      <c r="I47" s="1670">
        <f t="shared" si="4"/>
        <v>375</v>
      </c>
      <c r="J47" s="1670">
        <f t="shared" si="4"/>
        <v>0</v>
      </c>
      <c r="K47" s="1670">
        <f t="shared" si="4"/>
        <v>7901</v>
      </c>
      <c r="L47" s="1670">
        <f>SUM(L44:L46)</f>
        <v>5888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570</v>
      </c>
      <c r="D49" s="481">
        <v>0</v>
      </c>
      <c r="E49" s="481">
        <v>6955</v>
      </c>
      <c r="F49" s="481">
        <v>74</v>
      </c>
      <c r="G49" s="481">
        <v>0</v>
      </c>
      <c r="H49" s="481">
        <v>3567</v>
      </c>
      <c r="I49" s="467">
        <v>0</v>
      </c>
      <c r="J49" s="467">
        <v>0</v>
      </c>
      <c r="K49" s="1672">
        <f>SUM(C49:J49)</f>
        <v>11166</v>
      </c>
      <c r="L49" s="481">
        <v>10260</v>
      </c>
    </row>
    <row r="50" spans="1:14" x14ac:dyDescent="0.2">
      <c r="A50" s="1504" t="s">
        <v>818</v>
      </c>
      <c r="B50" s="614">
        <v>2320</v>
      </c>
      <c r="C50" s="466">
        <v>16809</v>
      </c>
      <c r="D50" s="466">
        <v>1484</v>
      </c>
      <c r="E50" s="466">
        <v>0</v>
      </c>
      <c r="F50" s="466">
        <v>0</v>
      </c>
      <c r="G50" s="466">
        <v>0</v>
      </c>
      <c r="H50" s="466">
        <v>1268</v>
      </c>
      <c r="I50" s="467">
        <v>0</v>
      </c>
      <c r="J50" s="467">
        <v>0</v>
      </c>
      <c r="K50" s="1672">
        <f>SUM(C50:J50)</f>
        <v>19561</v>
      </c>
      <c r="L50" s="466">
        <v>19324</v>
      </c>
    </row>
    <row r="51" spans="1:14" x14ac:dyDescent="0.2">
      <c r="A51" s="1504" t="s">
        <v>42</v>
      </c>
      <c r="B51" s="614">
        <v>2330</v>
      </c>
      <c r="C51" s="466">
        <v>0</v>
      </c>
      <c r="D51" s="466">
        <v>0</v>
      </c>
      <c r="E51" s="466">
        <v>0</v>
      </c>
      <c r="F51" s="466">
        <v>0</v>
      </c>
      <c r="G51" s="466">
        <v>0</v>
      </c>
      <c r="H51" s="466">
        <v>0</v>
      </c>
      <c r="I51" s="467">
        <v>0</v>
      </c>
      <c r="J51" s="467">
        <v>0</v>
      </c>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17379</v>
      </c>
      <c r="D53" s="1670">
        <f t="shared" ref="D53:L53" si="5">SUM(D49:D52)</f>
        <v>1484</v>
      </c>
      <c r="E53" s="1670">
        <f t="shared" si="5"/>
        <v>6955</v>
      </c>
      <c r="F53" s="1670">
        <f t="shared" si="5"/>
        <v>74</v>
      </c>
      <c r="G53" s="1670">
        <f t="shared" si="5"/>
        <v>0</v>
      </c>
      <c r="H53" s="1670">
        <f t="shared" si="5"/>
        <v>4835</v>
      </c>
      <c r="I53" s="1670">
        <f t="shared" si="5"/>
        <v>0</v>
      </c>
      <c r="J53" s="1670">
        <f t="shared" si="5"/>
        <v>0</v>
      </c>
      <c r="K53" s="1670">
        <f t="shared" si="5"/>
        <v>30727</v>
      </c>
      <c r="L53" s="1670">
        <f t="shared" si="5"/>
        <v>29584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85336</v>
      </c>
      <c r="D55" s="481">
        <v>16361</v>
      </c>
      <c r="E55" s="481">
        <v>2815</v>
      </c>
      <c r="F55" s="481">
        <v>185</v>
      </c>
      <c r="G55" s="481">
        <v>0</v>
      </c>
      <c r="H55" s="481">
        <v>0</v>
      </c>
      <c r="I55" s="467">
        <v>0</v>
      </c>
      <c r="J55" s="467">
        <v>0</v>
      </c>
      <c r="K55" s="1672">
        <f>SUM(C55:J55)</f>
        <v>104697</v>
      </c>
      <c r="L55" s="481">
        <v>101861</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row>
    <row r="57" spans="1:14" s="343" customFormat="1" ht="12.75" customHeight="1" thickBot="1" x14ac:dyDescent="0.25">
      <c r="A57" s="1668" t="s">
        <v>263</v>
      </c>
      <c r="B57" s="1673" t="s">
        <v>34</v>
      </c>
      <c r="C57" s="1674">
        <f>SUM(C55:C56)</f>
        <v>85336</v>
      </c>
      <c r="D57" s="1674">
        <f t="shared" ref="D57:K57" si="6">SUM(D55:D56)</f>
        <v>16361</v>
      </c>
      <c r="E57" s="1674">
        <f t="shared" si="6"/>
        <v>2815</v>
      </c>
      <c r="F57" s="1674">
        <f t="shared" si="6"/>
        <v>185</v>
      </c>
      <c r="G57" s="1674">
        <f t="shared" si="6"/>
        <v>0</v>
      </c>
      <c r="H57" s="1674">
        <f t="shared" si="6"/>
        <v>0</v>
      </c>
      <c r="I57" s="1674">
        <f t="shared" si="6"/>
        <v>0</v>
      </c>
      <c r="J57" s="1674">
        <f t="shared" si="6"/>
        <v>0</v>
      </c>
      <c r="K57" s="1674">
        <f t="shared" si="6"/>
        <v>104697</v>
      </c>
      <c r="L57" s="1670">
        <f>SUM(L55:L56)</f>
        <v>101861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c r="M59" s="609"/>
      <c r="N59" s="609"/>
    </row>
    <row r="60" spans="1:14" s="343" customFormat="1" x14ac:dyDescent="0.2">
      <c r="A60" s="1504" t="s">
        <v>463</v>
      </c>
      <c r="B60" s="614">
        <v>2520</v>
      </c>
      <c r="C60" s="466">
        <v>0</v>
      </c>
      <c r="D60" s="466">
        <v>0</v>
      </c>
      <c r="E60" s="466">
        <v>5080</v>
      </c>
      <c r="F60" s="466">
        <v>685</v>
      </c>
      <c r="G60" s="466">
        <v>0</v>
      </c>
      <c r="H60" s="466">
        <v>0</v>
      </c>
      <c r="I60" s="467">
        <v>0</v>
      </c>
      <c r="J60" s="467">
        <v>0</v>
      </c>
      <c r="K60" s="1672">
        <f t="shared" si="7"/>
        <v>5765</v>
      </c>
      <c r="L60" s="466">
        <v>6725</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c r="M62" s="609"/>
      <c r="N62" s="609"/>
    </row>
    <row r="63" spans="1:14" s="609" customFormat="1" x14ac:dyDescent="0.2">
      <c r="A63" s="1504" t="s">
        <v>100</v>
      </c>
      <c r="B63" s="614">
        <v>2560</v>
      </c>
      <c r="C63" s="466">
        <v>9318</v>
      </c>
      <c r="D63" s="466">
        <v>0</v>
      </c>
      <c r="E63" s="466">
        <v>130</v>
      </c>
      <c r="F63" s="466">
        <v>13192</v>
      </c>
      <c r="G63" s="466">
        <v>0</v>
      </c>
      <c r="H63" s="466">
        <v>0</v>
      </c>
      <c r="I63" s="467">
        <v>0</v>
      </c>
      <c r="J63" s="467">
        <v>0</v>
      </c>
      <c r="K63" s="1672">
        <f t="shared" si="7"/>
        <v>22640</v>
      </c>
      <c r="L63" s="466">
        <v>24488</v>
      </c>
    </row>
    <row r="64" spans="1:14" s="609" customFormat="1" x14ac:dyDescent="0.2">
      <c r="A64" s="1509" t="s">
        <v>101</v>
      </c>
      <c r="B64" s="630">
        <v>2570</v>
      </c>
      <c r="C64" s="481">
        <v>0</v>
      </c>
      <c r="D64" s="481">
        <v>0</v>
      </c>
      <c r="E64" s="481">
        <v>4081</v>
      </c>
      <c r="F64" s="481">
        <v>0</v>
      </c>
      <c r="G64" s="481">
        <v>0</v>
      </c>
      <c r="H64" s="481">
        <v>0</v>
      </c>
      <c r="I64" s="467">
        <v>0</v>
      </c>
      <c r="J64" s="467">
        <v>0</v>
      </c>
      <c r="K64" s="1672">
        <f t="shared" si="7"/>
        <v>4081</v>
      </c>
      <c r="L64" s="481">
        <v>4500</v>
      </c>
    </row>
    <row r="65" spans="1:14" s="343" customFormat="1" ht="12.75" customHeight="1" thickBot="1" x14ac:dyDescent="0.25">
      <c r="A65" s="1668" t="s">
        <v>719</v>
      </c>
      <c r="B65" s="1669" t="s">
        <v>35</v>
      </c>
      <c r="C65" s="1670">
        <f>SUM(C59:C64)</f>
        <v>9318</v>
      </c>
      <c r="D65" s="1670">
        <f t="shared" ref="D65:L65" si="8">SUM(D59:D64)</f>
        <v>0</v>
      </c>
      <c r="E65" s="1670">
        <f t="shared" si="8"/>
        <v>9291</v>
      </c>
      <c r="F65" s="1670">
        <f t="shared" si="8"/>
        <v>13877</v>
      </c>
      <c r="G65" s="1670">
        <f t="shared" si="8"/>
        <v>0</v>
      </c>
      <c r="H65" s="1670">
        <f t="shared" si="8"/>
        <v>0</v>
      </c>
      <c r="I65" s="1670">
        <f t="shared" si="8"/>
        <v>0</v>
      </c>
      <c r="J65" s="1670">
        <f t="shared" si="8"/>
        <v>0</v>
      </c>
      <c r="K65" s="1670">
        <f t="shared" si="8"/>
        <v>32486</v>
      </c>
      <c r="L65" s="1670">
        <f t="shared" si="8"/>
        <v>35713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c r="M68" s="609"/>
      <c r="N68" s="609"/>
    </row>
    <row r="69" spans="1:14" s="343" customFormat="1" x14ac:dyDescent="0.2">
      <c r="A69" s="1504" t="s">
        <v>1061</v>
      </c>
      <c r="B69" s="614">
        <v>2630</v>
      </c>
      <c r="C69" s="466">
        <v>0</v>
      </c>
      <c r="D69" s="466">
        <v>0</v>
      </c>
      <c r="E69" s="466">
        <v>1313</v>
      </c>
      <c r="F69" s="466">
        <v>0</v>
      </c>
      <c r="G69" s="466">
        <v>0</v>
      </c>
      <c r="H69" s="466">
        <v>0</v>
      </c>
      <c r="I69" s="467">
        <v>0</v>
      </c>
      <c r="J69" s="467">
        <v>0</v>
      </c>
      <c r="K69" s="1672">
        <f>SUM(C69:J69)</f>
        <v>1313</v>
      </c>
      <c r="L69" s="466">
        <v>800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1313</v>
      </c>
      <c r="F72" s="1670">
        <f t="shared" si="9"/>
        <v>0</v>
      </c>
      <c r="G72" s="1670">
        <f t="shared" si="9"/>
        <v>0</v>
      </c>
      <c r="H72" s="1670">
        <f t="shared" si="9"/>
        <v>0</v>
      </c>
      <c r="I72" s="1670">
        <f t="shared" si="9"/>
        <v>0</v>
      </c>
      <c r="J72" s="1670">
        <f t="shared" si="9"/>
        <v>0</v>
      </c>
      <c r="K72" s="1670">
        <f t="shared" si="9"/>
        <v>1313</v>
      </c>
      <c r="L72" s="1670">
        <f>SUM(L67:L71)</f>
        <v>800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c r="M73" s="609"/>
      <c r="N73" s="609"/>
    </row>
    <row r="74" spans="1:14" ht="12.75" customHeight="1" thickTop="1" thickBot="1" x14ac:dyDescent="0.25">
      <c r="A74" s="1668" t="s">
        <v>811</v>
      </c>
      <c r="B74" s="1676">
        <v>2000</v>
      </c>
      <c r="C74" s="1677">
        <f>SUM(C42,C47,C53,C57,C65,C72,C73)</f>
        <v>112564</v>
      </c>
      <c r="D74" s="1677">
        <f t="shared" ref="D74:K74" si="10">SUM(D42,D47,D53,D57,D65,D72,D73)</f>
        <v>17845</v>
      </c>
      <c r="E74" s="1677">
        <f t="shared" si="10"/>
        <v>30008</v>
      </c>
      <c r="F74" s="1677">
        <f t="shared" si="10"/>
        <v>14887</v>
      </c>
      <c r="G74" s="1677">
        <f t="shared" si="10"/>
        <v>0</v>
      </c>
      <c r="H74" s="1677">
        <f t="shared" si="10"/>
        <v>4835</v>
      </c>
      <c r="I74" s="1677">
        <f t="shared" si="10"/>
        <v>375</v>
      </c>
      <c r="J74" s="1677">
        <f t="shared" si="10"/>
        <v>0</v>
      </c>
      <c r="K74" s="1677">
        <f t="shared" si="10"/>
        <v>180514</v>
      </c>
      <c r="L74" s="1677">
        <f>SUM(L42,L47,L53,L57,L65,L72,L73)</f>
        <v>177308</v>
      </c>
    </row>
    <row r="75" spans="1:14" s="259" customFormat="1" ht="15.75" customHeight="1" thickTop="1" thickBot="1" x14ac:dyDescent="0.25">
      <c r="A75" s="1610" t="s">
        <v>47</v>
      </c>
      <c r="B75" s="1611" t="s">
        <v>575</v>
      </c>
      <c r="C75" s="573">
        <v>0</v>
      </c>
      <c r="D75" s="573">
        <v>0</v>
      </c>
      <c r="E75" s="573">
        <v>0</v>
      </c>
      <c r="F75" s="573">
        <v>0</v>
      </c>
      <c r="G75" s="573">
        <v>0</v>
      </c>
      <c r="H75" s="573">
        <v>0</v>
      </c>
      <c r="I75" s="531">
        <v>0</v>
      </c>
      <c r="J75" s="531">
        <v>0</v>
      </c>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19521</v>
      </c>
      <c r="F78" s="616"/>
      <c r="G78" s="616"/>
      <c r="H78" s="634">
        <v>0</v>
      </c>
      <c r="I78" s="477"/>
      <c r="J78" s="477"/>
      <c r="K78" s="1671">
        <f t="shared" ref="K78:K83" si="11">SUM(C78:J78)</f>
        <v>19521</v>
      </c>
      <c r="L78" s="481">
        <v>19040</v>
      </c>
    </row>
    <row r="79" spans="1:14" x14ac:dyDescent="0.2">
      <c r="A79" s="1504" t="s">
        <v>304</v>
      </c>
      <c r="B79" s="614">
        <v>4120</v>
      </c>
      <c r="C79" s="616"/>
      <c r="D79" s="616"/>
      <c r="E79" s="466">
        <v>161417</v>
      </c>
      <c r="F79" s="616"/>
      <c r="G79" s="616"/>
      <c r="H79" s="466">
        <v>14220</v>
      </c>
      <c r="I79" s="477"/>
      <c r="J79" s="477"/>
      <c r="K79" s="1671">
        <f t="shared" si="11"/>
        <v>175637</v>
      </c>
      <c r="L79" s="466">
        <v>173508</v>
      </c>
    </row>
    <row r="80" spans="1:14" x14ac:dyDescent="0.2">
      <c r="A80" s="1504" t="s">
        <v>305</v>
      </c>
      <c r="B80" s="614">
        <v>4130</v>
      </c>
      <c r="C80" s="616"/>
      <c r="D80" s="616"/>
      <c r="E80" s="466">
        <v>0</v>
      </c>
      <c r="F80" s="616"/>
      <c r="G80" s="616"/>
      <c r="H80" s="466">
        <v>0</v>
      </c>
      <c r="I80" s="477"/>
      <c r="J80" s="477"/>
      <c r="K80" s="1671">
        <f t="shared" si="11"/>
        <v>0</v>
      </c>
      <c r="L80" s="466"/>
    </row>
    <row r="81" spans="1:12" x14ac:dyDescent="0.2">
      <c r="A81" s="1504" t="s">
        <v>697</v>
      </c>
      <c r="B81" s="614">
        <v>4140</v>
      </c>
      <c r="C81" s="616"/>
      <c r="D81" s="616"/>
      <c r="E81" s="466">
        <v>0</v>
      </c>
      <c r="F81" s="616"/>
      <c r="G81" s="616"/>
      <c r="H81" s="466">
        <v>0</v>
      </c>
      <c r="I81" s="477"/>
      <c r="J81" s="477"/>
      <c r="K81" s="1671">
        <f t="shared" si="11"/>
        <v>0</v>
      </c>
      <c r="L81" s="466"/>
    </row>
    <row r="82" spans="1:12" x14ac:dyDescent="0.2">
      <c r="A82" s="1504" t="s">
        <v>86</v>
      </c>
      <c r="B82" s="614">
        <v>4170</v>
      </c>
      <c r="C82" s="616"/>
      <c r="D82" s="616"/>
      <c r="E82" s="466">
        <v>0</v>
      </c>
      <c r="F82" s="616"/>
      <c r="G82" s="616"/>
      <c r="H82" s="466">
        <v>0</v>
      </c>
      <c r="I82" s="477"/>
      <c r="J82" s="477"/>
      <c r="K82" s="1671">
        <f t="shared" si="11"/>
        <v>0</v>
      </c>
      <c r="L82" s="466"/>
    </row>
    <row r="83" spans="1:12" x14ac:dyDescent="0.2">
      <c r="A83" s="1508" t="s">
        <v>698</v>
      </c>
      <c r="B83" s="628">
        <v>4190</v>
      </c>
      <c r="C83" s="616"/>
      <c r="D83" s="616"/>
      <c r="E83" s="466">
        <v>0</v>
      </c>
      <c r="F83" s="616"/>
      <c r="G83" s="616"/>
      <c r="H83" s="466">
        <v>0</v>
      </c>
      <c r="I83" s="477"/>
      <c r="J83" s="477"/>
      <c r="K83" s="1671">
        <f t="shared" si="11"/>
        <v>0</v>
      </c>
      <c r="L83" s="466"/>
    </row>
    <row r="84" spans="1:12" ht="13.5" thickBot="1" x14ac:dyDescent="0.25">
      <c r="A84" s="1668" t="s">
        <v>1485</v>
      </c>
      <c r="B84" s="1678">
        <v>4100</v>
      </c>
      <c r="C84" s="616"/>
      <c r="D84" s="616"/>
      <c r="E84" s="1670">
        <f>SUM(E78:E83)</f>
        <v>180938</v>
      </c>
      <c r="F84" s="616"/>
      <c r="G84" s="616"/>
      <c r="H84" s="1670">
        <f>SUM(H78:H83)</f>
        <v>14220</v>
      </c>
      <c r="I84" s="477"/>
      <c r="J84" s="477"/>
      <c r="K84" s="1670">
        <f>SUM(K78:K83)</f>
        <v>195158</v>
      </c>
      <c r="L84" s="1670">
        <f>SUM(L78:L83)</f>
        <v>192548</v>
      </c>
    </row>
    <row r="85" spans="1:12" ht="12.75" customHeight="1" thickTop="1" thickBot="1" x14ac:dyDescent="0.25">
      <c r="A85" s="1511" t="s">
        <v>255</v>
      </c>
      <c r="B85" s="635">
        <v>4210</v>
      </c>
      <c r="C85" s="616"/>
      <c r="D85" s="616"/>
      <c r="E85" s="636"/>
      <c r="F85" s="616"/>
      <c r="G85" s="616"/>
      <c r="H85" s="535">
        <v>0</v>
      </c>
      <c r="I85" s="477"/>
      <c r="J85" s="477"/>
      <c r="K85" s="1677">
        <f>H85</f>
        <v>0</v>
      </c>
      <c r="L85" s="530"/>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row>
    <row r="87" spans="1:12" ht="14.25" thickTop="1" thickBot="1" x14ac:dyDescent="0.25">
      <c r="A87" s="1513" t="s">
        <v>700</v>
      </c>
      <c r="B87" s="639">
        <v>4230</v>
      </c>
      <c r="C87" s="616"/>
      <c r="D87" s="616"/>
      <c r="E87" s="638"/>
      <c r="F87" s="616"/>
      <c r="G87" s="616"/>
      <c r="H87" s="467">
        <v>0</v>
      </c>
      <c r="I87" s="477"/>
      <c r="J87" s="477"/>
      <c r="K87" s="1677">
        <f t="shared" si="12"/>
        <v>0</v>
      </c>
      <c r="L87" s="530"/>
    </row>
    <row r="88" spans="1:12" ht="12.75" customHeight="1" thickTop="1" thickBot="1" x14ac:dyDescent="0.25">
      <c r="A88" s="1513" t="s">
        <v>765</v>
      </c>
      <c r="B88" s="639">
        <v>4240</v>
      </c>
      <c r="C88" s="616"/>
      <c r="D88" s="616"/>
      <c r="E88" s="638"/>
      <c r="F88" s="616"/>
      <c r="G88" s="616"/>
      <c r="H88" s="467">
        <v>0</v>
      </c>
      <c r="I88" s="477"/>
      <c r="J88" s="477"/>
      <c r="K88" s="1677">
        <f t="shared" si="12"/>
        <v>0</v>
      </c>
      <c r="L88" s="530"/>
    </row>
    <row r="89" spans="1:12" ht="12.75" customHeight="1" thickTop="1" thickBot="1" x14ac:dyDescent="0.25">
      <c r="A89" s="1513" t="s">
        <v>701</v>
      </c>
      <c r="B89" s="639">
        <v>4270</v>
      </c>
      <c r="C89" s="616"/>
      <c r="D89" s="616"/>
      <c r="E89" s="638"/>
      <c r="F89" s="616"/>
      <c r="G89" s="616"/>
      <c r="H89" s="467">
        <v>0</v>
      </c>
      <c r="I89" s="477"/>
      <c r="J89" s="477"/>
      <c r="K89" s="1677">
        <f t="shared" si="12"/>
        <v>0</v>
      </c>
      <c r="L89" s="530"/>
    </row>
    <row r="90" spans="1:12" ht="12.75" customHeight="1" thickTop="1" thickBot="1" x14ac:dyDescent="0.25">
      <c r="A90" s="1513" t="s">
        <v>686</v>
      </c>
      <c r="B90" s="639">
        <v>4280</v>
      </c>
      <c r="C90" s="616"/>
      <c r="D90" s="616"/>
      <c r="E90" s="638"/>
      <c r="F90" s="616"/>
      <c r="G90" s="616"/>
      <c r="H90" s="467">
        <v>0</v>
      </c>
      <c r="I90" s="477"/>
      <c r="J90" s="477"/>
      <c r="K90" s="1677">
        <f t="shared" si="12"/>
        <v>0</v>
      </c>
      <c r="L90" s="530"/>
    </row>
    <row r="91" spans="1:12" ht="12.75" customHeight="1" thickTop="1" thickBot="1" x14ac:dyDescent="0.25">
      <c r="A91" s="1513" t="s">
        <v>687</v>
      </c>
      <c r="B91" s="639">
        <v>4290</v>
      </c>
      <c r="C91" s="616"/>
      <c r="D91" s="616"/>
      <c r="E91" s="638"/>
      <c r="F91" s="616"/>
      <c r="G91" s="616"/>
      <c r="H91" s="467">
        <v>0</v>
      </c>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row>
    <row r="94" spans="1:12" ht="12.75" customHeight="1" thickTop="1" thickBot="1" x14ac:dyDescent="0.25">
      <c r="A94" s="1513" t="s">
        <v>689</v>
      </c>
      <c r="B94" s="639">
        <v>4320</v>
      </c>
      <c r="C94" s="616"/>
      <c r="D94" s="616"/>
      <c r="E94" s="638"/>
      <c r="F94" s="616"/>
      <c r="G94" s="616"/>
      <c r="H94" s="467">
        <v>0</v>
      </c>
      <c r="I94" s="477"/>
      <c r="J94" s="477"/>
      <c r="K94" s="1677">
        <f t="shared" si="12"/>
        <v>0</v>
      </c>
      <c r="L94" s="530"/>
    </row>
    <row r="95" spans="1:12" ht="15" customHeight="1" thickTop="1" thickBot="1" x14ac:dyDescent="0.25">
      <c r="A95" s="1513" t="s">
        <v>1488</v>
      </c>
      <c r="B95" s="639">
        <v>4330</v>
      </c>
      <c r="C95" s="616"/>
      <c r="D95" s="616"/>
      <c r="E95" s="638"/>
      <c r="F95" s="616"/>
      <c r="G95" s="616"/>
      <c r="H95" s="467">
        <v>0</v>
      </c>
      <c r="I95" s="477"/>
      <c r="J95" s="477"/>
      <c r="K95" s="1677">
        <f t="shared" si="12"/>
        <v>0</v>
      </c>
      <c r="L95" s="530"/>
    </row>
    <row r="96" spans="1:12" ht="14.25" thickTop="1" thickBot="1" x14ac:dyDescent="0.25">
      <c r="A96" s="1513" t="s">
        <v>690</v>
      </c>
      <c r="B96" s="639">
        <v>4340</v>
      </c>
      <c r="C96" s="616"/>
      <c r="D96" s="616"/>
      <c r="E96" s="638"/>
      <c r="F96" s="616"/>
      <c r="G96" s="616"/>
      <c r="H96" s="467">
        <v>0</v>
      </c>
      <c r="I96" s="477"/>
      <c r="J96" s="477"/>
      <c r="K96" s="1677">
        <f t="shared" si="12"/>
        <v>0</v>
      </c>
      <c r="L96" s="530"/>
    </row>
    <row r="97" spans="1:14" ht="12.75" customHeight="1" thickTop="1" thickBot="1" x14ac:dyDescent="0.25">
      <c r="A97" s="1513" t="s">
        <v>763</v>
      </c>
      <c r="B97" s="639">
        <v>4370</v>
      </c>
      <c r="C97" s="616"/>
      <c r="D97" s="616"/>
      <c r="E97" s="638"/>
      <c r="F97" s="616"/>
      <c r="G97" s="616"/>
      <c r="H97" s="467">
        <v>0</v>
      </c>
      <c r="I97" s="477"/>
      <c r="J97" s="477"/>
      <c r="K97" s="1677">
        <f t="shared" si="12"/>
        <v>0</v>
      </c>
      <c r="L97" s="530"/>
    </row>
    <row r="98" spans="1:14" ht="14.25" thickTop="1" thickBot="1" x14ac:dyDescent="0.25">
      <c r="A98" s="1513" t="s">
        <v>764</v>
      </c>
      <c r="B98" s="639">
        <v>4380</v>
      </c>
      <c r="C98" s="616"/>
      <c r="D98" s="616"/>
      <c r="E98" s="642"/>
      <c r="F98" s="616"/>
      <c r="G98" s="616"/>
      <c r="H98" s="467">
        <v>0</v>
      </c>
      <c r="I98" s="477"/>
      <c r="J98" s="477"/>
      <c r="K98" s="1677">
        <f t="shared" si="12"/>
        <v>0</v>
      </c>
      <c r="L98" s="530"/>
    </row>
    <row r="99" spans="1:14" ht="14.25" thickTop="1" thickBot="1" x14ac:dyDescent="0.25">
      <c r="A99" s="1513" t="s">
        <v>367</v>
      </c>
      <c r="B99" s="639">
        <v>4390</v>
      </c>
      <c r="C99" s="616"/>
      <c r="D99" s="616"/>
      <c r="E99" s="532">
        <v>0</v>
      </c>
      <c r="F99" s="616"/>
      <c r="G99" s="616"/>
      <c r="H99" s="467">
        <v>0</v>
      </c>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row>
    <row r="102" spans="1:14" ht="12.75" customHeight="1" thickTop="1" thickBot="1" x14ac:dyDescent="0.25">
      <c r="A102" s="1668" t="s">
        <v>1487</v>
      </c>
      <c r="B102" s="1678">
        <v>4000</v>
      </c>
      <c r="C102" s="616"/>
      <c r="D102" s="616"/>
      <c r="E102" s="1677">
        <f>SUM(E84,E92,E100,E101)</f>
        <v>180938</v>
      </c>
      <c r="F102" s="616"/>
      <c r="G102" s="616"/>
      <c r="H102" s="1677">
        <f>SUM(H84,H92,H100,H101)</f>
        <v>14220</v>
      </c>
      <c r="I102" s="477"/>
      <c r="J102" s="477"/>
      <c r="K102" s="1677">
        <f>SUM(K84,K92,K100,K101)</f>
        <v>195158</v>
      </c>
      <c r="L102" s="1677">
        <f>SUM(L84,L92,L100,L101)</f>
        <v>192548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458175</v>
      </c>
      <c r="D114" s="1670">
        <f t="shared" ref="D114:K114" si="13">SUM(D33,D74,D75,D102,D112,D113)</f>
        <v>67073</v>
      </c>
      <c r="E114" s="1670">
        <f t="shared" si="13"/>
        <v>214119</v>
      </c>
      <c r="F114" s="1670">
        <f t="shared" si="13"/>
        <v>27246</v>
      </c>
      <c r="G114" s="1670">
        <f t="shared" si="13"/>
        <v>7636</v>
      </c>
      <c r="H114" s="1670">
        <f>SUM(H33,H74,H75,H102,H112,H113)</f>
        <v>20075</v>
      </c>
      <c r="I114" s="1670">
        <f t="shared" si="13"/>
        <v>6320</v>
      </c>
      <c r="J114" s="1670">
        <f t="shared" si="13"/>
        <v>0</v>
      </c>
      <c r="K114" s="1670">
        <f t="shared" si="13"/>
        <v>800644</v>
      </c>
      <c r="L114" s="1670">
        <f>SUM(L33,L74,L75,L102,L112,L113)</f>
        <v>792421</v>
      </c>
    </row>
    <row r="115" spans="1:14" ht="13.5" thickTop="1" x14ac:dyDescent="0.2">
      <c r="A115" s="2156" t="s">
        <v>996</v>
      </c>
      <c r="B115" s="2157"/>
      <c r="C115" s="618"/>
      <c r="D115" s="618"/>
      <c r="E115" s="618"/>
      <c r="F115" s="618"/>
      <c r="G115" s="618"/>
      <c r="H115" s="618"/>
      <c r="I115" s="618"/>
      <c r="J115" s="618"/>
      <c r="K115" s="1684">
        <f>'Revenues 9-14'!C268-'Expenditures 15-22'!K114</f>
        <v>-18779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row>
    <row r="124" spans="1:14" ht="14.25" thickTop="1" thickBot="1" x14ac:dyDescent="0.25">
      <c r="A124" s="1504" t="s">
        <v>197</v>
      </c>
      <c r="B124" s="614">
        <v>2540</v>
      </c>
      <c r="C124" s="466">
        <v>33281</v>
      </c>
      <c r="D124" s="466">
        <v>1998</v>
      </c>
      <c r="E124" s="466">
        <v>12999</v>
      </c>
      <c r="F124" s="466">
        <v>22775</v>
      </c>
      <c r="G124" s="466">
        <v>4358</v>
      </c>
      <c r="H124" s="466">
        <v>0</v>
      </c>
      <c r="I124" s="467">
        <v>0</v>
      </c>
      <c r="J124" s="467">
        <v>0</v>
      </c>
      <c r="K124" s="1670">
        <f>SUM(C124:J124)</f>
        <v>75411</v>
      </c>
      <c r="L124" s="466">
        <v>82830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row>
    <row r="126" spans="1:14" ht="14.25" thickTop="1" thickBot="1" x14ac:dyDescent="0.25">
      <c r="A126" s="1504" t="s">
        <v>100</v>
      </c>
      <c r="B126" s="614">
        <v>2560</v>
      </c>
      <c r="C126" s="654"/>
      <c r="D126" s="654"/>
      <c r="E126" s="654"/>
      <c r="F126" s="654"/>
      <c r="G126" s="466">
        <v>0</v>
      </c>
      <c r="H126" s="654"/>
      <c r="I126" s="474">
        <v>0</v>
      </c>
      <c r="J126" s="616"/>
      <c r="K126" s="1670">
        <f>SUM(C126:J126)</f>
        <v>0</v>
      </c>
      <c r="L126" s="466"/>
    </row>
    <row r="127" spans="1:14" ht="12.75" customHeight="1" thickTop="1" thickBot="1" x14ac:dyDescent="0.25">
      <c r="A127" s="1668" t="s">
        <v>719</v>
      </c>
      <c r="B127" s="1669" t="s">
        <v>35</v>
      </c>
      <c r="C127" s="1670">
        <f>SUM(C122:C126)</f>
        <v>33281</v>
      </c>
      <c r="D127" s="1670">
        <f t="shared" ref="D127:L127" si="14">SUM(D122:D126)</f>
        <v>1998</v>
      </c>
      <c r="E127" s="1670">
        <f t="shared" si="14"/>
        <v>12999</v>
      </c>
      <c r="F127" s="1670">
        <f t="shared" si="14"/>
        <v>22775</v>
      </c>
      <c r="G127" s="1670">
        <f t="shared" si="14"/>
        <v>4358</v>
      </c>
      <c r="H127" s="1670">
        <f t="shared" si="14"/>
        <v>0</v>
      </c>
      <c r="I127" s="1670">
        <f t="shared" si="14"/>
        <v>0</v>
      </c>
      <c r="J127" s="1670">
        <f t="shared" si="14"/>
        <v>0</v>
      </c>
      <c r="K127" s="1670">
        <f t="shared" si="14"/>
        <v>75411</v>
      </c>
      <c r="L127" s="1670">
        <f t="shared" si="14"/>
        <v>82830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row>
    <row r="129" spans="1:14" ht="12.75" customHeight="1" thickBot="1" x14ac:dyDescent="0.25">
      <c r="A129" s="1686" t="s">
        <v>811</v>
      </c>
      <c r="B129" s="1687" t="s">
        <v>569</v>
      </c>
      <c r="C129" s="1677">
        <f>SUM(C120,C127,C128)</f>
        <v>33281</v>
      </c>
      <c r="D129" s="1677">
        <f t="shared" ref="D129:L129" si="15">SUM(D120,D127,D128)</f>
        <v>1998</v>
      </c>
      <c r="E129" s="1677">
        <f t="shared" si="15"/>
        <v>12999</v>
      </c>
      <c r="F129" s="1677">
        <f t="shared" si="15"/>
        <v>22775</v>
      </c>
      <c r="G129" s="1677">
        <f t="shared" si="15"/>
        <v>4358</v>
      </c>
      <c r="H129" s="1677">
        <f t="shared" si="15"/>
        <v>0</v>
      </c>
      <c r="I129" s="1677">
        <f t="shared" si="15"/>
        <v>0</v>
      </c>
      <c r="J129" s="1677">
        <f t="shared" si="15"/>
        <v>0</v>
      </c>
      <c r="K129" s="1677">
        <f t="shared" si="15"/>
        <v>75411</v>
      </c>
      <c r="L129" s="1677">
        <f t="shared" si="15"/>
        <v>82830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c r="M133" s="206"/>
      <c r="N133" s="206"/>
    </row>
    <row r="134" spans="1:14" x14ac:dyDescent="0.2">
      <c r="A134" s="1504" t="s">
        <v>304</v>
      </c>
      <c r="B134" s="614">
        <v>4120</v>
      </c>
      <c r="C134" s="616"/>
      <c r="D134" s="616"/>
      <c r="E134" s="478">
        <v>0</v>
      </c>
      <c r="F134" s="616"/>
      <c r="G134" s="616"/>
      <c r="H134" s="481">
        <v>0</v>
      </c>
      <c r="I134" s="477"/>
      <c r="J134" s="616"/>
      <c r="K134" s="1672">
        <f>SUM(E134,H134)</f>
        <v>0</v>
      </c>
      <c r="L134" s="481"/>
    </row>
    <row r="135" spans="1:14" x14ac:dyDescent="0.2">
      <c r="A135" s="1504" t="s">
        <v>697</v>
      </c>
      <c r="B135" s="614">
        <v>4140</v>
      </c>
      <c r="C135" s="616"/>
      <c r="D135" s="616"/>
      <c r="E135" s="467">
        <v>0</v>
      </c>
      <c r="F135" s="616"/>
      <c r="G135" s="616"/>
      <c r="H135" s="466">
        <v>0</v>
      </c>
      <c r="I135" s="477"/>
      <c r="J135" s="616"/>
      <c r="K135" s="1672">
        <f>SUM(E135,H135)</f>
        <v>0</v>
      </c>
      <c r="L135" s="466"/>
    </row>
    <row r="136" spans="1:14" x14ac:dyDescent="0.2">
      <c r="A136" s="1508" t="s">
        <v>698</v>
      </c>
      <c r="B136" s="628">
        <v>4190</v>
      </c>
      <c r="C136" s="616"/>
      <c r="D136" s="616"/>
      <c r="E136" s="467">
        <v>14292</v>
      </c>
      <c r="F136" s="616"/>
      <c r="G136" s="616"/>
      <c r="H136" s="466">
        <v>0</v>
      </c>
      <c r="I136" s="477"/>
      <c r="J136" s="616"/>
      <c r="K136" s="1672">
        <f>SUM(E136,H136)</f>
        <v>14292</v>
      </c>
      <c r="L136" s="466">
        <v>14746</v>
      </c>
    </row>
    <row r="137" spans="1:14" ht="12.75" customHeight="1" thickBot="1" x14ac:dyDescent="0.25">
      <c r="A137" s="1668" t="s">
        <v>480</v>
      </c>
      <c r="B137" s="1678">
        <v>4100</v>
      </c>
      <c r="C137" s="616"/>
      <c r="D137" s="616"/>
      <c r="E137" s="1670">
        <f>SUM(E133:E136)</f>
        <v>14292</v>
      </c>
      <c r="F137" s="616"/>
      <c r="G137" s="616"/>
      <c r="H137" s="1670">
        <f>SUM(H133:H136)</f>
        <v>0</v>
      </c>
      <c r="I137" s="477"/>
      <c r="J137" s="616"/>
      <c r="K137" s="1670">
        <f>SUM(K133:K136)</f>
        <v>14292</v>
      </c>
      <c r="L137" s="1670">
        <f>SUM(L133:L136)</f>
        <v>14746</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row>
    <row r="139" spans="1:14" ht="12.75" customHeight="1" thickTop="1" thickBot="1" x14ac:dyDescent="0.25">
      <c r="A139" s="1668" t="s">
        <v>1487</v>
      </c>
      <c r="B139" s="1678">
        <v>4000</v>
      </c>
      <c r="C139" s="616"/>
      <c r="D139" s="616"/>
      <c r="E139" s="1670">
        <f>SUM(E137,E138)</f>
        <v>14292</v>
      </c>
      <c r="F139" s="616"/>
      <c r="G139" s="616"/>
      <c r="H139" s="1679">
        <f>SUM(H137:H138)</f>
        <v>0</v>
      </c>
      <c r="I139" s="477"/>
      <c r="J139" s="616"/>
      <c r="K139" s="1672">
        <f>SUM(K137,K138)</f>
        <v>14292</v>
      </c>
      <c r="L139" s="1679">
        <f>SUM(L137,L138)</f>
        <v>14746</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row>
    <row r="143" spans="1:14" x14ac:dyDescent="0.2">
      <c r="A143" s="1504" t="s">
        <v>88</v>
      </c>
      <c r="B143" s="614">
        <v>5120</v>
      </c>
      <c r="C143" s="616"/>
      <c r="D143" s="616"/>
      <c r="E143" s="616"/>
      <c r="F143" s="616"/>
      <c r="G143" s="616"/>
      <c r="H143" s="466">
        <v>0</v>
      </c>
      <c r="I143" s="468"/>
      <c r="J143" s="616"/>
      <c r="K143" s="1672">
        <f>SUM(H143)</f>
        <v>0</v>
      </c>
      <c r="L143" s="466"/>
    </row>
    <row r="144" spans="1:14" ht="12.75" customHeight="1" x14ac:dyDescent="0.2">
      <c r="A144" s="1504" t="s">
        <v>1170</v>
      </c>
      <c r="B144" s="628" t="s">
        <v>617</v>
      </c>
      <c r="C144" s="616"/>
      <c r="D144" s="616"/>
      <c r="E144" s="616"/>
      <c r="F144" s="616"/>
      <c r="G144" s="616"/>
      <c r="H144" s="466">
        <v>0</v>
      </c>
      <c r="I144" s="468"/>
      <c r="J144" s="616"/>
      <c r="K144" s="1672">
        <f>SUM(H144)</f>
        <v>0</v>
      </c>
      <c r="L144" s="466"/>
    </row>
    <row r="145" spans="1:14" x14ac:dyDescent="0.2">
      <c r="A145" s="1504" t="s">
        <v>89</v>
      </c>
      <c r="B145" s="614" t="s">
        <v>589</v>
      </c>
      <c r="C145" s="616"/>
      <c r="D145" s="616"/>
      <c r="E145" s="616"/>
      <c r="F145" s="616"/>
      <c r="G145" s="616"/>
      <c r="H145" s="466">
        <v>0</v>
      </c>
      <c r="I145" s="468"/>
      <c r="J145" s="616"/>
      <c r="K145" s="1672">
        <f>SUM(H145)</f>
        <v>0</v>
      </c>
      <c r="L145" s="466"/>
    </row>
    <row r="146" spans="1:14" ht="12.75" customHeight="1" x14ac:dyDescent="0.2">
      <c r="A146" s="1504" t="s">
        <v>619</v>
      </c>
      <c r="B146" s="614" t="s">
        <v>618</v>
      </c>
      <c r="C146" s="616"/>
      <c r="D146" s="616"/>
      <c r="E146" s="616"/>
      <c r="F146" s="616"/>
      <c r="G146" s="616"/>
      <c r="H146" s="466">
        <v>0</v>
      </c>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33281</v>
      </c>
      <c r="D151" s="1670">
        <f t="shared" ref="D151:K151" si="16">SUM(D129,D130,D139,D149,D150)</f>
        <v>1998</v>
      </c>
      <c r="E151" s="1670">
        <f t="shared" si="16"/>
        <v>27291</v>
      </c>
      <c r="F151" s="1670">
        <f t="shared" si="16"/>
        <v>22775</v>
      </c>
      <c r="G151" s="1670">
        <f t="shared" si="16"/>
        <v>4358</v>
      </c>
      <c r="H151" s="1670">
        <f t="shared" si="16"/>
        <v>0</v>
      </c>
      <c r="I151" s="1670">
        <f t="shared" si="16"/>
        <v>0</v>
      </c>
      <c r="J151" s="1670">
        <f t="shared" si="16"/>
        <v>0</v>
      </c>
      <c r="K151" s="1670">
        <f t="shared" si="16"/>
        <v>89703</v>
      </c>
      <c r="L151" s="1670">
        <f>SUM(L129,L130,L139,L149,L150)</f>
        <v>97576</v>
      </c>
    </row>
    <row r="152" spans="1:14" ht="12.75" customHeight="1" thickTop="1" x14ac:dyDescent="0.2">
      <c r="A152" s="2176" t="s">
        <v>1178</v>
      </c>
      <c r="B152" s="2177"/>
      <c r="C152" s="618"/>
      <c r="D152" s="618"/>
      <c r="E152" s="618"/>
      <c r="F152" s="618"/>
      <c r="G152" s="618"/>
      <c r="H152" s="618"/>
      <c r="I152" s="618"/>
      <c r="J152" s="616"/>
      <c r="K152" s="1684">
        <f>'Revenues 9-14'!D268-'Expenditures 15-22'!K151</f>
        <v>10455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row>
    <row r="164" spans="1:14" x14ac:dyDescent="0.2">
      <c r="A164" s="1504" t="s">
        <v>88</v>
      </c>
      <c r="B164" s="614">
        <v>5120</v>
      </c>
      <c r="C164" s="616"/>
      <c r="D164" s="616"/>
      <c r="E164" s="616"/>
      <c r="F164" s="616"/>
      <c r="G164" s="616"/>
      <c r="H164" s="466">
        <v>0</v>
      </c>
      <c r="I164" s="616"/>
      <c r="J164" s="616"/>
      <c r="K164" s="1671">
        <f>SUM(C164:J164)</f>
        <v>0</v>
      </c>
      <c r="L164" s="466"/>
    </row>
    <row r="165" spans="1:14" ht="12.75" customHeight="1" x14ac:dyDescent="0.2">
      <c r="A165" s="1504" t="s">
        <v>1170</v>
      </c>
      <c r="B165" s="614" t="s">
        <v>617</v>
      </c>
      <c r="C165" s="616"/>
      <c r="D165" s="616"/>
      <c r="E165" s="616"/>
      <c r="F165" s="616"/>
      <c r="G165" s="616"/>
      <c r="H165" s="466">
        <v>0</v>
      </c>
      <c r="I165" s="616"/>
      <c r="J165" s="616"/>
      <c r="K165" s="1671">
        <f>SUM(C165:J165)</f>
        <v>0</v>
      </c>
      <c r="L165" s="466"/>
    </row>
    <row r="166" spans="1:14" x14ac:dyDescent="0.2">
      <c r="A166" s="1504" t="s">
        <v>89</v>
      </c>
      <c r="B166" s="628" t="s">
        <v>589</v>
      </c>
      <c r="C166" s="616"/>
      <c r="D166" s="616"/>
      <c r="E166" s="616"/>
      <c r="F166" s="616"/>
      <c r="G166" s="616"/>
      <c r="H166" s="466">
        <v>0</v>
      </c>
      <c r="I166" s="616"/>
      <c r="J166" s="616"/>
      <c r="K166" s="1671">
        <f>SUM(C166:J166)</f>
        <v>0</v>
      </c>
      <c r="L166" s="466"/>
    </row>
    <row r="167" spans="1:14" ht="12.75" customHeight="1" x14ac:dyDescent="0.2">
      <c r="A167" s="1504" t="s">
        <v>619</v>
      </c>
      <c r="B167" s="614" t="s">
        <v>618</v>
      </c>
      <c r="C167" s="616"/>
      <c r="D167" s="616"/>
      <c r="E167" s="616"/>
      <c r="F167" s="616"/>
      <c r="G167" s="616"/>
      <c r="H167" s="466">
        <v>0</v>
      </c>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675</v>
      </c>
      <c r="I169" s="616"/>
      <c r="J169" s="616"/>
      <c r="K169" s="1671">
        <f>SUM(C169:H169)</f>
        <v>675</v>
      </c>
      <c r="L169" s="656">
        <v>60679</v>
      </c>
    </row>
    <row r="170" spans="1:14" ht="33.75" customHeight="1" x14ac:dyDescent="0.2">
      <c r="A170" s="669" t="s">
        <v>1670</v>
      </c>
      <c r="B170" s="671" t="s">
        <v>31</v>
      </c>
      <c r="C170" s="616"/>
      <c r="D170" s="616"/>
      <c r="E170" s="616"/>
      <c r="F170" s="616"/>
      <c r="G170" s="616"/>
      <c r="H170" s="569">
        <v>60000</v>
      </c>
      <c r="I170" s="616"/>
      <c r="J170" s="616"/>
      <c r="K170" s="1671">
        <f>SUM(C170:J170)</f>
        <v>60000</v>
      </c>
      <c r="L170" s="569"/>
    </row>
    <row r="171" spans="1:14" ht="15.75" customHeight="1" x14ac:dyDescent="0.2">
      <c r="A171" s="621" t="s">
        <v>766</v>
      </c>
      <c r="B171" s="672" t="s">
        <v>84</v>
      </c>
      <c r="C171" s="616"/>
      <c r="D171" s="616"/>
      <c r="E171" s="466">
        <v>0</v>
      </c>
      <c r="F171" s="616"/>
      <c r="G171" s="616"/>
      <c r="H171" s="569">
        <v>0</v>
      </c>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60675</v>
      </c>
      <c r="I172" s="638"/>
      <c r="J172" s="616"/>
      <c r="K172" s="1677">
        <f>SUM(K168,K169,K170,K171)</f>
        <v>60675</v>
      </c>
      <c r="L172" s="1677">
        <f>SUM(L168,L169,L170,L171)</f>
        <v>60679</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60675</v>
      </c>
      <c r="I174" s="638"/>
      <c r="J174" s="616"/>
      <c r="K174" s="1677">
        <f>SUM(K160,K172,K173)</f>
        <v>60675</v>
      </c>
      <c r="L174" s="1677">
        <f>SUM(L160,L172,L173)</f>
        <v>60679</v>
      </c>
    </row>
    <row r="175" spans="1:14" ht="13.5" thickTop="1" x14ac:dyDescent="0.2">
      <c r="A175" s="2156" t="s">
        <v>996</v>
      </c>
      <c r="B175" s="2157"/>
      <c r="C175" s="616"/>
      <c r="D175" s="616"/>
      <c r="E175" s="616"/>
      <c r="F175" s="616"/>
      <c r="G175" s="616"/>
      <c r="H175" s="618"/>
      <c r="I175" s="616"/>
      <c r="J175" s="616"/>
      <c r="K175" s="1684">
        <f>'Revenues 9-14'!E268-'Expenditures 15-22'!K174</f>
        <v>-183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29380</v>
      </c>
      <c r="D182" s="466">
        <v>4445</v>
      </c>
      <c r="E182" s="466">
        <v>64341</v>
      </c>
      <c r="F182" s="466">
        <v>4549</v>
      </c>
      <c r="G182" s="466">
        <v>0</v>
      </c>
      <c r="H182" s="466">
        <v>195</v>
      </c>
      <c r="I182" s="467">
        <v>0</v>
      </c>
      <c r="J182" s="467">
        <v>0</v>
      </c>
      <c r="K182" s="1671">
        <f>SUM(C182:J182)</f>
        <v>102910</v>
      </c>
      <c r="L182" s="466">
        <v>75437</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row>
    <row r="184" spans="1:14" ht="12.75" customHeight="1" thickTop="1" thickBot="1" x14ac:dyDescent="0.25">
      <c r="A184" s="1691" t="s">
        <v>811</v>
      </c>
      <c r="B184" s="1669" t="s">
        <v>569</v>
      </c>
      <c r="C184" s="1677">
        <f>SUM(C180,C182,C183)</f>
        <v>29380</v>
      </c>
      <c r="D184" s="1677">
        <f t="shared" ref="D184:J184" si="17">SUM(D180,D182,D183)</f>
        <v>4445</v>
      </c>
      <c r="E184" s="1677">
        <f t="shared" si="17"/>
        <v>64341</v>
      </c>
      <c r="F184" s="1677">
        <f t="shared" si="17"/>
        <v>4549</v>
      </c>
      <c r="G184" s="1677">
        <f t="shared" si="17"/>
        <v>0</v>
      </c>
      <c r="H184" s="1677">
        <f t="shared" si="17"/>
        <v>195</v>
      </c>
      <c r="I184" s="1677">
        <f t="shared" si="17"/>
        <v>0</v>
      </c>
      <c r="J184" s="1677">
        <f t="shared" si="17"/>
        <v>0</v>
      </c>
      <c r="K184" s="1677">
        <f>SUM(K180,K182,K183)</f>
        <v>102910</v>
      </c>
      <c r="L184" s="1677">
        <f>SUM(L180, L182:L183)</f>
        <v>75437</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5035</v>
      </c>
      <c r="F188" s="616"/>
      <c r="G188" s="616"/>
      <c r="H188" s="466">
        <v>0</v>
      </c>
      <c r="I188" s="477"/>
      <c r="J188" s="616"/>
      <c r="K188" s="1671">
        <f t="shared" ref="K188:K193" si="18">SUM(E188,H188)</f>
        <v>5035</v>
      </c>
      <c r="L188" s="466">
        <v>6500</v>
      </c>
    </row>
    <row r="189" spans="1:14" x14ac:dyDescent="0.2">
      <c r="A189" s="1504" t="s">
        <v>304</v>
      </c>
      <c r="B189" s="614">
        <v>4120</v>
      </c>
      <c r="C189" s="616"/>
      <c r="D189" s="616"/>
      <c r="E189" s="466">
        <v>0</v>
      </c>
      <c r="F189" s="616"/>
      <c r="G189" s="616"/>
      <c r="H189" s="466">
        <v>0</v>
      </c>
      <c r="I189" s="477"/>
      <c r="J189" s="616"/>
      <c r="K189" s="1671">
        <f t="shared" si="18"/>
        <v>0</v>
      </c>
      <c r="L189" s="466"/>
    </row>
    <row r="190" spans="1:14" x14ac:dyDescent="0.2">
      <c r="A190" s="1504" t="s">
        <v>305</v>
      </c>
      <c r="B190" s="628">
        <v>4130</v>
      </c>
      <c r="C190" s="616"/>
      <c r="D190" s="616"/>
      <c r="E190" s="466">
        <v>0</v>
      </c>
      <c r="F190" s="616"/>
      <c r="G190" s="616"/>
      <c r="H190" s="466">
        <v>0</v>
      </c>
      <c r="I190" s="477"/>
      <c r="J190" s="616"/>
      <c r="K190" s="1671">
        <f t="shared" si="18"/>
        <v>0</v>
      </c>
      <c r="L190" s="466"/>
    </row>
    <row r="191" spans="1:14" x14ac:dyDescent="0.2">
      <c r="A191" s="1504" t="s">
        <v>697</v>
      </c>
      <c r="B191" s="614">
        <v>4140</v>
      </c>
      <c r="C191" s="616"/>
      <c r="D191" s="616"/>
      <c r="E191" s="466">
        <v>0</v>
      </c>
      <c r="F191" s="616"/>
      <c r="G191" s="616"/>
      <c r="H191" s="466">
        <v>0</v>
      </c>
      <c r="I191" s="477"/>
      <c r="J191" s="616"/>
      <c r="K191" s="1671">
        <f t="shared" si="18"/>
        <v>0</v>
      </c>
      <c r="L191" s="466"/>
    </row>
    <row r="192" spans="1:14" x14ac:dyDescent="0.2">
      <c r="A192" s="1504" t="s">
        <v>86</v>
      </c>
      <c r="B192" s="614">
        <v>4170</v>
      </c>
      <c r="C192" s="616"/>
      <c r="D192" s="616"/>
      <c r="E192" s="466">
        <v>0</v>
      </c>
      <c r="F192" s="616"/>
      <c r="G192" s="616"/>
      <c r="H192" s="466">
        <v>0</v>
      </c>
      <c r="I192" s="477"/>
      <c r="J192" s="616"/>
      <c r="K192" s="1671">
        <f t="shared" si="18"/>
        <v>0</v>
      </c>
      <c r="L192" s="466"/>
    </row>
    <row r="193" spans="1:14" x14ac:dyDescent="0.2">
      <c r="A193" s="1508" t="s">
        <v>698</v>
      </c>
      <c r="B193" s="628">
        <v>4190</v>
      </c>
      <c r="C193" s="616"/>
      <c r="D193" s="616"/>
      <c r="E193" s="466">
        <v>0</v>
      </c>
      <c r="F193" s="616"/>
      <c r="G193" s="616"/>
      <c r="H193" s="466">
        <v>0</v>
      </c>
      <c r="I193" s="477"/>
      <c r="J193" s="616"/>
      <c r="K193" s="1671">
        <f t="shared" si="18"/>
        <v>0</v>
      </c>
      <c r="L193" s="466"/>
    </row>
    <row r="194" spans="1:14" ht="12.75" customHeight="1" thickBot="1" x14ac:dyDescent="0.25">
      <c r="A194" s="1668" t="s">
        <v>1140</v>
      </c>
      <c r="B194" s="1669" t="s">
        <v>559</v>
      </c>
      <c r="C194" s="616"/>
      <c r="D194" s="616"/>
      <c r="E194" s="1670">
        <f>SUM(E188:E193)</f>
        <v>5035</v>
      </c>
      <c r="F194" s="616"/>
      <c r="G194" s="616"/>
      <c r="H194" s="1670">
        <f>SUM(H188:H193)</f>
        <v>0</v>
      </c>
      <c r="I194" s="477"/>
      <c r="J194" s="616"/>
      <c r="K194" s="1670">
        <f>SUM(K188:K193)</f>
        <v>5035</v>
      </c>
      <c r="L194" s="1670">
        <f>SUM(L188:L193)</f>
        <v>6500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row>
    <row r="196" spans="1:14" ht="12.75" customHeight="1" thickBot="1" x14ac:dyDescent="0.25">
      <c r="A196" s="1668" t="s">
        <v>1487</v>
      </c>
      <c r="B196" s="1669" t="s">
        <v>860</v>
      </c>
      <c r="C196" s="616"/>
      <c r="D196" s="616"/>
      <c r="E196" s="1677">
        <f>SUM(E194,E195)</f>
        <v>5035</v>
      </c>
      <c r="F196" s="616"/>
      <c r="G196" s="616"/>
      <c r="H196" s="1677">
        <f>SUM(H194,H195)</f>
        <v>0</v>
      </c>
      <c r="I196" s="477"/>
      <c r="J196" s="616"/>
      <c r="K196" s="1677">
        <f>SUM(K194,K195)</f>
        <v>5035</v>
      </c>
      <c r="L196" s="1677">
        <f>SUM(L194,L195)</f>
        <v>6500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row>
    <row r="200" spans="1:14" x14ac:dyDescent="0.2">
      <c r="A200" s="1504" t="s">
        <v>88</v>
      </c>
      <c r="B200" s="614">
        <v>5120</v>
      </c>
      <c r="C200" s="616"/>
      <c r="D200" s="616"/>
      <c r="E200" s="616"/>
      <c r="F200" s="616"/>
      <c r="G200" s="616"/>
      <c r="H200" s="466">
        <v>0</v>
      </c>
      <c r="I200" s="616"/>
      <c r="J200" s="616"/>
      <c r="K200" s="1671">
        <f>SUM(H200)</f>
        <v>0</v>
      </c>
      <c r="L200" s="466"/>
    </row>
    <row r="201" spans="1:14" ht="12.75" customHeight="1" x14ac:dyDescent="0.2">
      <c r="A201" s="1504" t="s">
        <v>1170</v>
      </c>
      <c r="B201" s="628" t="s">
        <v>617</v>
      </c>
      <c r="C201" s="616"/>
      <c r="D201" s="616"/>
      <c r="E201" s="616"/>
      <c r="F201" s="616"/>
      <c r="G201" s="616"/>
      <c r="H201" s="466">
        <v>0</v>
      </c>
      <c r="I201" s="616"/>
      <c r="J201" s="616"/>
      <c r="K201" s="1671">
        <f>SUM(H201)</f>
        <v>0</v>
      </c>
      <c r="L201" s="466"/>
    </row>
    <row r="202" spans="1:14" x14ac:dyDescent="0.2">
      <c r="A202" s="1504" t="s">
        <v>89</v>
      </c>
      <c r="B202" s="614" t="s">
        <v>589</v>
      </c>
      <c r="C202" s="616"/>
      <c r="D202" s="616"/>
      <c r="E202" s="616"/>
      <c r="F202" s="616"/>
      <c r="G202" s="616"/>
      <c r="H202" s="466">
        <v>0</v>
      </c>
      <c r="I202" s="616"/>
      <c r="J202" s="616"/>
      <c r="K202" s="1671">
        <f>SUM(H202)</f>
        <v>0</v>
      </c>
      <c r="L202" s="466"/>
    </row>
    <row r="203" spans="1:14" x14ac:dyDescent="0.2">
      <c r="A203" s="1516" t="s">
        <v>619</v>
      </c>
      <c r="B203" s="614" t="s">
        <v>618</v>
      </c>
      <c r="C203" s="616"/>
      <c r="D203" s="616"/>
      <c r="E203" s="616"/>
      <c r="F203" s="616"/>
      <c r="G203" s="616"/>
      <c r="H203" s="471">
        <v>0</v>
      </c>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row>
    <row r="206" spans="1:14" ht="30" customHeight="1" x14ac:dyDescent="0.2">
      <c r="A206" s="681" t="s">
        <v>1671</v>
      </c>
      <c r="B206" s="672" t="s">
        <v>31</v>
      </c>
      <c r="C206" s="616"/>
      <c r="D206" s="616"/>
      <c r="E206" s="616"/>
      <c r="F206" s="616"/>
      <c r="G206" s="616"/>
      <c r="H206" s="466">
        <v>0</v>
      </c>
      <c r="I206" s="616"/>
      <c r="J206" s="616"/>
      <c r="K206" s="1671">
        <f>SUM(H206)</f>
        <v>0</v>
      </c>
      <c r="L206" s="466"/>
    </row>
    <row r="207" spans="1:14" ht="15.75" customHeight="1" x14ac:dyDescent="0.2">
      <c r="A207" s="621" t="s">
        <v>766</v>
      </c>
      <c r="B207" s="672" t="s">
        <v>84</v>
      </c>
      <c r="C207" s="616"/>
      <c r="D207" s="616"/>
      <c r="E207" s="616"/>
      <c r="F207" s="616"/>
      <c r="G207" s="616"/>
      <c r="H207" s="467">
        <v>0</v>
      </c>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29380</v>
      </c>
      <c r="D210" s="1670">
        <f>SUM(D184,D185)</f>
        <v>4445</v>
      </c>
      <c r="E210" s="1670">
        <f>SUM(E184,E185,E196)</f>
        <v>69376</v>
      </c>
      <c r="F210" s="1670">
        <f>SUM(F184,F185)</f>
        <v>4549</v>
      </c>
      <c r="G210" s="1670">
        <f>SUM(G184,G185)</f>
        <v>0</v>
      </c>
      <c r="H210" s="1670">
        <f>SUM(H184,H185,H196,H208,H209)</f>
        <v>195</v>
      </c>
      <c r="I210" s="1670">
        <f>SUM(I184,I185)</f>
        <v>0</v>
      </c>
      <c r="J210" s="1670">
        <f>SUM(J184,J185)</f>
        <v>0</v>
      </c>
      <c r="K210" s="1671">
        <f>SUM(K184,K185,K196,K208,K209)</f>
        <v>107945</v>
      </c>
      <c r="L210" s="1670">
        <f>SUM(L184,L185,L196,L208,L209)</f>
        <v>81937</v>
      </c>
    </row>
    <row r="211" spans="1:14" ht="13.5" thickTop="1" x14ac:dyDescent="0.2">
      <c r="A211" s="2156" t="s">
        <v>996</v>
      </c>
      <c r="B211" s="2157"/>
      <c r="C211" s="618"/>
      <c r="D211" s="618"/>
      <c r="E211" s="618"/>
      <c r="F211" s="618"/>
      <c r="G211" s="618"/>
      <c r="H211" s="618"/>
      <c r="I211" s="616"/>
      <c r="J211" s="616"/>
      <c r="K211" s="1684">
        <f>'Revenues 9-14'!F268-'Expenditures 15-22'!K210</f>
        <v>-21708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5463</v>
      </c>
      <c r="E215" s="616"/>
      <c r="F215" s="616"/>
      <c r="G215" s="616"/>
      <c r="H215" s="616"/>
      <c r="I215" s="616"/>
      <c r="J215" s="616"/>
      <c r="K215" s="1671">
        <f>D215</f>
        <v>5463</v>
      </c>
      <c r="L215" s="466">
        <v>5012</v>
      </c>
    </row>
    <row r="216" spans="1:14" x14ac:dyDescent="0.2">
      <c r="A216" s="1504" t="s">
        <v>163</v>
      </c>
      <c r="B216" s="614" t="s">
        <v>967</v>
      </c>
      <c r="C216" s="616"/>
      <c r="D216" s="467">
        <v>0</v>
      </c>
      <c r="E216" s="616"/>
      <c r="F216" s="616"/>
      <c r="G216" s="616"/>
      <c r="H216" s="616"/>
      <c r="I216" s="616"/>
      <c r="J216" s="616"/>
      <c r="K216" s="1671">
        <f t="shared" ref="K216:K228" si="19">D216</f>
        <v>0</v>
      </c>
      <c r="L216" s="466"/>
    </row>
    <row r="217" spans="1:14" x14ac:dyDescent="0.2">
      <c r="A217" s="1504" t="s">
        <v>164</v>
      </c>
      <c r="B217" s="614">
        <v>1200</v>
      </c>
      <c r="C217" s="616"/>
      <c r="D217" s="466">
        <v>3026</v>
      </c>
      <c r="E217" s="616"/>
      <c r="F217" s="616"/>
      <c r="G217" s="616"/>
      <c r="H217" s="616"/>
      <c r="I217" s="616"/>
      <c r="J217" s="616"/>
      <c r="K217" s="1671">
        <f t="shared" si="19"/>
        <v>3026</v>
      </c>
      <c r="L217" s="466">
        <v>2132</v>
      </c>
    </row>
    <row r="218" spans="1:14" x14ac:dyDescent="0.2">
      <c r="A218" s="1504" t="s">
        <v>278</v>
      </c>
      <c r="B218" s="614" t="s">
        <v>968</v>
      </c>
      <c r="C218" s="616"/>
      <c r="D218" s="467">
        <v>0</v>
      </c>
      <c r="E218" s="616"/>
      <c r="F218" s="616"/>
      <c r="G218" s="616"/>
      <c r="H218" s="616"/>
      <c r="I218" s="616"/>
      <c r="J218" s="616"/>
      <c r="K218" s="1671">
        <f t="shared" si="19"/>
        <v>0</v>
      </c>
      <c r="L218" s="466"/>
    </row>
    <row r="219" spans="1:14" x14ac:dyDescent="0.2">
      <c r="A219" s="1504" t="s">
        <v>279</v>
      </c>
      <c r="B219" s="614">
        <v>1250</v>
      </c>
      <c r="C219" s="616"/>
      <c r="D219" s="466">
        <v>0</v>
      </c>
      <c r="E219" s="616"/>
      <c r="F219" s="616"/>
      <c r="G219" s="616"/>
      <c r="H219" s="616"/>
      <c r="I219" s="616"/>
      <c r="J219" s="616"/>
      <c r="K219" s="1671">
        <f t="shared" si="19"/>
        <v>0</v>
      </c>
      <c r="L219" s="466"/>
    </row>
    <row r="220" spans="1:14" x14ac:dyDescent="0.2">
      <c r="A220" s="1504" t="s">
        <v>280</v>
      </c>
      <c r="B220" s="614" t="s">
        <v>161</v>
      </c>
      <c r="C220" s="616"/>
      <c r="D220" s="467">
        <v>0</v>
      </c>
      <c r="E220" s="616"/>
      <c r="F220" s="616"/>
      <c r="G220" s="616"/>
      <c r="H220" s="616"/>
      <c r="I220" s="616"/>
      <c r="J220" s="616"/>
      <c r="K220" s="1671">
        <f t="shared" si="19"/>
        <v>0</v>
      </c>
      <c r="L220" s="466"/>
    </row>
    <row r="221" spans="1:14" x14ac:dyDescent="0.2">
      <c r="A221" s="1504" t="s">
        <v>962</v>
      </c>
      <c r="B221" s="614">
        <v>1300</v>
      </c>
      <c r="C221" s="616"/>
      <c r="D221" s="466">
        <v>0</v>
      </c>
      <c r="E221" s="616"/>
      <c r="F221" s="616"/>
      <c r="G221" s="616"/>
      <c r="H221" s="616"/>
      <c r="I221" s="616"/>
      <c r="J221" s="616"/>
      <c r="K221" s="1671">
        <f t="shared" si="19"/>
        <v>0</v>
      </c>
      <c r="L221" s="466"/>
    </row>
    <row r="222" spans="1:14" x14ac:dyDescent="0.2">
      <c r="A222" s="1504" t="s">
        <v>723</v>
      </c>
      <c r="B222" s="614">
        <v>1400</v>
      </c>
      <c r="C222" s="616"/>
      <c r="D222" s="466">
        <v>0</v>
      </c>
      <c r="E222" s="616"/>
      <c r="F222" s="616"/>
      <c r="G222" s="616"/>
      <c r="H222" s="616"/>
      <c r="I222" s="616"/>
      <c r="J222" s="616"/>
      <c r="K222" s="1671">
        <f t="shared" si="19"/>
        <v>0</v>
      </c>
      <c r="L222" s="466"/>
    </row>
    <row r="223" spans="1:14" x14ac:dyDescent="0.2">
      <c r="A223" s="1504" t="s">
        <v>963</v>
      </c>
      <c r="B223" s="614">
        <v>1500</v>
      </c>
      <c r="C223" s="616"/>
      <c r="D223" s="466">
        <v>486</v>
      </c>
      <c r="E223" s="616"/>
      <c r="F223" s="616"/>
      <c r="G223" s="616"/>
      <c r="H223" s="616"/>
      <c r="I223" s="616"/>
      <c r="J223" s="616"/>
      <c r="K223" s="1671">
        <f t="shared" si="19"/>
        <v>486</v>
      </c>
      <c r="L223" s="466">
        <v>707</v>
      </c>
    </row>
    <row r="224" spans="1:14" x14ac:dyDescent="0.2">
      <c r="A224" s="1504" t="s">
        <v>964</v>
      </c>
      <c r="B224" s="614">
        <v>1600</v>
      </c>
      <c r="C224" s="616"/>
      <c r="D224" s="466">
        <v>0</v>
      </c>
      <c r="E224" s="616"/>
      <c r="F224" s="616"/>
      <c r="G224" s="616"/>
      <c r="H224" s="616"/>
      <c r="I224" s="616"/>
      <c r="J224" s="616"/>
      <c r="K224" s="1671">
        <f t="shared" si="19"/>
        <v>0</v>
      </c>
      <c r="L224" s="466"/>
    </row>
    <row r="225" spans="1:12" x14ac:dyDescent="0.2">
      <c r="A225" s="1504" t="s">
        <v>987</v>
      </c>
      <c r="B225" s="614">
        <v>1650</v>
      </c>
      <c r="C225" s="616"/>
      <c r="D225" s="466">
        <v>0</v>
      </c>
      <c r="E225" s="616"/>
      <c r="F225" s="616"/>
      <c r="G225" s="616"/>
      <c r="H225" s="616"/>
      <c r="I225" s="616"/>
      <c r="J225" s="616"/>
      <c r="K225" s="1671">
        <f t="shared" si="19"/>
        <v>0</v>
      </c>
      <c r="L225" s="466"/>
    </row>
    <row r="226" spans="1:12" x14ac:dyDescent="0.2">
      <c r="A226" s="1504" t="s">
        <v>724</v>
      </c>
      <c r="B226" s="614" t="s">
        <v>162</v>
      </c>
      <c r="C226" s="616"/>
      <c r="D226" s="467">
        <v>0</v>
      </c>
      <c r="E226" s="616"/>
      <c r="F226" s="616"/>
      <c r="G226" s="616"/>
      <c r="H226" s="616"/>
      <c r="I226" s="616"/>
      <c r="J226" s="616"/>
      <c r="K226" s="1671">
        <f t="shared" si="19"/>
        <v>0</v>
      </c>
      <c r="L226" s="466"/>
    </row>
    <row r="227" spans="1:12" x14ac:dyDescent="0.2">
      <c r="A227" s="1504" t="s">
        <v>1087</v>
      </c>
      <c r="B227" s="614">
        <v>1800</v>
      </c>
      <c r="C227" s="616"/>
      <c r="D227" s="466">
        <v>0</v>
      </c>
      <c r="E227" s="616"/>
      <c r="F227" s="616"/>
      <c r="G227" s="616"/>
      <c r="H227" s="616"/>
      <c r="I227" s="616"/>
      <c r="J227" s="616"/>
      <c r="K227" s="1671">
        <f t="shared" si="19"/>
        <v>0</v>
      </c>
      <c r="L227" s="466"/>
    </row>
    <row r="228" spans="1:12" x14ac:dyDescent="0.2">
      <c r="A228" s="1504" t="s">
        <v>1088</v>
      </c>
      <c r="B228" s="614">
        <v>1900</v>
      </c>
      <c r="C228" s="616"/>
      <c r="D228" s="466">
        <v>0</v>
      </c>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8975</v>
      </c>
      <c r="E229" s="616"/>
      <c r="F229" s="616"/>
      <c r="G229" s="616"/>
      <c r="H229" s="616"/>
      <c r="I229" s="616"/>
      <c r="J229" s="616"/>
      <c r="K229" s="1670">
        <f>SUM(K215:K228)</f>
        <v>8975</v>
      </c>
      <c r="L229" s="1670">
        <f>SUM(L215:L228)</f>
        <v>7851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row>
    <row r="233" spans="1:12" x14ac:dyDescent="0.2">
      <c r="A233" s="1504" t="s">
        <v>1090</v>
      </c>
      <c r="B233" s="614">
        <v>2120</v>
      </c>
      <c r="C233" s="616"/>
      <c r="D233" s="466">
        <v>0</v>
      </c>
      <c r="E233" s="616"/>
      <c r="F233" s="616"/>
      <c r="G233" s="616"/>
      <c r="H233" s="616"/>
      <c r="I233" s="616"/>
      <c r="J233" s="616"/>
      <c r="K233" s="1671">
        <f t="shared" si="20"/>
        <v>0</v>
      </c>
      <c r="L233" s="466"/>
    </row>
    <row r="234" spans="1:12" x14ac:dyDescent="0.2">
      <c r="A234" s="1504" t="s">
        <v>198</v>
      </c>
      <c r="B234" s="614">
        <v>2130</v>
      </c>
      <c r="C234" s="616"/>
      <c r="D234" s="466">
        <v>0</v>
      </c>
      <c r="E234" s="616"/>
      <c r="F234" s="616"/>
      <c r="G234" s="616"/>
      <c r="H234" s="616"/>
      <c r="I234" s="616"/>
      <c r="J234" s="616"/>
      <c r="K234" s="1671">
        <f t="shared" si="20"/>
        <v>0</v>
      </c>
      <c r="L234" s="466"/>
    </row>
    <row r="235" spans="1:12" x14ac:dyDescent="0.2">
      <c r="A235" s="1504" t="s">
        <v>199</v>
      </c>
      <c r="B235" s="614">
        <v>2140</v>
      </c>
      <c r="C235" s="616"/>
      <c r="D235" s="466">
        <v>0</v>
      </c>
      <c r="E235" s="616"/>
      <c r="F235" s="616"/>
      <c r="G235" s="616"/>
      <c r="H235" s="616"/>
      <c r="I235" s="616"/>
      <c r="J235" s="616"/>
      <c r="K235" s="1671">
        <f t="shared" si="20"/>
        <v>0</v>
      </c>
      <c r="L235" s="466"/>
    </row>
    <row r="236" spans="1:12" x14ac:dyDescent="0.2">
      <c r="A236" s="1504" t="s">
        <v>200</v>
      </c>
      <c r="B236" s="614">
        <v>2150</v>
      </c>
      <c r="C236" s="616"/>
      <c r="D236" s="466">
        <v>0</v>
      </c>
      <c r="E236" s="616"/>
      <c r="F236" s="616"/>
      <c r="G236" s="616"/>
      <c r="H236" s="616"/>
      <c r="I236" s="616"/>
      <c r="J236" s="616"/>
      <c r="K236" s="1671">
        <f t="shared" si="20"/>
        <v>0</v>
      </c>
      <c r="L236" s="466"/>
    </row>
    <row r="237" spans="1:12" x14ac:dyDescent="0.2">
      <c r="A237" s="1504" t="s">
        <v>165</v>
      </c>
      <c r="B237" s="614">
        <v>2190</v>
      </c>
      <c r="C237" s="616"/>
      <c r="D237" s="466">
        <v>0</v>
      </c>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row>
    <row r="241" spans="1:12" x14ac:dyDescent="0.2">
      <c r="A241" s="1504" t="s">
        <v>815</v>
      </c>
      <c r="B241" s="614">
        <v>2220</v>
      </c>
      <c r="C241" s="616"/>
      <c r="D241" s="466">
        <v>0</v>
      </c>
      <c r="E241" s="616"/>
      <c r="F241" s="616"/>
      <c r="G241" s="616"/>
      <c r="H241" s="616"/>
      <c r="I241" s="616"/>
      <c r="J241" s="616"/>
      <c r="K241" s="1672">
        <f>D241</f>
        <v>0</v>
      </c>
      <c r="L241" s="466"/>
    </row>
    <row r="242" spans="1:12" x14ac:dyDescent="0.2">
      <c r="A242" s="1504" t="s">
        <v>816</v>
      </c>
      <c r="B242" s="614">
        <v>2230</v>
      </c>
      <c r="C242" s="616"/>
      <c r="D242" s="466">
        <v>0</v>
      </c>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106</v>
      </c>
      <c r="E245" s="616"/>
      <c r="F245" s="616"/>
      <c r="G245" s="616"/>
      <c r="H245" s="616"/>
      <c r="I245" s="616"/>
      <c r="J245" s="616"/>
      <c r="K245" s="1672">
        <f>D245</f>
        <v>106</v>
      </c>
      <c r="L245" s="481">
        <v>90</v>
      </c>
    </row>
    <row r="246" spans="1:12" x14ac:dyDescent="0.2">
      <c r="A246" s="1504" t="s">
        <v>818</v>
      </c>
      <c r="B246" s="614">
        <v>2320</v>
      </c>
      <c r="C246" s="616"/>
      <c r="D246" s="466">
        <v>0</v>
      </c>
      <c r="E246" s="616"/>
      <c r="F246" s="616"/>
      <c r="G246" s="616"/>
      <c r="H246" s="616"/>
      <c r="I246" s="616"/>
      <c r="J246" s="616"/>
      <c r="K246" s="1672">
        <f t="shared" ref="K246:K256" si="21">D246</f>
        <v>0</v>
      </c>
      <c r="L246" s="466"/>
    </row>
    <row r="247" spans="1:12" x14ac:dyDescent="0.2">
      <c r="A247" s="1504" t="s">
        <v>819</v>
      </c>
      <c r="B247" s="614">
        <v>2330</v>
      </c>
      <c r="C247" s="616"/>
      <c r="D247" s="466">
        <v>0</v>
      </c>
      <c r="E247" s="616"/>
      <c r="F247" s="616"/>
      <c r="G247" s="616"/>
      <c r="H247" s="616"/>
      <c r="I247" s="616"/>
      <c r="J247" s="616"/>
      <c r="K247" s="1672">
        <f t="shared" si="21"/>
        <v>0</v>
      </c>
      <c r="L247" s="466"/>
    </row>
    <row r="248" spans="1:12" x14ac:dyDescent="0.2">
      <c r="A248" s="1505" t="s">
        <v>299</v>
      </c>
      <c r="B248" s="602" t="s">
        <v>281</v>
      </c>
      <c r="C248" s="616"/>
      <c r="D248" s="474">
        <v>0</v>
      </c>
      <c r="E248" s="616"/>
      <c r="F248" s="616"/>
      <c r="G248" s="616"/>
      <c r="H248" s="616"/>
      <c r="I248" s="616"/>
      <c r="J248" s="616"/>
      <c r="K248" s="1672">
        <f t="shared" si="21"/>
        <v>0</v>
      </c>
      <c r="L248" s="466"/>
    </row>
    <row r="249" spans="1:12" x14ac:dyDescent="0.2">
      <c r="A249" s="1506" t="s">
        <v>1805</v>
      </c>
      <c r="B249" s="683" t="s">
        <v>282</v>
      </c>
      <c r="C249" s="616"/>
      <c r="D249" s="474">
        <v>0</v>
      </c>
      <c r="E249" s="616"/>
      <c r="F249" s="616"/>
      <c r="G249" s="616"/>
      <c r="H249" s="616"/>
      <c r="I249" s="616"/>
      <c r="J249" s="616"/>
      <c r="K249" s="1672">
        <f t="shared" si="21"/>
        <v>0</v>
      </c>
      <c r="L249" s="466"/>
    </row>
    <row r="250" spans="1:12" x14ac:dyDescent="0.2">
      <c r="A250" s="1505" t="s">
        <v>1806</v>
      </c>
      <c r="B250" s="602" t="s">
        <v>283</v>
      </c>
      <c r="C250" s="616"/>
      <c r="D250" s="474">
        <v>0</v>
      </c>
      <c r="E250" s="616"/>
      <c r="F250" s="616"/>
      <c r="G250" s="616"/>
      <c r="H250" s="616"/>
      <c r="I250" s="616"/>
      <c r="J250" s="616"/>
      <c r="K250" s="1672">
        <f t="shared" si="21"/>
        <v>0</v>
      </c>
      <c r="L250" s="466"/>
    </row>
    <row r="251" spans="1:12" x14ac:dyDescent="0.2">
      <c r="A251" s="1505" t="s">
        <v>238</v>
      </c>
      <c r="B251" s="602" t="s">
        <v>284</v>
      </c>
      <c r="C251" s="616"/>
      <c r="D251" s="474">
        <v>0</v>
      </c>
      <c r="E251" s="616"/>
      <c r="F251" s="616"/>
      <c r="G251" s="616"/>
      <c r="H251" s="616"/>
      <c r="I251" s="616"/>
      <c r="J251" s="616"/>
      <c r="K251" s="1672">
        <f t="shared" si="21"/>
        <v>0</v>
      </c>
      <c r="L251" s="466"/>
    </row>
    <row r="252" spans="1:12" x14ac:dyDescent="0.2">
      <c r="A252" s="1505" t="s">
        <v>702</v>
      </c>
      <c r="B252" s="602" t="s">
        <v>285</v>
      </c>
      <c r="C252" s="616"/>
      <c r="D252" s="474">
        <v>0</v>
      </c>
      <c r="E252" s="616"/>
      <c r="F252" s="616"/>
      <c r="G252" s="616"/>
      <c r="H252" s="616"/>
      <c r="I252" s="616"/>
      <c r="J252" s="616"/>
      <c r="K252" s="1672">
        <f t="shared" si="21"/>
        <v>0</v>
      </c>
      <c r="L252" s="466"/>
    </row>
    <row r="253" spans="1:12" x14ac:dyDescent="0.2">
      <c r="A253" s="1505" t="s">
        <v>239</v>
      </c>
      <c r="B253" s="602" t="s">
        <v>286</v>
      </c>
      <c r="C253" s="616"/>
      <c r="D253" s="474">
        <v>0</v>
      </c>
      <c r="E253" s="616"/>
      <c r="F253" s="616"/>
      <c r="G253" s="616"/>
      <c r="H253" s="616"/>
      <c r="I253" s="616"/>
      <c r="J253" s="616"/>
      <c r="K253" s="1672">
        <f t="shared" si="21"/>
        <v>0</v>
      </c>
      <c r="L253" s="466"/>
    </row>
    <row r="254" spans="1:12" ht="22.5" x14ac:dyDescent="0.2">
      <c r="A254" s="1505" t="s">
        <v>1029</v>
      </c>
      <c r="B254" s="683" t="s">
        <v>287</v>
      </c>
      <c r="C254" s="616"/>
      <c r="D254" s="474">
        <v>0</v>
      </c>
      <c r="E254" s="616"/>
      <c r="F254" s="616"/>
      <c r="G254" s="616"/>
      <c r="H254" s="616"/>
      <c r="I254" s="616"/>
      <c r="J254" s="616"/>
      <c r="K254" s="1672">
        <f t="shared" si="21"/>
        <v>0</v>
      </c>
      <c r="L254" s="466"/>
    </row>
    <row r="255" spans="1:12" x14ac:dyDescent="0.2">
      <c r="A255" s="1505" t="s">
        <v>1030</v>
      </c>
      <c r="B255" s="602" t="s">
        <v>288</v>
      </c>
      <c r="C255" s="616"/>
      <c r="D255" s="474">
        <v>0</v>
      </c>
      <c r="E255" s="616"/>
      <c r="F255" s="616"/>
      <c r="G255" s="616"/>
      <c r="H255" s="616"/>
      <c r="I255" s="616"/>
      <c r="J255" s="616"/>
      <c r="K255" s="1672">
        <f t="shared" si="21"/>
        <v>0</v>
      </c>
      <c r="L255" s="466"/>
    </row>
    <row r="256" spans="1:12" x14ac:dyDescent="0.2">
      <c r="A256" s="1505" t="s">
        <v>971</v>
      </c>
      <c r="B256" s="614" t="s">
        <v>289</v>
      </c>
      <c r="C256" s="616"/>
      <c r="D256" s="474">
        <v>0</v>
      </c>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106</v>
      </c>
      <c r="E257" s="616"/>
      <c r="F257" s="616"/>
      <c r="G257" s="616"/>
      <c r="H257" s="616"/>
      <c r="I257" s="616"/>
      <c r="J257" s="616"/>
      <c r="K257" s="1670">
        <f>SUM(K245:K256)</f>
        <v>106</v>
      </c>
      <c r="L257" s="1670">
        <f>SUM(L245:L256)</f>
        <v>90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5629</v>
      </c>
      <c r="E259" s="616"/>
      <c r="F259" s="616"/>
      <c r="G259" s="616"/>
      <c r="H259" s="616"/>
      <c r="I259" s="616"/>
      <c r="J259" s="616"/>
      <c r="K259" s="1672">
        <f>D259</f>
        <v>5629</v>
      </c>
      <c r="L259" s="481">
        <v>5436</v>
      </c>
    </row>
    <row r="260" spans="1:14" s="597" customFormat="1" x14ac:dyDescent="0.2">
      <c r="A260" s="1522" t="s">
        <v>1804</v>
      </c>
      <c r="B260" s="628">
        <v>2490</v>
      </c>
      <c r="C260" s="616"/>
      <c r="D260" s="466">
        <v>0</v>
      </c>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5629</v>
      </c>
      <c r="E261" s="616"/>
      <c r="F261" s="616"/>
      <c r="G261" s="616"/>
      <c r="H261" s="616"/>
      <c r="I261" s="616"/>
      <c r="J261" s="616"/>
      <c r="K261" s="1670">
        <f>SUM(K259:K260)</f>
        <v>5629</v>
      </c>
      <c r="L261" s="1670">
        <f>SUM(L259:L260)</f>
        <v>5436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row>
    <row r="264" spans="1:14" x14ac:dyDescent="0.2">
      <c r="A264" s="1504" t="s">
        <v>463</v>
      </c>
      <c r="B264" s="685">
        <v>2520</v>
      </c>
      <c r="C264" s="616"/>
      <c r="D264" s="466">
        <v>0</v>
      </c>
      <c r="E264" s="616"/>
      <c r="F264" s="616"/>
      <c r="G264" s="616"/>
      <c r="H264" s="616"/>
      <c r="I264" s="616"/>
      <c r="J264" s="616"/>
      <c r="K264" s="1672">
        <f t="shared" ref="K264:K269" si="22">D264</f>
        <v>0</v>
      </c>
      <c r="L264" s="466"/>
    </row>
    <row r="265" spans="1:14" x14ac:dyDescent="0.2">
      <c r="A265" s="1504" t="s">
        <v>4</v>
      </c>
      <c r="B265" s="614">
        <v>2530</v>
      </c>
      <c r="C265" s="616"/>
      <c r="D265" s="466">
        <v>0</v>
      </c>
      <c r="E265" s="616"/>
      <c r="F265" s="616"/>
      <c r="G265" s="616"/>
      <c r="H265" s="616"/>
      <c r="I265" s="616"/>
      <c r="J265" s="616"/>
      <c r="K265" s="1672">
        <f t="shared" si="22"/>
        <v>0</v>
      </c>
      <c r="L265" s="466"/>
    </row>
    <row r="266" spans="1:14" x14ac:dyDescent="0.2">
      <c r="A266" s="1504" t="s">
        <v>197</v>
      </c>
      <c r="B266" s="614">
        <v>2540</v>
      </c>
      <c r="C266" s="616"/>
      <c r="D266" s="466">
        <v>7344</v>
      </c>
      <c r="E266" s="616"/>
      <c r="F266" s="616"/>
      <c r="G266" s="616"/>
      <c r="H266" s="616"/>
      <c r="I266" s="616"/>
      <c r="J266" s="616"/>
      <c r="K266" s="1672">
        <f t="shared" si="22"/>
        <v>7344</v>
      </c>
      <c r="L266" s="466">
        <v>3965</v>
      </c>
    </row>
    <row r="267" spans="1:14" x14ac:dyDescent="0.2">
      <c r="A267" s="1504" t="s">
        <v>953</v>
      </c>
      <c r="B267" s="614">
        <v>2550</v>
      </c>
      <c r="C267" s="616"/>
      <c r="D267" s="466">
        <v>0</v>
      </c>
      <c r="E267" s="616"/>
      <c r="F267" s="616"/>
      <c r="G267" s="616"/>
      <c r="H267" s="616"/>
      <c r="I267" s="616"/>
      <c r="J267" s="616"/>
      <c r="K267" s="1672">
        <f t="shared" si="22"/>
        <v>0</v>
      </c>
      <c r="L267" s="466">
        <v>2000</v>
      </c>
    </row>
    <row r="268" spans="1:14" x14ac:dyDescent="0.2">
      <c r="A268" s="1504" t="s">
        <v>100</v>
      </c>
      <c r="B268" s="614">
        <v>2560</v>
      </c>
      <c r="C268" s="616"/>
      <c r="D268" s="466">
        <v>0</v>
      </c>
      <c r="E268" s="616"/>
      <c r="F268" s="616"/>
      <c r="G268" s="616"/>
      <c r="H268" s="616"/>
      <c r="I268" s="616"/>
      <c r="J268" s="616"/>
      <c r="K268" s="1672">
        <f t="shared" si="22"/>
        <v>0</v>
      </c>
      <c r="L268" s="466">
        <v>1556</v>
      </c>
    </row>
    <row r="269" spans="1:14" x14ac:dyDescent="0.2">
      <c r="A269" s="1504" t="s">
        <v>101</v>
      </c>
      <c r="B269" s="614">
        <v>2570</v>
      </c>
      <c r="C269" s="616"/>
      <c r="D269" s="466">
        <v>0</v>
      </c>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7344</v>
      </c>
      <c r="E270" s="616"/>
      <c r="F270" s="616"/>
      <c r="G270" s="616"/>
      <c r="H270" s="616"/>
      <c r="I270" s="616"/>
      <c r="J270" s="616"/>
      <c r="K270" s="1670">
        <f>SUM(K263:K269)</f>
        <v>7344</v>
      </c>
      <c r="L270" s="1670">
        <f>SUM(L263:L269)</f>
        <v>7521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row>
    <row r="273" spans="1:12" x14ac:dyDescent="0.2">
      <c r="A273" s="1504" t="s">
        <v>607</v>
      </c>
      <c r="B273" s="628">
        <v>2620</v>
      </c>
      <c r="C273" s="616"/>
      <c r="D273" s="466">
        <v>0</v>
      </c>
      <c r="E273" s="616"/>
      <c r="F273" s="616"/>
      <c r="G273" s="616"/>
      <c r="H273" s="616"/>
      <c r="I273" s="616"/>
      <c r="J273" s="616"/>
      <c r="K273" s="1672">
        <f>D273</f>
        <v>0</v>
      </c>
      <c r="L273" s="466"/>
    </row>
    <row r="274" spans="1:12" ht="12" customHeight="1" x14ac:dyDescent="0.2">
      <c r="A274" s="1504" t="s">
        <v>1061</v>
      </c>
      <c r="B274" s="614">
        <v>2630</v>
      </c>
      <c r="C274" s="616"/>
      <c r="D274" s="466">
        <v>0</v>
      </c>
      <c r="E274" s="616"/>
      <c r="F274" s="616"/>
      <c r="G274" s="616"/>
      <c r="H274" s="616"/>
      <c r="I274" s="616"/>
      <c r="J274" s="616"/>
      <c r="K274" s="1672">
        <f>D274</f>
        <v>0</v>
      </c>
      <c r="L274" s="466"/>
    </row>
    <row r="275" spans="1:12" x14ac:dyDescent="0.2">
      <c r="A275" s="1504" t="s">
        <v>403</v>
      </c>
      <c r="B275" s="614">
        <v>2640</v>
      </c>
      <c r="C275" s="616"/>
      <c r="D275" s="466">
        <v>0</v>
      </c>
      <c r="E275" s="616"/>
      <c r="F275" s="616"/>
      <c r="G275" s="616"/>
      <c r="H275" s="616"/>
      <c r="I275" s="616"/>
      <c r="J275" s="616"/>
      <c r="K275" s="1672">
        <f>D275</f>
        <v>0</v>
      </c>
      <c r="L275" s="466"/>
    </row>
    <row r="276" spans="1:12" x14ac:dyDescent="0.2">
      <c r="A276" s="1504" t="s">
        <v>404</v>
      </c>
      <c r="B276" s="614">
        <v>2660</v>
      </c>
      <c r="C276" s="616"/>
      <c r="D276" s="466">
        <v>0</v>
      </c>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13079</v>
      </c>
      <c r="E279" s="616"/>
      <c r="F279" s="616"/>
      <c r="G279" s="616"/>
      <c r="H279" s="616"/>
      <c r="I279" s="616"/>
      <c r="J279" s="616"/>
      <c r="K279" s="1677">
        <f>SUM(K238,K243,K257,K261,K270,K277,K278)</f>
        <v>13079</v>
      </c>
      <c r="L279" s="1677">
        <f>SUM(L238,L243,L257,L261,L270,L277,L278)</f>
        <v>13047</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row>
    <row r="283" spans="1:12" x14ac:dyDescent="0.2">
      <c r="A283" s="1504" t="s">
        <v>304</v>
      </c>
      <c r="B283" s="614">
        <v>4120</v>
      </c>
      <c r="C283" s="616"/>
      <c r="D283" s="466">
        <v>0</v>
      </c>
      <c r="E283" s="616"/>
      <c r="F283" s="616"/>
      <c r="G283" s="616"/>
      <c r="H283" s="616"/>
      <c r="I283" s="616"/>
      <c r="J283" s="616"/>
      <c r="K283" s="1671">
        <f>D283</f>
        <v>0</v>
      </c>
      <c r="L283" s="466"/>
    </row>
    <row r="284" spans="1:12" x14ac:dyDescent="0.2">
      <c r="A284" s="1504" t="s">
        <v>697</v>
      </c>
      <c r="B284" s="614">
        <v>4140</v>
      </c>
      <c r="C284" s="616"/>
      <c r="D284" s="467">
        <v>0</v>
      </c>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row>
    <row r="289" spans="1:14" x14ac:dyDescent="0.2">
      <c r="A289" s="1504" t="s">
        <v>88</v>
      </c>
      <c r="B289" s="614">
        <v>5120</v>
      </c>
      <c r="C289" s="616"/>
      <c r="D289" s="616"/>
      <c r="E289" s="616"/>
      <c r="F289" s="616"/>
      <c r="G289" s="616"/>
      <c r="H289" s="466">
        <v>0</v>
      </c>
      <c r="I289" s="616"/>
      <c r="J289" s="616"/>
      <c r="K289" s="1671">
        <f>H289</f>
        <v>0</v>
      </c>
      <c r="L289" s="466"/>
    </row>
    <row r="290" spans="1:14" ht="12.75" customHeight="1" x14ac:dyDescent="0.2">
      <c r="A290" s="1504" t="s">
        <v>1170</v>
      </c>
      <c r="B290" s="628" t="s">
        <v>617</v>
      </c>
      <c r="C290" s="616"/>
      <c r="D290" s="616"/>
      <c r="E290" s="616"/>
      <c r="F290" s="616"/>
      <c r="G290" s="616"/>
      <c r="H290" s="466">
        <v>0</v>
      </c>
      <c r="I290" s="616"/>
      <c r="J290" s="616"/>
      <c r="K290" s="1671">
        <f>H290</f>
        <v>0</v>
      </c>
      <c r="L290" s="466"/>
    </row>
    <row r="291" spans="1:14" x14ac:dyDescent="0.2">
      <c r="A291" s="1504" t="s">
        <v>89</v>
      </c>
      <c r="B291" s="614" t="s">
        <v>589</v>
      </c>
      <c r="C291" s="616"/>
      <c r="D291" s="616"/>
      <c r="E291" s="616"/>
      <c r="F291" s="616"/>
      <c r="G291" s="616"/>
      <c r="H291" s="466">
        <v>0</v>
      </c>
      <c r="I291" s="616"/>
      <c r="J291" s="616"/>
      <c r="K291" s="1671">
        <f>H291</f>
        <v>0</v>
      </c>
      <c r="L291" s="466"/>
    </row>
    <row r="292" spans="1:14" x14ac:dyDescent="0.2">
      <c r="A292" s="1504" t="s">
        <v>762</v>
      </c>
      <c r="B292" s="614" t="s">
        <v>618</v>
      </c>
      <c r="C292" s="616"/>
      <c r="D292" s="616"/>
      <c r="E292" s="616"/>
      <c r="F292" s="616"/>
      <c r="G292" s="616"/>
      <c r="H292" s="466">
        <v>0</v>
      </c>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22054</v>
      </c>
      <c r="E295" s="616"/>
      <c r="F295" s="616"/>
      <c r="G295" s="616"/>
      <c r="H295" s="1670">
        <f>H293</f>
        <v>0</v>
      </c>
      <c r="I295" s="616"/>
      <c r="J295" s="616"/>
      <c r="K295" s="1670">
        <f>SUM(K229,K279,K280,K285,K293,K294)</f>
        <v>22054</v>
      </c>
      <c r="L295" s="1670">
        <f>SUM(L229,L279,L280,L285,L293,L294)</f>
        <v>20898</v>
      </c>
    </row>
    <row r="296" spans="1:14" ht="13.5" thickTop="1" x14ac:dyDescent="0.2">
      <c r="A296" s="2156" t="s">
        <v>996</v>
      </c>
      <c r="B296" s="2157"/>
      <c r="C296" s="616"/>
      <c r="D296" s="618"/>
      <c r="E296" s="616"/>
      <c r="F296" s="616"/>
      <c r="G296" s="616"/>
      <c r="H296" s="687"/>
      <c r="I296" s="616"/>
      <c r="J296" s="616"/>
      <c r="K296" s="1684">
        <f>'Revenues 9-14'!G268-'Expenditures 15-22'!K295</f>
        <v>1876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row>
    <row r="307" spans="1:14" x14ac:dyDescent="0.2">
      <c r="A307" s="1504" t="s">
        <v>304</v>
      </c>
      <c r="B307" s="614">
        <v>4120</v>
      </c>
      <c r="C307" s="616"/>
      <c r="D307" s="616"/>
      <c r="E307" s="467">
        <v>0</v>
      </c>
      <c r="F307" s="616"/>
      <c r="G307" s="616"/>
      <c r="H307" s="467">
        <v>0</v>
      </c>
      <c r="I307" s="477"/>
      <c r="J307" s="616"/>
      <c r="K307" s="1671">
        <f>SUM(E307,H307)</f>
        <v>0</v>
      </c>
      <c r="L307" s="466"/>
    </row>
    <row r="308" spans="1:14" x14ac:dyDescent="0.2">
      <c r="A308" s="1504" t="s">
        <v>697</v>
      </c>
      <c r="B308" s="614">
        <v>4140</v>
      </c>
      <c r="C308" s="616"/>
      <c r="D308" s="616"/>
      <c r="E308" s="467">
        <v>0</v>
      </c>
      <c r="F308" s="616"/>
      <c r="G308" s="616"/>
      <c r="H308" s="467">
        <v>0</v>
      </c>
      <c r="I308" s="477"/>
      <c r="J308" s="616"/>
      <c r="K308" s="1671">
        <f>SUM(E308,H308)</f>
        <v>0</v>
      </c>
      <c r="L308" s="466"/>
    </row>
    <row r="309" spans="1:14" ht="12.75" customHeight="1" x14ac:dyDescent="0.2">
      <c r="A309" s="1508" t="s">
        <v>698</v>
      </c>
      <c r="B309" s="628">
        <v>4190</v>
      </c>
      <c r="C309" s="616"/>
      <c r="D309" s="616"/>
      <c r="E309" s="467">
        <v>0</v>
      </c>
      <c r="F309" s="616"/>
      <c r="G309" s="616"/>
      <c r="H309" s="467">
        <v>0</v>
      </c>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c r="M319" s="665"/>
      <c r="N319" s="665"/>
    </row>
    <row r="320" spans="1:14" s="674" customFormat="1" x14ac:dyDescent="0.2">
      <c r="A320" s="1523" t="s">
        <v>1805</v>
      </c>
      <c r="B320" s="698" t="s">
        <v>282</v>
      </c>
      <c r="C320" s="467">
        <v>0</v>
      </c>
      <c r="D320" s="467">
        <v>0</v>
      </c>
      <c r="E320" s="467">
        <v>4590</v>
      </c>
      <c r="F320" s="467">
        <v>0</v>
      </c>
      <c r="G320" s="467">
        <v>0</v>
      </c>
      <c r="H320" s="467">
        <v>0</v>
      </c>
      <c r="I320" s="467">
        <v>0</v>
      </c>
      <c r="J320" s="467">
        <v>0</v>
      </c>
      <c r="K320" s="1671">
        <f t="shared" ref="K320:K327" si="24">SUM(C320:J320)</f>
        <v>4590</v>
      </c>
      <c r="L320" s="467">
        <v>4950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c r="M321" s="665"/>
      <c r="N321" s="665"/>
    </row>
    <row r="322" spans="1:14" s="674" customFormat="1" x14ac:dyDescent="0.2">
      <c r="A322" s="1519" t="s">
        <v>238</v>
      </c>
      <c r="B322" s="697" t="s">
        <v>284</v>
      </c>
      <c r="C322" s="467">
        <v>0</v>
      </c>
      <c r="D322" s="467">
        <v>0</v>
      </c>
      <c r="E322" s="467">
        <v>6454</v>
      </c>
      <c r="F322" s="467">
        <v>0</v>
      </c>
      <c r="G322" s="467">
        <v>0</v>
      </c>
      <c r="H322" s="467">
        <v>0</v>
      </c>
      <c r="I322" s="467">
        <v>0</v>
      </c>
      <c r="J322" s="467">
        <v>0</v>
      </c>
      <c r="K322" s="1671">
        <f t="shared" si="24"/>
        <v>6454</v>
      </c>
      <c r="L322" s="467">
        <v>6252</v>
      </c>
      <c r="M322" s="665"/>
      <c r="N322" s="665"/>
    </row>
    <row r="323" spans="1:14" s="674" customFormat="1" x14ac:dyDescent="0.2">
      <c r="A323" s="1519" t="s">
        <v>702</v>
      </c>
      <c r="B323" s="697" t="s">
        <v>285</v>
      </c>
      <c r="C323" s="467">
        <v>0</v>
      </c>
      <c r="D323" s="467">
        <v>0</v>
      </c>
      <c r="E323" s="467">
        <v>2682</v>
      </c>
      <c r="F323" s="467">
        <v>0</v>
      </c>
      <c r="G323" s="467">
        <v>0</v>
      </c>
      <c r="H323" s="467">
        <v>0</v>
      </c>
      <c r="I323" s="467">
        <v>0</v>
      </c>
      <c r="J323" s="467">
        <v>0</v>
      </c>
      <c r="K323" s="1671">
        <f t="shared" si="24"/>
        <v>2682</v>
      </c>
      <c r="L323" s="467">
        <v>2682</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c r="M324" s="665"/>
      <c r="N324" s="665"/>
    </row>
    <row r="325" spans="1:14" s="674" customFormat="1" ht="22.5" x14ac:dyDescent="0.2">
      <c r="A325" s="1519" t="s">
        <v>1029</v>
      </c>
      <c r="B325" s="698" t="s">
        <v>287</v>
      </c>
      <c r="C325" s="467">
        <v>25522</v>
      </c>
      <c r="D325" s="467">
        <v>0</v>
      </c>
      <c r="E325" s="467">
        <v>0</v>
      </c>
      <c r="F325" s="467">
        <v>0</v>
      </c>
      <c r="G325" s="467">
        <v>0</v>
      </c>
      <c r="H325" s="467">
        <v>0</v>
      </c>
      <c r="I325" s="467">
        <v>0</v>
      </c>
      <c r="J325" s="467">
        <v>0</v>
      </c>
      <c r="K325" s="1671">
        <f t="shared" si="24"/>
        <v>25522</v>
      </c>
      <c r="L325" s="467">
        <v>27748</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2000</v>
      </c>
      <c r="M326" s="665"/>
      <c r="N326" s="665"/>
    </row>
    <row r="327" spans="1:14" s="674" customFormat="1" x14ac:dyDescent="0.2">
      <c r="A327" s="1519" t="s">
        <v>971</v>
      </c>
      <c r="B327" s="697" t="s">
        <v>289</v>
      </c>
      <c r="C327" s="467">
        <v>0</v>
      </c>
      <c r="D327" s="467">
        <v>0</v>
      </c>
      <c r="E327" s="467">
        <v>1151</v>
      </c>
      <c r="F327" s="467">
        <v>0</v>
      </c>
      <c r="G327" s="467">
        <v>0</v>
      </c>
      <c r="H327" s="467">
        <v>0</v>
      </c>
      <c r="I327" s="467">
        <v>0</v>
      </c>
      <c r="J327" s="467">
        <v>0</v>
      </c>
      <c r="K327" s="1671">
        <f t="shared" si="24"/>
        <v>1151</v>
      </c>
      <c r="L327" s="467">
        <v>2886</v>
      </c>
      <c r="M327" s="665"/>
      <c r="N327" s="665"/>
    </row>
    <row r="328" spans="1:14" s="674" customFormat="1" x14ac:dyDescent="0.2">
      <c r="A328" s="1520" t="s">
        <v>472</v>
      </c>
      <c r="B328" s="690" t="s">
        <v>1132</v>
      </c>
      <c r="C328" s="474">
        <v>0</v>
      </c>
      <c r="D328" s="474">
        <v>0</v>
      </c>
      <c r="E328" s="474">
        <v>2886</v>
      </c>
      <c r="F328" s="474">
        <v>0</v>
      </c>
      <c r="G328" s="474">
        <v>0</v>
      </c>
      <c r="H328" s="474">
        <v>0</v>
      </c>
      <c r="I328" s="474">
        <v>0</v>
      </c>
      <c r="J328" s="474">
        <v>0</v>
      </c>
      <c r="K328" s="1699">
        <f>SUM(C328:J328)</f>
        <v>2886</v>
      </c>
      <c r="L328" s="474"/>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c r="M329" s="665"/>
      <c r="N329" s="665"/>
    </row>
    <row r="330" spans="1:14" s="674" customFormat="1" ht="12.75" customHeight="1" thickBot="1" x14ac:dyDescent="0.25">
      <c r="A330" s="1700" t="s">
        <v>717</v>
      </c>
      <c r="B330" s="1669" t="s">
        <v>569</v>
      </c>
      <c r="C330" s="1670">
        <f>SUM(C319:C329)</f>
        <v>25522</v>
      </c>
      <c r="D330" s="1670">
        <f t="shared" ref="D330:J330" si="25">SUM(D319:D329)</f>
        <v>0</v>
      </c>
      <c r="E330" s="1670">
        <f t="shared" si="25"/>
        <v>17763</v>
      </c>
      <c r="F330" s="1670">
        <f t="shared" si="25"/>
        <v>0</v>
      </c>
      <c r="G330" s="1670">
        <f t="shared" si="25"/>
        <v>0</v>
      </c>
      <c r="H330" s="1670">
        <f t="shared" si="25"/>
        <v>0</v>
      </c>
      <c r="I330" s="1670">
        <f t="shared" si="25"/>
        <v>0</v>
      </c>
      <c r="J330" s="1670">
        <f t="shared" si="25"/>
        <v>0</v>
      </c>
      <c r="K330" s="1670">
        <f>SUM(K319:K329)</f>
        <v>43285</v>
      </c>
      <c r="L330" s="1670">
        <f>SUM(L319:L329)</f>
        <v>46518</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row>
    <row r="338" spans="1:14" ht="12.75" customHeight="1" x14ac:dyDescent="0.2">
      <c r="A338" s="1518" t="s">
        <v>1170</v>
      </c>
      <c r="B338" s="690" t="s">
        <v>617</v>
      </c>
      <c r="C338" s="638"/>
      <c r="D338" s="638"/>
      <c r="E338" s="638"/>
      <c r="F338" s="638"/>
      <c r="G338" s="638"/>
      <c r="H338" s="478">
        <v>0</v>
      </c>
      <c r="I338" s="638"/>
      <c r="J338" s="638"/>
      <c r="K338" s="1671">
        <f>H338</f>
        <v>0</v>
      </c>
      <c r="L338" s="478"/>
    </row>
    <row r="339" spans="1:14" x14ac:dyDescent="0.2">
      <c r="A339" s="1504" t="s">
        <v>901</v>
      </c>
      <c r="B339" s="628">
        <v>5150</v>
      </c>
      <c r="C339" s="638"/>
      <c r="D339" s="638"/>
      <c r="E339" s="638"/>
      <c r="F339" s="638"/>
      <c r="G339" s="638"/>
      <c r="H339" s="467">
        <v>0</v>
      </c>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25522</v>
      </c>
      <c r="D342" s="1670">
        <f>SUM(D330)</f>
        <v>0</v>
      </c>
      <c r="E342" s="1670">
        <f>SUM(E330)</f>
        <v>17763</v>
      </c>
      <c r="F342" s="1670">
        <f>SUM(F330)</f>
        <v>0</v>
      </c>
      <c r="G342" s="1670">
        <f>SUM(G330)</f>
        <v>0</v>
      </c>
      <c r="H342" s="1670">
        <f>SUM(H330,H334,H340)</f>
        <v>0</v>
      </c>
      <c r="I342" s="1670">
        <f>SUM(I330)</f>
        <v>0</v>
      </c>
      <c r="J342" s="1670">
        <f>SUM(J330)</f>
        <v>0</v>
      </c>
      <c r="K342" s="1670">
        <f>SUM(K330,K334,K340)</f>
        <v>43285</v>
      </c>
      <c r="L342" s="1677">
        <f>SUM(L330,L340,L341)</f>
        <v>46518</v>
      </c>
    </row>
    <row r="343" spans="1:14" ht="12.75" customHeight="1" thickTop="1" x14ac:dyDescent="0.2">
      <c r="A343" s="2169" t="s">
        <v>996</v>
      </c>
      <c r="B343" s="2170"/>
      <c r="C343" s="616"/>
      <c r="D343" s="616"/>
      <c r="E343" s="616"/>
      <c r="F343" s="616"/>
      <c r="G343" s="616"/>
      <c r="H343" s="616"/>
      <c r="I343" s="616"/>
      <c r="J343" s="616"/>
      <c r="K343" s="1684">
        <f>'Revenues 9-14'!J268-'Expenditures 15-22'!K342</f>
        <v>9783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row>
    <row r="349" spans="1:14" x14ac:dyDescent="0.2">
      <c r="A349" s="1504" t="s">
        <v>197</v>
      </c>
      <c r="B349" s="614">
        <v>2540</v>
      </c>
      <c r="C349" s="466">
        <v>0</v>
      </c>
      <c r="D349" s="466">
        <v>0</v>
      </c>
      <c r="E349" s="466">
        <v>4512</v>
      </c>
      <c r="F349" s="466">
        <v>0</v>
      </c>
      <c r="G349" s="466">
        <v>0</v>
      </c>
      <c r="H349" s="466">
        <v>0</v>
      </c>
      <c r="I349" s="467">
        <v>0</v>
      </c>
      <c r="J349" s="467">
        <v>0</v>
      </c>
      <c r="K349" s="1671">
        <f>SUM(C349:J349)</f>
        <v>4512</v>
      </c>
      <c r="L349" s="466">
        <v>4570</v>
      </c>
    </row>
    <row r="350" spans="1:14" ht="12.75" customHeight="1" thickBot="1" x14ac:dyDescent="0.25">
      <c r="A350" s="1668" t="s">
        <v>719</v>
      </c>
      <c r="B350" s="1669" t="s">
        <v>35</v>
      </c>
      <c r="C350" s="1670">
        <f>SUM(C348:C349)</f>
        <v>0</v>
      </c>
      <c r="D350" s="1670">
        <f t="shared" ref="D350:L350" si="26">SUM(D348:D349)</f>
        <v>0</v>
      </c>
      <c r="E350" s="1670">
        <f t="shared" si="26"/>
        <v>4512</v>
      </c>
      <c r="F350" s="1670">
        <f t="shared" si="26"/>
        <v>0</v>
      </c>
      <c r="G350" s="1670">
        <f t="shared" si="26"/>
        <v>0</v>
      </c>
      <c r="H350" s="1670">
        <f t="shared" si="26"/>
        <v>0</v>
      </c>
      <c r="I350" s="1670">
        <f t="shared" si="26"/>
        <v>0</v>
      </c>
      <c r="J350" s="1670">
        <f t="shared" si="26"/>
        <v>0</v>
      </c>
      <c r="K350" s="1670">
        <f t="shared" si="26"/>
        <v>4512</v>
      </c>
      <c r="L350" s="1670">
        <f t="shared" si="26"/>
        <v>4570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4512</v>
      </c>
      <c r="F352" s="1670">
        <f t="shared" si="27"/>
        <v>0</v>
      </c>
      <c r="G352" s="1670">
        <f t="shared" si="27"/>
        <v>0</v>
      </c>
      <c r="H352" s="1670">
        <f t="shared" si="27"/>
        <v>0</v>
      </c>
      <c r="I352" s="1670">
        <f t="shared" si="27"/>
        <v>0</v>
      </c>
      <c r="J352" s="1670">
        <f t="shared" si="27"/>
        <v>0</v>
      </c>
      <c r="K352" s="1670">
        <f t="shared" si="27"/>
        <v>4512</v>
      </c>
      <c r="L352" s="1670">
        <f t="shared" si="27"/>
        <v>4570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row>
    <row r="355" spans="1:14" ht="12.75" customHeight="1" x14ac:dyDescent="0.2">
      <c r="A355" s="1513" t="s">
        <v>1854</v>
      </c>
      <c r="B355" s="690" t="s">
        <v>1847</v>
      </c>
      <c r="C355" s="616"/>
      <c r="D355" s="616"/>
      <c r="E355" s="616"/>
      <c r="F355" s="616"/>
      <c r="G355" s="616"/>
      <c r="H355" s="467">
        <v>0</v>
      </c>
      <c r="I355" s="701"/>
      <c r="J355" s="616"/>
      <c r="K355" s="1743">
        <f>H355</f>
        <v>0</v>
      </c>
      <c r="L355" s="467"/>
    </row>
    <row r="356" spans="1:14" ht="12.75" customHeight="1" x14ac:dyDescent="0.2">
      <c r="A356" s="1834" t="s">
        <v>698</v>
      </c>
      <c r="B356" s="683" t="s">
        <v>558</v>
      </c>
      <c r="C356" s="616"/>
      <c r="D356" s="616"/>
      <c r="E356" s="616"/>
      <c r="F356" s="616"/>
      <c r="G356" s="616"/>
      <c r="H356" s="479">
        <v>0</v>
      </c>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row>
    <row r="361" spans="1:14" ht="12.75" customHeight="1" x14ac:dyDescent="0.2">
      <c r="A361" s="1505" t="s">
        <v>619</v>
      </c>
      <c r="B361" s="602" t="s">
        <v>618</v>
      </c>
      <c r="C361" s="616"/>
      <c r="D361" s="616"/>
      <c r="E361" s="616"/>
      <c r="F361" s="616"/>
      <c r="G361" s="616"/>
      <c r="H361" s="467">
        <v>0</v>
      </c>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4512</v>
      </c>
      <c r="F367" s="1670">
        <f t="shared" si="28"/>
        <v>0</v>
      </c>
      <c r="G367" s="1670">
        <f t="shared" si="28"/>
        <v>0</v>
      </c>
      <c r="H367" s="1670">
        <f t="shared" si="28"/>
        <v>0</v>
      </c>
      <c r="I367" s="1670">
        <f t="shared" si="28"/>
        <v>0</v>
      </c>
      <c r="J367" s="1670">
        <f t="shared" si="28"/>
        <v>0</v>
      </c>
      <c r="K367" s="1670">
        <f t="shared" si="28"/>
        <v>4512</v>
      </c>
      <c r="L367" s="1670">
        <f t="shared" si="28"/>
        <v>4570</v>
      </c>
    </row>
    <row r="368" spans="1:14" ht="13.5" thickTop="1" x14ac:dyDescent="0.2">
      <c r="A368" s="2156" t="s">
        <v>996</v>
      </c>
      <c r="B368" s="2157"/>
      <c r="C368" s="654"/>
      <c r="D368" s="654"/>
      <c r="E368" s="626"/>
      <c r="F368" s="626"/>
      <c r="G368" s="626"/>
      <c r="H368" s="626"/>
      <c r="I368" s="626"/>
      <c r="J368" s="623"/>
      <c r="K368" s="1671">
        <f>'Revenues 9-14'!K268-'Expenditures 15-22'!K367</f>
        <v>4593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http://purl.org/dc/elements/1.1/"/>
    <ds:schemaRef ds:uri="http://schemas.microsoft.com/sharepoint/v3"/>
    <ds:schemaRef ds:uri="http://schemas.microsoft.com/office/infopath/2007/PartnerControls"/>
    <ds:schemaRef ds:uri="http://purl.org/dc/terms/"/>
    <ds:schemaRef ds:uri="http://schemas.microsoft.com/office/2006/metadata/properties"/>
    <ds:schemaRef ds:uri="http://schemas.openxmlformats.org/package/2006/metadata/core-properties"/>
    <ds:schemaRef ds:uri="http://schemas.microsoft.com/office/2006/documentManagement/types"/>
    <ds:schemaRef ds:uri="4d435f69-8686-490b-bd6d-b153bf22ab50"/>
    <ds:schemaRef ds:uri="d21dc803-237d-4c68-8692-8d731fd29118"/>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2019-09-27T14:45:45Z</cp:lastPrinted>
  <dcterms:created xsi:type="dcterms:W3CDTF">2003-10-29T19:06:34Z</dcterms:created>
  <dcterms:modified xsi:type="dcterms:W3CDTF">2019-11-18T16:10:20Z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