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13_ncr:1_{14CA2F9D-77C2-4911-9B97-3B608A2E5FEB}" xr6:coauthVersionLast="36" xr6:coauthVersionMax="36" xr10:uidLastSave="{00000000-0000-0000-0000-000000000000}"/>
  <bookViews>
    <workbookView xWindow="-120" yWindow="-120" windowWidth="20730" windowHeight="1116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Itemization 33" sheetId="127" r:id="rId18"/>
    <sheet name="AC32" sheetId="145"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8">#REF!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8">#REF!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8">#REF!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8">#REF!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8">#REF!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36" i="29" l="1"/>
  <c r="H12" i="11" l="1"/>
  <c r="C12" i="11"/>
  <c r="D9" i="11"/>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B7786" i="106" s="1"/>
  <c r="H334" i="29"/>
  <c r="B7789" i="106" s="1"/>
  <c r="K282" i="29"/>
  <c r="B7784" i="106" s="1"/>
  <c r="H160" i="29"/>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E40" i="181"/>
  <c r="F40" i="181" s="1"/>
  <c r="G40" i="181" s="1"/>
  <c r="E39" i="181"/>
  <c r="F39" i="181" s="1"/>
  <c r="G39" i="181" s="1"/>
  <c r="E38" i="181"/>
  <c r="F38" i="181" s="1"/>
  <c r="G38" i="181" s="1"/>
  <c r="E37" i="181"/>
  <c r="F37" i="181" s="1"/>
  <c r="G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E26" i="181"/>
  <c r="F26" i="181" s="1"/>
  <c r="G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K23" i="12"/>
  <c r="J12" i="12"/>
  <c r="J21" i="12"/>
  <c r="J23" i="12" s="1"/>
  <c r="B7729" i="106"/>
  <c r="D7729" i="106" s="1"/>
  <c r="B7734" i="106"/>
  <c r="D7734" i="106" s="1"/>
  <c r="B7726" i="106"/>
  <c r="D7726" i="106" s="1"/>
  <c r="D76" i="36"/>
  <c r="F158"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C221" i="5"/>
  <c r="B5304" i="106" s="1"/>
  <c r="D5304" i="106" s="1"/>
  <c r="C252" i="5"/>
  <c r="B6833" i="106" s="1"/>
  <c r="D6833" i="106" s="1"/>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D31" i="108" s="1"/>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K83" i="29"/>
  <c r="B2978" i="106" s="1"/>
  <c r="D2978" i="106" s="1"/>
  <c r="K93" i="29"/>
  <c r="K94" i="29"/>
  <c r="B6999" i="106" s="1"/>
  <c r="D6999" i="106" s="1"/>
  <c r="K95" i="29"/>
  <c r="B7001" i="106" s="1"/>
  <c r="D7001" i="106" s="1"/>
  <c r="K96" i="29"/>
  <c r="B7003" i="106" s="1"/>
  <c r="D7003" i="106" s="1"/>
  <c r="K97" i="29"/>
  <c r="B7005" i="106" s="1"/>
  <c r="D7005" i="106" s="1"/>
  <c r="K98" i="29"/>
  <c r="B7007" i="106" s="1"/>
  <c r="D7007" i="106" s="1"/>
  <c r="K99" i="29"/>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7" i="106"/>
  <c r="D2977"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B7239" i="106" s="1"/>
  <c r="D7239" i="106" s="1"/>
  <c r="D3677" i="106"/>
  <c r="K363" i="29"/>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7000" i="106"/>
  <c r="D7000" i="106" s="1"/>
  <c r="B7002" i="106"/>
  <c r="D7002" i="106" s="1"/>
  <c r="B7004" i="106"/>
  <c r="D7004" i="106" s="1"/>
  <c r="B7006" i="106"/>
  <c r="D7006" i="106" s="1"/>
  <c r="B7008" i="106"/>
  <c r="D7008" i="106" s="1"/>
  <c r="B7009" i="106"/>
  <c r="D7009" i="106" s="1"/>
  <c r="B7010" i="106"/>
  <c r="D7010" i="106" s="1"/>
  <c r="B7012" i="106"/>
  <c r="D7012"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40" i="106"/>
  <c r="D7240" i="106" s="1"/>
  <c r="B7241" i="106"/>
  <c r="D7241"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D79" i="36"/>
  <c r="B64" i="127"/>
  <c r="B65" i="127"/>
  <c r="E27" i="108"/>
  <c r="G27" i="108"/>
  <c r="F31" i="108"/>
  <c r="G28" i="108"/>
  <c r="E31" i="108"/>
  <c r="G31" i="108"/>
  <c r="E33"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C51" i="34"/>
  <c r="D51" i="34"/>
  <c r="C52" i="34"/>
  <c r="F52" i="34"/>
  <c r="C53" i="34"/>
  <c r="D53" i="34"/>
  <c r="C56" i="34"/>
  <c r="F56" i="34"/>
  <c r="C57" i="34"/>
  <c r="D57" i="34"/>
  <c r="C61" i="34"/>
  <c r="C62" i="34"/>
  <c r="C63" i="34"/>
  <c r="D63" i="34"/>
  <c r="C64" i="34"/>
  <c r="F64" i="34"/>
  <c r="C67" i="34"/>
  <c r="D67" i="34"/>
  <c r="C68" i="34"/>
  <c r="D68" i="34"/>
  <c r="C69" i="34"/>
  <c r="D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33" i="118"/>
  <c r="J22" i="37"/>
  <c r="F69" i="34" l="1"/>
  <c r="H112" i="29"/>
  <c r="B7018" i="106" s="1"/>
  <c r="D7018" i="106" s="1"/>
  <c r="D36" i="108"/>
  <c r="B2724" i="106"/>
  <c r="D2724" i="106" s="1"/>
  <c r="L22" i="37"/>
  <c r="G39" i="108"/>
  <c r="F36" i="108"/>
  <c r="D24" i="37"/>
  <c r="B4270" i="106" s="1"/>
  <c r="D4270" i="106" s="1"/>
  <c r="B1124" i="106"/>
  <c r="D1124" i="106" s="1"/>
  <c r="F38" i="34"/>
  <c r="B7076" i="106"/>
  <c r="D7076" i="106" s="1"/>
  <c r="D54" i="36"/>
  <c r="E34" i="108"/>
  <c r="J210" i="29"/>
  <c r="B7072" i="106" s="1"/>
  <c r="D7072" i="106" s="1"/>
  <c r="D22" i="37"/>
  <c r="H28" i="118"/>
  <c r="F77" i="4"/>
  <c r="B3255" i="106" s="1"/>
  <c r="D3255" i="106" s="1"/>
  <c r="L13" i="11"/>
  <c r="B2060" i="106" s="1"/>
  <c r="D2060" i="106" s="1"/>
  <c r="E35" i="108"/>
  <c r="F37" i="34"/>
  <c r="F67" i="34"/>
  <c r="B3647" i="106"/>
  <c r="D3647" i="106" s="1"/>
  <c r="F34" i="34"/>
  <c r="J41" i="3"/>
  <c r="H76" i="4"/>
  <c r="B3298" i="106" s="1"/>
  <c r="D3298" i="106" s="1"/>
  <c r="J129" i="29"/>
  <c r="B7038" i="106" s="1"/>
  <c r="D7038" i="106" s="1"/>
  <c r="C352" i="29"/>
  <c r="C367" i="29" s="1"/>
  <c r="B3622" i="106" s="1"/>
  <c r="D3622" i="106" s="1"/>
  <c r="K76" i="4"/>
  <c r="B3586" i="106" s="1"/>
  <c r="D3586" i="106" s="1"/>
  <c r="H342" i="29"/>
  <c r="B7221" i="106" s="1"/>
  <c r="D7221" i="106" s="1"/>
  <c r="I129" i="29"/>
  <c r="B7037" i="106" s="1"/>
  <c r="D7037" i="106" s="1"/>
  <c r="D69" i="36"/>
  <c r="F19" i="7"/>
  <c r="B1807" i="106" s="1"/>
  <c r="D1807" i="106" s="1"/>
  <c r="C342" i="29"/>
  <c r="B7216" i="106" s="1"/>
  <c r="D7216" i="106" s="1"/>
  <c r="G29" i="108"/>
  <c r="G26" i="108"/>
  <c r="G15" i="145"/>
  <c r="E26" i="108"/>
  <c r="B1274" i="106"/>
  <c r="D1274" i="106" s="1"/>
  <c r="F28" i="108"/>
  <c r="B6995" i="106"/>
  <c r="D6995" i="106" s="1"/>
  <c r="E38" i="108"/>
  <c r="G30" i="108"/>
  <c r="F27" i="108"/>
  <c r="F50" i="34"/>
  <c r="I210" i="29"/>
  <c r="B7071" i="106" s="1"/>
  <c r="D7071" i="106" s="1"/>
  <c r="J77" i="4"/>
  <c r="B6262" i="106" s="1"/>
  <c r="D6262" i="106" s="1"/>
  <c r="K184" i="29"/>
  <c r="F13" i="4" s="1"/>
  <c r="B2596" i="106" s="1"/>
  <c r="D2596" i="106" s="1"/>
  <c r="G210" i="29"/>
  <c r="C129" i="29"/>
  <c r="B1225" i="106" s="1"/>
  <c r="D1225" i="106" s="1"/>
  <c r="L367" i="29"/>
  <c r="L5" i="11"/>
  <c r="B2056" i="106" s="1"/>
  <c r="D2056" i="106" s="1"/>
  <c r="F46" i="34"/>
  <c r="J352" i="29"/>
  <c r="J367" i="29" s="1"/>
  <c r="B7245" i="106" s="1"/>
  <c r="D7245" i="106" s="1"/>
  <c r="D6103" i="106"/>
  <c r="H365" i="29"/>
  <c r="B7242" i="106" s="1"/>
  <c r="D7242" i="106" s="1"/>
  <c r="E29" i="108"/>
  <c r="B1126" i="106"/>
  <c r="D1126" i="106" s="1"/>
  <c r="B1308" i="106"/>
  <c r="D1308" i="106" s="1"/>
  <c r="E174" i="29"/>
  <c r="B1309" i="106" s="1"/>
  <c r="D1309" i="106" s="1"/>
  <c r="D17" i="7"/>
  <c r="B4104" i="106" s="1"/>
  <c r="D4104" i="106" s="1"/>
  <c r="D9" i="7"/>
  <c r="B1767" i="106" s="1"/>
  <c r="D1767" i="106" s="1"/>
  <c r="D11" i="37"/>
  <c r="H29" i="118"/>
  <c r="N22" i="3"/>
  <c r="B283" i="106" s="1"/>
  <c r="D283" i="106" s="1"/>
  <c r="F14" i="4"/>
  <c r="B2597" i="106" s="1"/>
  <c r="D2597" i="106" s="1"/>
  <c r="L342" i="29"/>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F41" i="34"/>
  <c r="F35" i="34"/>
  <c r="D3583" i="106"/>
  <c r="B3635" i="106"/>
  <c r="F45" i="34"/>
  <c r="K285" i="29"/>
  <c r="B3724" i="106" s="1"/>
  <c r="D3724" i="106" s="1"/>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s="1"/>
  <c r="D109" i="5"/>
  <c r="I267" i="5"/>
  <c r="B4435" i="106" s="1"/>
  <c r="D4435" i="106" s="1"/>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J16" i="4"/>
  <c r="B6226" i="106" s="1"/>
  <c r="D6226" i="106" s="1"/>
  <c r="B7202" i="106"/>
  <c r="D7202" i="106" s="1"/>
  <c r="F342" i="29"/>
  <c r="B7219" i="106" s="1"/>
  <c r="D7219" i="106" s="1"/>
  <c r="B7503" i="106"/>
  <c r="B7531" i="106"/>
  <c r="B7214" i="106"/>
  <c r="D7214"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7270" i="106"/>
  <c r="N23" i="3" l="1"/>
  <c r="B284" i="106" s="1"/>
  <c r="D284" i="106" s="1"/>
  <c r="K28" i="118"/>
  <c r="O27" i="118" s="1"/>
  <c r="O29" i="118" s="1"/>
  <c r="B1381" i="106"/>
  <c r="D1381" i="106" s="1"/>
  <c r="B5527" i="106"/>
  <c r="D5527" i="106" s="1"/>
  <c r="D7251" i="106"/>
  <c r="D44" i="36"/>
  <c r="I151" i="29"/>
  <c r="F59" i="34" s="1"/>
  <c r="D7250" i="106"/>
  <c r="H151" i="29"/>
  <c r="B1273" i="106" s="1"/>
  <c r="D1273" i="106" s="1"/>
  <c r="K77" i="4"/>
  <c r="B3587" i="106" s="1"/>
  <c r="D3587" i="106" s="1"/>
  <c r="F66" i="34"/>
  <c r="B7235" i="106"/>
  <c r="D7235" i="106" s="1"/>
  <c r="K365" i="29"/>
  <c r="K16" i="4" s="1"/>
  <c r="C114" i="29"/>
  <c r="B757" i="106" s="1"/>
  <c r="D757" i="106" s="1"/>
  <c r="I7" i="4"/>
  <c r="B4444" i="106" s="1"/>
  <c r="D4444" i="106" s="1"/>
  <c r="B1328" i="106"/>
  <c r="D1328" i="106" s="1"/>
  <c r="L114" i="29"/>
  <c r="L16" i="11"/>
  <c r="B2061" i="106" s="1"/>
  <c r="D2061" i="106" s="1"/>
  <c r="D41" i="108"/>
  <c r="E43" i="108" s="1"/>
  <c r="C151" i="29"/>
  <c r="B1226" i="106" s="1"/>
  <c r="D1226" i="106" s="1"/>
  <c r="F41" i="108"/>
  <c r="G43" i="108" s="1"/>
  <c r="B5778" i="106"/>
  <c r="D5778" i="106" s="1"/>
  <c r="G6" i="4"/>
  <c r="B2604" i="106" s="1"/>
  <c r="D2604" i="106" s="1"/>
  <c r="K342" i="29"/>
  <c r="F13" i="34" s="1"/>
  <c r="B5770" i="106"/>
  <c r="D5770" i="106" s="1"/>
  <c r="B1365" i="106"/>
  <c r="D1365" i="106" s="1"/>
  <c r="F65" i="34"/>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7298" i="106"/>
  <c r="B7299" i="106"/>
  <c r="B7243" i="106" l="1"/>
  <c r="D7243" i="106" s="1"/>
  <c r="B7051" i="106"/>
  <c r="D7051" i="106" s="1"/>
  <c r="B7224" i="106"/>
  <c r="D7224" i="106" s="1"/>
  <c r="B1145" i="106"/>
  <c r="D1145" i="106" s="1"/>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8" i="4" l="1"/>
  <c r="F10" i="4" s="1"/>
  <c r="B4125" i="106" s="1"/>
  <c r="D4125" i="106" s="1"/>
  <c r="J10" i="4"/>
  <c r="B6225" i="106" s="1"/>
  <c r="D6225" i="106" s="1"/>
  <c r="K17" i="4"/>
  <c r="K19" i="4" s="1"/>
  <c r="B4144" i="106" s="1"/>
  <c r="D4144" i="106" s="1"/>
  <c r="D8" i="146"/>
  <c r="J20" i="4"/>
  <c r="B6230" i="106" s="1"/>
  <c r="D6230" i="106" s="1"/>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B6263" i="106" s="1"/>
  <c r="D6263" i="106" s="1"/>
  <c r="D10" i="4"/>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F175" i="34" l="1"/>
  <c r="F79" i="34"/>
  <c r="D78" i="4"/>
  <c r="D81" i="4" s="1"/>
  <c r="B3588" i="106"/>
  <c r="D3588" i="106" s="1"/>
  <c r="K81" i="4"/>
  <c r="F78" i="4"/>
  <c r="B2601" i="106"/>
  <c r="D2601" i="106" s="1"/>
  <c r="B3320" i="106"/>
  <c r="D3320" i="106" s="1"/>
  <c r="I81" i="4"/>
  <c r="K17" i="118"/>
  <c r="B3300" i="106"/>
  <c r="D3300" i="106" s="1"/>
  <c r="H81" i="4"/>
  <c r="B7631" i="106"/>
  <c r="F176" i="34"/>
  <c r="A7262" i="106"/>
  <c r="D7261" i="106"/>
  <c r="H16" i="37"/>
  <c r="G78" i="4"/>
  <c r="B2613" i="106"/>
  <c r="D2613" i="106" s="1"/>
  <c r="B2562" i="106"/>
  <c r="D2562" i="106" s="1"/>
  <c r="C78" i="4"/>
  <c r="B10" i="146"/>
  <c r="F9" i="146"/>
  <c r="F10" i="146" s="1"/>
  <c r="E78" i="4"/>
  <c r="B2636" i="106"/>
  <c r="D2636" i="106" s="1"/>
  <c r="D64" i="36"/>
  <c r="J82" i="4"/>
  <c r="B6266" i="106"/>
  <c r="D6266" i="106" s="1"/>
  <c r="F177" i="34" l="1"/>
  <c r="F179" i="34" s="1"/>
  <c r="B3239" i="106"/>
  <c r="D3239"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<sst xmlns="http://schemas.openxmlformats.org/spreadsheetml/2006/main" count="5113" uniqueCount="2111">
  <si>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</si>
  <si>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</si>
  <si>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</si>
  <si>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</si>
  <si>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</si>
  <si>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</si>
  <si>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</si>
  <si>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</si>
  <si>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</si>
  <si>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</si>
  <si>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</si>
  <si>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</si>
  <si>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</si>
  <si>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</si>
  <si>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</si>
  <si>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</si>
  <si>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</si>
  <si>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</si>
  <si>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</si>
  <si>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</si>
  <si>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</si>
  <si>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</si>
  <si>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</si>
  <si>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</si>
  <si>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</si>
  <si>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</si>
  <si>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</si>
  <si>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</si>
  <si>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</si>
  <si>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</si>
  <si>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</si>
  <si>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</si>
  <si>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</si>
  <si>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</si>
  <si>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</si>
  <si>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</si>
  <si>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</si>
  <si>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</si>
  <si>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</si>
  <si>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</si>
  <si>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</si>
  <si>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</si>
  <si>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</si>
  <si>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</si>
  <si>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</si>
  <si>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</si>
  <si>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</si>
  <si>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</si>
  <si>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</si>
  <si>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</si>
  <si>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</si>
  <si>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</si>
  <si>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</si>
  <si>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</si>
  <si>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</si>
  <si>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</si>
  <si>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</si>
  <si>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</si>
  <si>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</si>
  <si>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</si>
  <si>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</si>
  <si>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</si>
  <si>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</si>
  <si>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</si>
  <si>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</si>
  <si>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</si>
  <si>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</si>
  <si>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</si>
  <si>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</si>
  <si>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</si>
  <si>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</si>
  <si>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</si>
  <si>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</si>
  <si>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</si>
  <si>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</si>
  <si>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</si>
  <si>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</si>
  <si>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</si>
  <si>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</si>
  <si>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</si>
  <si>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</si>
  <si>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</si>
  <si>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</si>
  <si>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</si>
  <si>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</si>
  <si>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</si>
  <si>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</si>
  <si>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</si>
  <si>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</si>
  <si>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</si>
  <si>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</si>
  <si>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</si>
  <si>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</si>
  <si>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</si>
  <si>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</si>
  <si>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</si>
  <si>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</si>
  <si>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</si>
  <si>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</si>
  <si>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</si>
  <si>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</si>
  <si>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</si>
  <si>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</si>
  <si>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</si>
  <si>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</si>
  <si>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</si>
  <si>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</si>
  <si>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</si>
  <si>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</si>
  <si>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</si>
  <si>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</si>
  <si>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</si>
  <si>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</si>
  <si>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</si>
  <si>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</si>
  <si>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</si>
  <si>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</si>
  <si>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</si>
  <si>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</si>
  <si>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</si>
  <si>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</si>
  <si>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</si>
  <si>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</si>
  <si>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</si>
  <si>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</si>
  <si>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</si>
  <si>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</si>
  <si>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</si>
  <si>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</si>
  <si>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</si>
  <si>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</si>
  <si>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</si>
  <si>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</si>
  <si>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</si>
  <si>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</si>
  <si>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</si>
  <si>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</si>
  <si>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</si>
  <si>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</si>
  <si>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</si>
  <si>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</si>
  <si>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</si>
  <si>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</si>
  <si>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</si>
  <si>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</si>
  <si>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</si>
  <si>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</si>
  <si>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</si>
  <si>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</si>
  <si>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</si>
  <si>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</si>
  <si>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</si>
  <si>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</si>
  <si>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</si>
  <si>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</si>
  <si>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</si>
  <si>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</si>
  <si>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</si>
  <si>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</si>
  <si>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</si>
  <si>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</si>
  <si>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</si>
  <si>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</si>
  <si>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</si>
  <si>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</si>
  <si>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</si>
  <si>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</si>
  <si>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</si>
  <si>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</si>
  <si>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</si>
  <si>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</si>
  <si>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</si>
  <si>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</si>
  <si>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</si>
  <si>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</si>
  <si>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</si>
  <si>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</si>
  <si>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</si>
  <si>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</si>
  <si>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</si>
  <si>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</si>
  <si>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</si>
  <si>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</si>
  <si>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</si>
  <si>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</si>
  <si>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</si>
  <si>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</si>
  <si>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</si>
  <si>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</si>
  <si>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</si>
  <si>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</si>
  <si>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</si>
  <si>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</si>
  <si>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</si>
  <si>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</si>
  <si>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</si>
  <si>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</si>
  <si>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</si>
  <si>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</si>
  <si>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</si>
  <si>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</si>
  <si>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</si>
  <si>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</si>
  <si>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</si>
  <si>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</si>
  <si>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</si>
  <si>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</si>
  <si>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</si>
  <si>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</si>
  <si>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</si>
  <si>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</si>
  <si>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</si>
  <si>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</si>
  <si>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</si>
  <si>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</si>
  <si>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</si>
  <si>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</si>
  <si>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</si>
  <si>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</si>
  <si>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</si>
  <si>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</si>
  <si>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</si>
  <si>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</si>
  <si>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</si>
  <si>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</si>
  <si>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</si>
  <si>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</si>
  <si>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</si>
  <si>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</si>
  <si>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</si>
  <si>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</si>
  <si>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</si>
  <si>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</si>
  <si>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</si>
  <si>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</si>
  <si>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</si>
  <si>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</si>
  <si>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</si>
  <si>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</si>
  <si>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</si>
  <si>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</si>
  <si>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</si>
  <si>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</si>
  <si>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</si>
  <si>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</si>
  <si>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</si>
  <si>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</si>
  <si>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</si>
  <si>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</si>
  <si>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</si>
  <si>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</si>
  <si>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</si>
  <si>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</si>
  <si>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</si>
  <si>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</si>
  <si>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</si>
  <si>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</si>
  <si>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</si>
  <si>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</si>
  <si>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</si>
  <si>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</si>
  <si>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</si>
  <si>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</si>
  <si>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</si>
  <si>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</si>
  <si>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</si>
  <si>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</si>
  <si>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</si>
  <si>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</si>
  <si>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</si>
  <si>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</si>
  <si>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</si>
  <si>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</si>
  <si>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</si>
  <si>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</si>
  <si>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</si>
  <si>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</si>
  <si>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</si>
  <si>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</si>
  <si>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</si>
  <si>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</si>
  <si>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</si>
  <si>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</si>
  <si>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</si>
  <si>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</si>
  <si>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</si>
  <si>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</si>
  <si>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</si>
  <si>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</si>
  <si>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</si>
  <si>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</si>
  <si>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</si>
  <si>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</si>
  <si>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</si>
  <si>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</si>
  <si>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</si>
  <si>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</si>
  <si>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</si>
  <si>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</si>
  <si>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</si>
  <si>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</si>
  <si>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</si>
  <si>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</si>
  <si>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</si>
  <si>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</si>
  <si>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</si>
  <si>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</si>
  <si>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</si>
  <si>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</si>
  <si>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</si>
  <si>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</si>
  <si>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</si>
  <si>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</si>
  <si>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</si>
  <si>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</si>
  <si>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</si>
  <si>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</si>
  <si>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</si>
  <si>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</si>
  <si>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</si>
  <si>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</si>
  <si>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</si>
  <si>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</si>
  <si>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</si>
  <si>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</si>
  <si>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</si>
  <si>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</si>
  <si>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</si>
  <si>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</si>
  <si>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</si>
  <si>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</si>
  <si>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</si>
  <si>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</si>
  <si>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</si>
  <si>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</si>
  <si>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</si>
  <si>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</si>
  <si>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</si>
  <si>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</si>
  <si>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</si>
  <si>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</si>
  <si>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</si>
  <si>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</si>
  <si>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</si>
  <si>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</si>
  <si>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</si>
  <si>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</si>
  <si>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</si>
  <si>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</si>
  <si>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</si>
  <si>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</si>
  <si>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</si>
  <si>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</si>
  <si>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</si>
  <si>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</si>
  <si>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</si>
  <si>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</si>
  <si>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</si>
  <si>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</si>
  <si>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</si>
  <si>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</si>
  <si>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</si>
  <si>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</si>
  <si>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</si>
  <si>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</si>
  <si>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</si>
  <si>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</si>
  <si>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</si>
  <si>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</si>
  <si>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</si>
  <si>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</si>
  <si>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</si>
  <si>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</si>
  <si>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</si>
  <si>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</si>
  <si>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</si>
  <si>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</si>
  <si>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</si>
  <si>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</si>
  <si>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</si>
  <si>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</si>
  <si>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</si>
  <si>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</si>
  <si>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</si>
  <si>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</si>
  <si>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</si>
  <si>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</si>
  <si>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</si>
  <si>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</si>
  <si>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</si>
  <si>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</si>
  <si>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</si>
  <si>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</si>
  <si>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</si>
  <si>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</si>
  <si>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</si>
  <si>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</si>
  <si>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</si>
  <si>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</si>
  <si>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</si>
  <si>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</si>
  <si>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</si>
  <si>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</si>
  <si>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</si>
  <si>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</si>
  <si>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</si>
  <si>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</si>
  <si>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</si>
  <si>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</si>
  <si>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</si>
  <si>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</si>
  <si>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</si>
  <si>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</si>
  <si>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</si>
  <si>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</si>
  <si>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</si>
  <si>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</si>
  <si>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</si>
  <si>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</si>
  <si>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</si>
  <si>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</si>
  <si>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</si>
  <si>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</si>
  <si>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</si>
  <si>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</si>
  <si>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</si>
  <si>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</si>
  <si>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</si>
  <si>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</si>
  <si>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</si>
  <si>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</si>
  <si>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</si>
  <si>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</si>
  <si>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</si>
  <si>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</si>
  <si>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</si>
  <si>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</si>
  <si>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</si>
  <si>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</si>
  <si>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</si>
  <si>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</si>
  <si>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</si>
  <si>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</si>
  <si>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</si>
  <si>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</si>
  <si>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</si>
  <si>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</si>
  <si>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</si>
  <si>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</si>
  <si>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</si>
  <si>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</si>
  <si>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</si>
  <si>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</si>
  <si>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</si>
  <si>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</si>
  <si>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</si>
  <si>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</si>
  <si>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</si>
  <si>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</si>
  <si>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</si>
  <si>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</si>
  <si>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</si>
  <si>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</si>
  <si>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</si>
  <si>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</si>
  <si>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</si>
  <si>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</si>
  <si>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</si>
  <si>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</si>
  <si>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</si>
  <si>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</si>
  <si>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</si>
  <si>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</si>
  <si>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</si>
  <si>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</si>
  <si>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</si>
  <si>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</si>
  <si>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</si>
  <si>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</si>
  <si>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</si>
  <si>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</si>
  <si>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</si>
  <si>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</si>
  <si>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</si>
  <si>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</si>
  <si>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</si>
  <si>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</si>
  <si>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</si>
  <si>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</si>
  <si>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</si>
  <si>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</si>
  <si>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</si>
  <si>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</si>
  <si>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</si>
  <si>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</si>
  <si>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</si>
  <si>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</si>
  <si>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</si>
  <si>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</si>
  <si>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</si>
  <si>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</si>
  <si>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</si>
  <si>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</si>
  <si>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</si>
  <si>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</si>
  <si>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</si>
  <si>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</si>
  <si>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</si>
  <si>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</si>
  <si>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</si>
  <si>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</si>
  <si>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</si>
  <si>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</si>
  <si>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</si>
  <si>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</si>
  <si>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</si>
  <si>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</si>
  <si>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</si>
  <si>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</si>
  <si>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</si>
  <si>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</si>
  <si>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</si>
  <si>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</si>
  <si>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</si>
  <si>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</si>
  <si>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</si>
  <si>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</si>
  <si>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</si>
  <si>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</si>
  <si>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</si>
  <si>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</si>
  <si>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</si>
  <si>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</si>
  <si>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</si>
  <si>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</si>
  <si>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</si>
  <si>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</si>
  <si>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</si>
  <si>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</si>
  <si>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</si>
  <si>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</si>
  <si>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</si>
  <si>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</si>
  <si>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</si>
  <si>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</si>
  <si>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</si>
  <si>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</si>
  <si>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</si>
  <si>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</si>
  <si>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</si>
  <si>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</si>
  <si>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</si>
  <si>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</si>
  <si>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</si>
  <si>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</si>
  <si>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</si>
  <si>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</si>
  <si>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</si>
  <si>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</si>
  <si>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</si>
  <si>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</si>
  <si>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</si>
  <si>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</si>
  <si>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</si>
  <si>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</si>
  <si>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</si>
  <si>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</si>
  <si>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</si>
  <si>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</si>
  <si>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</si>
  <si>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</si>
  <si>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</si>
  <si>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</si>
  <si>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</si>
  <si>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</si>
  <si>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</si>
  <si>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</si>
  <si>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</si>
  <si>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</si>
  <si>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</si>
  <si>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</si>
  <si>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</si>
  <si>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</si>
  <si>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</si>
  <si>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</si>
  <si>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</si>
  <si>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</si>
  <si>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</si>
  <si>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</si>
  <si>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</si>
  <si>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</si>
  <si>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</si>
  <si>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</si>
  <si>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</si>
  <si>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</si>
  <si>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</si>
  <si>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</si>
  <si>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</si>
  <si>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</si>
  <si>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</si>
  <si>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</si>
  <si>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</si>
  <si>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</si>
  <si>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</si>
  <si>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</si>
  <si>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</si>
  <si>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</si>
  <si>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</si>
  <si>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</si>
  <si>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</si>
  <si>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</si>
  <si>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</si>
  <si>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</si>
  <si>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</si>
  <si>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</si>
  <si>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</si>
  <si>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</si>
  <si>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</si>
  <si>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</si>
  <si>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</si>
  <si>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</si>
  <si>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</si>
  <si>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</si>
  <si>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</si>
  <si>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</si>
  <si>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</si>
  <si>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</si>
  <si>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</si>
  <si>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</si>
  <si>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</si>
  <si>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</si>
  <si>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</si>
  <si>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</si>
  <si>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</si>
  <si>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</si>
  <si>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</si>
  <si>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</si>
  <si>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</si>
  <si>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</si>
  <si>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</si>
  <si>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</si>
  <si>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</si>
  <si>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</si>
  <si>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</si>
  <si>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</si>
  <si>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</si>
  <si>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</si>
  <si>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</si>
  <si>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</si>
  <si>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</si>
  <si>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</si>
  <si>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</si>
  <si>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</si>
  <si>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</si>
  <si>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</si>
  <si>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</si>
  <si>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</si>
  <si>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</si>
  <si>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</si>
  <si>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</si>
  <si>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</si>
  <si>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</si>
  <si>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</si>
  <si>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</si>
  <si>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</si>
  <si>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</si>
  <si>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</si>
  <si>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</si>
  <si>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</si>
  <si>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</si>
  <si>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</si>
  <si>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</si>
  <si>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</si>
  <si>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</si>
  <si>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</si>
  <si>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</si>
  <si>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</si>
  <si>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</si>
  <si>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</si>
  <si>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</si>
  <si>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</si>
  <si>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</si>
  <si>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</si>
  <si>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</si>
  <si>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</si>
  <si>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</si>
  <si>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</si>
  <si>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</si>
  <si>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</si>
  <si>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</si>
  <si>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</si>
  <si>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</si>
  <si>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</si>
  <si>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</si>
  <si>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</si>
  <si>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</si>
  <si>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</si>
  <si>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</si>
  <si>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</si>
  <si>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</si>
  <si>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</si>
  <si>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</si>
  <si>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</si>
  <si>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</si>
  <si>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</si>
  <si>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</si>
  <si>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</si>
  <si>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</si>
  <si>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</si>
  <si>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</si>
  <si>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</si>
  <si>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</si>
  <si>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</si>
  <si>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</si>
  <si>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</si>
  <si>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</si>
  <si>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</si>
  <si>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</si>
  <si>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</si>
  <si>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</si>
  <si>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</si>
  <si>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</si>
  <si>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</si>
  <si>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</si>
  <si>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</si>
  <si>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</si>
  <si>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</si>
  <si>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</si>
  <si>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</si>
  <si>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</si>
  <si>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</si>
  <si>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</si>
  <si>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</si>
  <si>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</si>
  <si>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</si>
  <si>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</si>
  <si>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</si>
  <si>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</si>
  <si>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</si>
  <si>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</si>
  <si>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</si>
  <si>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</si>
  <si>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</si>
  <si>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</si>
  <si>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</si>
  <si>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</si>
  <si>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</si>
  <si>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</si>
  <si>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</si>
  <si>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</si>
  <si>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</si>
  <si>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</si>
  <si>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</si>
  <si>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</si>
  <si>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</si>
  <si>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</si>
  <si>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</si>
  <si>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</si>
  <si>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</si>
  <si>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</si>
  <si>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</si>
  <si>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</si>
  <si>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</si>
  <si>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</si>
  <si>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</si>
  <si>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</si>
  <si>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</si>
  <si>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</si>
  <si>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</si>
  <si>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</si>
  <si>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</si>
  <si>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</si>
  <si>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</si>
  <si>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</si>
  <si>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</si>
  <si>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</si>
  <si>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</si>
  <si>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</si>
  <si>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</si>
  <si>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</si>
  <si>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</si>
  <si>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</si>
  <si>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</si>
  <si>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</si>
  <si>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</si>
  <si>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</si>
  <si>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</si>
  <si>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</si>
  <si>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</si>
  <si>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</si>
  <si>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</si>
  <si>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</si>
  <si>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</si>
  <si>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</si>
  <si>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</si>
  <si>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</si>
  <si>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</si>
  <si>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</si>
  <si>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</si>
  <si>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</si>
  <si>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</si>
  <si>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</si>
  <si>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</si>
  <si>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</si>
  <si>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</si>
  <si>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</si>
  <si>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</si>
  <si>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</si>
  <si>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</si>
  <si>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</si>
  <si>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</si>
  <si>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</si>
  <si>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</si>
  <si>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</si>
  <si>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</si>
  <si>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</si>
  <si>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</si>
  <si>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</si>
  <si>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</si>
  <si>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</si>
  <si>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</si>
  <si>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</si>
  <si>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</si>
  <si>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</si>
  <si>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</si>
  <si>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</si>
  <si>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</si>
  <si>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</si>
  <si>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</si>
  <si>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</si>
  <si>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</si>
  <si>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</si>
  <si>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</si>
  <si>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</si>
  <si>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</si>
  <si>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</si>
  <si>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</si>
  <si>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</si>
  <si>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</si>
  <si>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</si>
  <si>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</si>
  <si>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</si>
  <si>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</si>
  <si>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</si>
  <si>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</si>
  <si>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</si>
  <si>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</si>
  <si>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</si>
  <si>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</si>
  <si>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</si>
  <si>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</si>
  <si>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</si>
  <si>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</si>
  <si>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</si>
  <si>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</si>
  <si>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</si>
  <si>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</si>
  <si>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</si>
  <si>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</si>
  <si>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</si>
  <si>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</si>
  <si>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</si>
  <si>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</si>
  <si>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</si>
  <si>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</si>
  <si>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</si>
  <si>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</si>
  <si>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</si>
  <si>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</si>
  <si>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</si>
  <si>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</si>
  <si>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</si>
  <si>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</si>
  <si>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</si>
  <si>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</si>
  <si>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</si>
  <si>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</si>
  <si>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</si>
  <si>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</si>
  <si>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</si>
  <si>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</si>
  <si>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</si>
  <si>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</si>
  <si>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</si>
  <si>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</si>
  <si>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</si>
  <si>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</si>
  <si>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</si>
  <si>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</si>
  <si>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</si>
  <si>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</si>
  <si>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</si>
  <si>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</si>
  <si>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</si>
  <si>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</si>
  <si>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</si>
  <si>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</si>
  <si>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</si>
  <si>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</si>
  <si>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</si>
  <si>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</si>
  <si>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</si>
  <si>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</si>
  <si>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</si>
  <si>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</si>
  <si>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</si>
  <si>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</si>
  <si>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</si>
  <si>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</si>
  <si>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</si>
  <si>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</si>
  <si>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</si>
  <si>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</si>
  <si>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</si>
  <si>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</si>
  <si>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</si>
  <si>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</si>
  <si>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</si>
  <si>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</si>
  <si>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</si>
  <si>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</si>
  <si>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</si>
  <si>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</si>
  <si>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</si>
  <si>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</si>
  <si>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</si>
  <si>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</si>
  <si>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</si>
  <si>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</si>
  <si>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</si>
  <si>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</si>
  <si>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</si>
  <si>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</si>
  <si>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</si>
  <si>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</si>
  <si>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</si>
  <si>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</si>
  <si>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</si>
  <si>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</si>
  <si>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</si>
  <si>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</si>
  <si>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</si>
  <si>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</si>
  <si>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</si>
  <si>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</si>
  <si>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</si>
  <si>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</si>
  <si>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</si>
  <si>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</si>
  <si>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</si>
  <si>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</si>
  <si>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</si>
  <si>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</si>
  <si>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</si>
  <si>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</si>
  <si>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</si>
  <si>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</si>
  <si>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</si>
  <si>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</si>
  <si>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</si>
  <si>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</si>
  <si>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</si>
  <si>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</si>
  <si>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</si>
  <si>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</si>
  <si>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</si>
  <si>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</si>
  <si>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</si>
  <si>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</si>
  <si>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</si>
  <si>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</si>
  <si>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</si>
  <si>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</si>
  <si>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</si>
  <si>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</si>
  <si>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</si>
  <si>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</si>
  <si>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</si>
  <si>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</si>
  <si>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</si>
  <si>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</si>
  <si>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</si>
  <si>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</si>
  <si>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</si>
  <si>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</si>
  <si>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</si>
  <si>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</si>
  <si>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</si>
  <si>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</si>
  <si>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</si>
  <si>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</si>
  <si>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</si>
  <si>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</si>
  <si>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</si>
  <si>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</si>
  <si>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</si>
  <si>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</si>
  <si>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</si>
  <si>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</si>
  <si>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</si>
  <si>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</si>
  <si>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</si>
  <si>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</si>
  <si>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</si>
  <si>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</si>
  <si>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</si>
  <si>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</si>
  <si>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</si>
  <si>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</si>
  <si>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</si>
  <si>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</si>
  <si>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</si>
  <si>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</si>
  <si>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</si>
  <si>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</si>
  <si>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</si>
  <si>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</si>
  <si>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</si>
  <si>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</si>
  <si>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</si>
  <si>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</si>
  <si>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</si>
  <si>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</si>
  <si>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</si>
  <si>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</si>
  <si>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</si>
  <si>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</si>
  <si>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</si>
  <si>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</si>
  <si>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</si>
  <si>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</si>
  <si>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</si>
  <si>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</si>
  <si>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</si>
  <si>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</si>
  <si>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</si>
  <si>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</si>
  <si>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</si>
  <si>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</si>
  <si>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</si>
  <si>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</si>
  <si>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</si>
  <si>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</si>
  <si>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</si>
  <si>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</si>
  <si>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</si>
  <si>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</si>
  <si>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</si>
  <si>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</si>
  <si>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</si>
  <si>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</si>
  <si>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</si>
  <si>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</si>
  <si>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</si>
  <si>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</si>
  <si>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</si>
  <si>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</si>
  <si>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</si>
  <si>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</si>
  <si>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</si>
  <si>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</si>
  <si>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</si>
  <si>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</si>
  <si>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</si>
  <si>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</si>
  <si>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</si>
  <si>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</si>
  <si>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</si>
  <si>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</si>
  <si>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</si>
  <si>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</si>
  <si>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</si>
  <si>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</si>
  <si>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</si>
  <si>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</si>
  <si>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</si>
  <si>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</si>
  <si>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</si>
  <si>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</si>
  <si>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</si>
  <si>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</si>
  <si>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</si>
  <si>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</si>
  <si>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</si>
  <si>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</si>
  <si>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</si>
  <si>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</si>
  <si>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</si>
  <si>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</si>
  <si>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</si>
  <si>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</si>
  <si>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</si>
  <si>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</si>
  <si>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</si>
  <si>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</si>
  <si>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</si>
  <si>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</si>
  <si>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</si>
  <si>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</si>
  <si>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</si>
  <si>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</si>
  <si>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</si>
  <si>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</si>
  <si>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</si>
  <si>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</si>
  <si>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</si>
  <si>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</si>
  <si>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</si>
  <si>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</si>
  <si>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</si>
  <si>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</si>
  <si>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</si>
  <si>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</si>
  <si>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</si>
  <si>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</si>
  <si>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</si>
  <si>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</si>
  <si>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</si>
  <si>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</si>
  <si>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</si>
  <si>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</si>
  <si>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</si>
  <si>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</si>
  <si>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</si>
  <si>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</si>
  <si>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</si>
  <si>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</si>
  <si>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</si>
  <si>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</si>
  <si>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</si>
  <si>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</si>
  <si>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</si>
  <si>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</si>
  <si>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</si>
  <si>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</si>
  <si>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</si>
  <si>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</si>
  <si>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</si>
  <si>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</si>
  <si>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</si>
  <si>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</si>
  <si>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</si>
  <si>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</si>
  <si>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</si>
  <si>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</si>
  <si>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</si>
  <si>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</si>
  <si>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</si>
  <si>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</si>
  <si>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</si>
  <si>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</si>
  <si>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</si>
  <si>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</si>
  <si>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</si>
  <si>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</si>
  <si>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</si>
  <si>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</si>
  <si>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</si>
  <si>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</si>
  <si>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</si>
  <si>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</si>
  <si>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</si>
  <si>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</si>
  <si>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</si>
  <si>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</si>
  <si>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</si>
  <si>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</si>
  <si>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</si>
  <si>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</si>
  <si>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</si>
  <si>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</si>
  <si>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</si>
  <si>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</si>
  <si>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</si>
  <si>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</si>
  <si>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</si>
  <si>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</si>
  <si>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</si>
  <si>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</si>
  <si>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</si>
  <si>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</si>
  <si>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</si>
  <si>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</si>
  <si>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</si>
  <si>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</si>
  <si>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</si>
  <si>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</si>
  <si>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</si>
  <si>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</si>
  <si>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</si>
  <si>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</si>
  <si>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</si>
  <si>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</si>
  <si>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</si>
  <si>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</si>
  <si>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</si>
  <si>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</si>
  <si>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</si>
  <si>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</si>
  <si>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</si>
  <si>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</si>
  <si>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</si>
  <si>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</si>
  <si>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</si>
  <si>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</si>
  <si>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</si>
  <si>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</si>
  <si>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</si>
  <si>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</si>
  <si>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</si>
  <si>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</si>
  <si>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</si>
  <si>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</si>
  <si>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</si>
  <si>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</si>
  <si>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</si>
  <si>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</si>
  <si>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</si>
  <si>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</si>
  <si>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</si>
  <si>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</si>
  <si>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</si>
  <si>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</si>
  <si>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</si>
  <si>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</si>
  <si>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</si>
  <si>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</si>
  <si>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</si>
  <si>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</si>
  <si>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</si>
  <si>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</si>
  <si>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</si>
  <si>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</si>
  <si>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</si>
  <si>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</si>
  <si>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</si>
  <si>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</si>
  <si>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</si>
  <si>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</si>
  <si>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</si>
  <si>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</si>
  <si>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</si>
  <si>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</si>
  <si>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</si>
  <si>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</si>
  <si>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</si>
  <si>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</si>
  <si>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</si>
  <si>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</si>
  <si>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</si>
  <si>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</si>
  <si>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</si>
  <si>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</si>
  <si>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</si>
  <si>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</si>
  <si>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</si>
  <si>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</si>
  <si>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</si>
  <si>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</si>
  <si>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</si>
  <si>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</si>
  <si>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</si>
  <si>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</si>
  <si>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</si>
  <si>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</si>
  <si>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</si>
  <si>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</si>
  <si>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</si>
  <si>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</si>
  <si>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</si>
  <si>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</si>
  <si>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</si>
  <si>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</si>
  <si>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</si>
  <si>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</si>
  <si>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</si>
  <si>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</si>
  <si>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</si>
  <si>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</si>
  <si>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</si>
  <si>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</si>
  <si>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</si>
  <si>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</si>
  <si>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</si>
  <si>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</si>
  <si>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</si>
  <si>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</si>
  <si>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</si>
  <si>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</si>
  <si>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</si>
  <si>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</si>
  <si>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</si>
  <si>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</si>
  <si>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</si>
  <si>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</si>
  <si>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</si>
  <si>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</si>
  <si>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</si>
  <si>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</si>
  <si>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</si>
  <si>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</si>
  <si>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</si>
  <si>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</si>
  <si>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</si>
  <si>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</si>
  <si>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</si>
  <si>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</si>
  <si>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</si>
  <si>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</si>
  <si>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</si>
  <si>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</si>
  <si>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</si>
  <si>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</si>
  <si>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</si>
  <si>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</si>
  <si>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</si>
  <si>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</si>
  <si>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</si>
  <si>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</si>
  <si>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</si>
  <si>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</si>
  <si>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</si>
  <si>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</si>
  <si>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</si>
  <si>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</si>
  <si>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</si>
  <si>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</si>
  <si>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</si>
  <si>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</si>
  <si>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</si>
  <si>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</si>
  <si>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</si>
  <si>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</si>
  <si>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</si>
  <si>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</si>
  <si>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</si>
  <si>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</si>
  <si>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</si>
  <si>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</si>
  <si>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</si>
  <si>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</si>
  <si>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</si>
  <si>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</si>
  <si>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</si>
  <si>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</si>
  <si>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</si>
  <si>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</si>
  <si>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</si>
  <si>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</si>
  <si>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</si>
  <si>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</si>
  <si>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</si>
  <si>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</si>
  <si>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</si>
  <si>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</si>
  <si>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</si>
  <si>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</si>
  <si>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</si>
  <si>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</si>
  <si>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</si>
  <si>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</si>
  <si>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</si>
  <si>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</si>
  <si>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</si>
  <si>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</si>
  <si>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</si>
  <si>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</si>
  <si>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</si>
  <si>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</si>
  <si>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</si>
  <si>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</si>
  <si>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</si>
  <si>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</si>
  <si>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</si>
  <si>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</si>
  <si>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</si>
  <si>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</si>
  <si>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</si>
  <si>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</si>
  <si>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</si>
  <si>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</si>
  <si>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</si>
  <si>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</si>
  <si>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</si>
  <si>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</si>
  <si>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</si>
  <si>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</si>
  <si>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</si>
  <si>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</si>
  <si>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</si>
  <si>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</si>
  <si>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</si>
  <si>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</si>
  <si>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</si>
  <si>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</si>
  <si>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</si>
  <si>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</si>
  <si>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</si>
  <si>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</si>
  <si>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</si>
  <si>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</si>
  <si>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</si>
  <si>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</si>
  <si>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</si>
  <si>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</si>
  <si>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</si>
  <si>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</si>
  <si>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</si>
  <si>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</si>
  <si>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</si>
  <si>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</si>
  <si>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</si>
  <si>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</si>
  <si>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</si>
  <si>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</si>
  <si>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</si>
  <si>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</si>
  <si>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</si>
  <si>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</si>
  <si>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</si>
  <si>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</si>
  <si>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</si>
  <si>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</si>
  <si>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</si>
  <si>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</si>
  <si>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</si>
  <si>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</si>
  <si>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</si>
  <si>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</si>
  <si>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</si>
  <si>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</si>
  <si>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</si>
  <si>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</si>
  <si>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</si>
  <si>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</si>
  <si>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</si>
  <si>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</si>
  <si>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</si>
  <si>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</si>
  <si>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</si>
  <si>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</si>
  <si>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</si>
  <si>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</si>
  <si>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</si>
  <si>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</si>
  <si>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</si>
  <si>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</si>
  <si>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</si>
  <si>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</si>
  <si>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</si>
  <si>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</si>
  <si>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</si>
  <si>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</si>
  <si>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</si>
  <si>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</si>
  <si>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</si>
  <si>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</si>
  <si>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</si>
  <si>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</si>
  <si>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</si>
  <si>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</si>
  <si>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</si>
  <si>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</si>
  <si>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</si>
  <si>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</si>
  <si>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</si>
  <si>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</si>
  <si>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</si>
  <si>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</si>
  <si>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</si>
  <si>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</si>
  <si>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</si>
  <si>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</si>
  <si>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</si>
  <si>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</si>
  <si>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</si>
  <si>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</si>
  <si>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</si>
  <si>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</si>
  <si>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</si>
  <si>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</si>
  <si>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</si>
  <si>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</si>
  <si>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</si>
  <si>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</si>
  <si>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</si>
  <si>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</si>
  <si>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</si>
  <si>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</si>
  <si>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</si>
  <si>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</si>
  <si>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</si>
  <si>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</si>
  <si>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</si>
  <si>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</si>
  <si>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</si>
  <si>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</si>
  <si>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</si>
  <si>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</si>
  <si>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</si>
  <si>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</si>
  <si>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</si>
  <si>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</si>
  <si>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</si>
  <si>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</si>
  <si>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</si>
  <si>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</si>
  <si>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</si>
  <si>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</si>
  <si>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</si>
  <si>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</si>
  <si>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</si>
  <si>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</si>
  <si>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</si>
  <si>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</si>
  <si>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</si>
  <si>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</si>
  <si>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</si>
  <si>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</si>
  <si>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</si>
  <si>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</si>
  <si>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</si>
  <si>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</si>
  <si>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</si>
  <si>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</si>
  <si>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</si>
  <si>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</si>
  <si>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</si>
  <si>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</si>
  <si>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</si>
  <si>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</si>
  <si>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</si>
  <si>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</si>
  <si>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</si>
  <si>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</si>
  <si>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</si>
  <si>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</si>
  <si>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</si>
  <si>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</si>
  <si>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</si>
  <si>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</si>
  <si>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</si>
  <si>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</si>
  <si>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</si>
  <si>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</si>
  <si>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</si>
  <si>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</si>
  <si>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</si>
  <si>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</si>
  <si>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</si>
  <si>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</si>
  <si>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</si>
  <si>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</si>
  <si>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</si>
  <si>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</si>
  <si>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</si>
  <si>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</si>
  <si>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</si>
  <si>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</si>
  <si>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</si>
  <si>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</si>
  <si>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</si>
  <si>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</si>
  <si>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</si>
  <si>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</si>
  <si>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</si>
  <si>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</si>
  <si>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</si>
  <si>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</si>
  <si>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</si>
  <si>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</si>
  <si>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</si>
  <si>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</si>
  <si>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</si>
  <si>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</si>
  <si>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</si>
  <si>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</si>
  <si>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</si>
  <si>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</si>
  <si>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</si>
  <si>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</si>
  <si>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</si>
  <si>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</si>
  <si>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</si>
  <si>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</si>
  <si>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</si>
  <si>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</si>
  <si>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</si>
  <si>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</si>
  <si>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</si>
  <si>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</si>
  <si>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</si>
  <si>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</si>
  <si>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</si>
  <si>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</si>
  <si>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</si>
  <si>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</si>
  <si>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</si>
  <si>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</si>
  <si>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</si>
  <si>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</si>
  <si>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</si>
  <si>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</si>
  <si>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</si>
  <si>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</si>
  <si>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</si>
  <si>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</si>
  <si>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</si>
  <si>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</si>
  <si>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</si>
  <si>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</si>
  <si>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</si>
  <si>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</si>
  <si>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</si>
  <si>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</si>
  <si>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</si>
  <si>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</si>
  <si>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</si>
  <si>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</si>
  <si>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</si>
  <si>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</si>
  <si>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</si>
  <si>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</si>
  <si>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</si>
  <si>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</si>
  <si>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</si>
  <si>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</si>
  <si>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</si>
  <si>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</si>
  <si>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</si>
  <si>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</si>
  <si>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</si>
  <si>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</si>
  <si>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</si>
  <si>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</si>
  <si>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</si>
  <si>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</si>
  <si>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</si>
  <si>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</si>
  <si>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</si>
  <si>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</si>
  <si>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</si>
  <si>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</si>
  <si>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</si>
  <si>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</si>
  <si>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</si>
  <si>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</si>
  <si>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</si>
  <si>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</si>
  <si>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</si>
  <si>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</si>
  <si>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</si>
  <si>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</si>
  <si>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</si>
  <si>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</si>
  <si>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</si>
  <si>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</si>
  <si>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</si>
  <si>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</si>
  <si>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</si>
  <si>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</si>
  <si>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</si>
  <si>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</si>
  <si>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</si>
  <si>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</si>
  <si>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</si>
  <si>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</si>
  <si>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</si>
  <si>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</si>
  <si>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</si>
  <si>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</si>
  <si>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</si>
  <si>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</si>
  <si>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</si>
  <si>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</si>
  <si>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</si>
  <si>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</si>
  <si>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</si>
  <si>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</si>
  <si>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</si>
  <si>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</si>
  <si>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</si>
  <si>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</si>
  <si>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</si>
  <si>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</si>
  <si>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</si>
  <si>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</si>
  <si>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</si>
  <si>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</si>
  <si>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</si>
  <si>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</si>
  <si>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</si>
  <si>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</si>
  <si>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</si>
  <si>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</si>
  <si>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</si>
  <si>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</si>
  <si>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</si>
  <si>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</si>
  <si>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</si>
  <si>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</si>
  <si>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</si>
  <si>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</si>
  <si>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</si>
  <si>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</si>
  <si>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</si>
  <si>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</si>
  <si>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</si>
  <si>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</si>
  <si>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</si>
  <si>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</si>
  <si>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</si>
  <si>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</si>
  <si>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</si>
  <si>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</si>
  <si>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</si>
  <si>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</si>
  <si>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</si>
  <si>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</si>
  <si>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</si>
  <si>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</si>
  <si>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</si>
  <si>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</si>
  <si>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</si>
  <si>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</si>
  <si>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</si>
  <si>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</si>
  <si>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</si>
  <si>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</si>
  <si>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</si>
  <si>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</si>
  <si>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</si>
  <si>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</si>
  <si>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</si>
  <si>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</si>
  <si>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</si>
  <si>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</si>
  <si>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</si>
  <si>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</si>
  <si>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</si>
  <si>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</si>
  <si>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</si>
  <si>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</si>
  <si>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</si>
  <si>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</si>
  <si>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</si>
  <si>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</si>
  <si>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</si>
  <si>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</si>
  <si>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</si>
  <si>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</si>
  <si>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</si>
  <si>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</si>
  <si>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</si>
  <si>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</si>
  <si>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</si>
  <si>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</si>
  <si>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</si>
  <si>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</si>
  <si>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</si>
  <si>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</si>
  <si>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</si>
  <si>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</si>
  <si>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</si>
  <si>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</si>
  <si>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</si>
  <si>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</si>
  <si>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</si>
  <si>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</si>
  <si>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</si>
  <si>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</si>
  <si>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</si>
  <si>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</si>
  <si>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</si>
  <si>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</si>
  <si>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</si>
  <si>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</si>
  <si>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</si>
  <si>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</si>
  <si>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</si>
  <si>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</si>
  <si>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</si>
  <si>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</si>
  <si>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</si>
  <si>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</si>
  <si>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</si>
  <si>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</si>
  <si>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</si>
  <si>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</si>
  <si>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</si>
  <si>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</si>
  <si>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</si>
  <si>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</si>
  <si>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</si>
  <si>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</si>
  <si>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</si>
  <si>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</si>
  <si>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</si>
  <si>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</si>
  <si>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</si>
  <si>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</si>
  <si>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</si>
  <si>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</si>
  <si>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</si>
  <si>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</si>
  <si>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</si>
  <si>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</si>
  <si>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</si>
  <si>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</si>
  <si>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</si>
  <si>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</si>
  <si>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</si>
  <si>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</si>
  <si>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</si>
  <si>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</si>
  <si>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</si>
  <si>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</si>
  <si>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</si>
  <si>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</si>
  <si>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</si>
  <si>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</si>
  <si>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</si>
  <si>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</si>
  <si>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</si>
  <si>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</si>
  <si>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</si>
  <si>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</si>
  <si>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</si>
  <si>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</si>
  <si>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</si>
  <si>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</si>
  <si>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</si>
  <si>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</si>
  <si>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</si>
  <si>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</si>
  <si>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</si>
  <si>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</si>
  <si>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</si>
  <si>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</si>
  <si>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</si>
  <si>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</si>
  <si>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</si>
  <si>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</si>
  <si>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</si>
  <si>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</si>
  <si>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</si>
  <si>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</si>
  <si>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</si>
  <si>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</si>
  <si>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</si>
  <si>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</si>
  <si>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</si>
  <si>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</si>
  <si>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</si>
  <si>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</si>
  <si>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</si>
  <si>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</si>
  <si>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</si>
  <si>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</si>
  <si>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</si>
  <si>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</si>
  <si>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</si>
  <si>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</si>
  <si>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</si>
  <si>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</si>
  <si>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</si>
  <si>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</si>
  <si>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</si>
  <si>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</si>
  <si>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</si>
  <si>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</si>
  <si>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</si>
  <si>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</si>
  <si>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</si>
  <si>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</si>
  <si>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</si>
  <si>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</si>
  <si>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</si>
  <si>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</si>
  <si>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</si>
  <si>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</si>
  <si>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</si>
  <si>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</si>
  <si>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</si>
  <si>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</si>
  <si>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</si>
  <si>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</si>
  <si>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</si>
  <si>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</si>
  <si>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</si>
  <si>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</si>
  <si>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</si>
  <si>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</si>
  <si>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</si>
  <si>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</si>
  <si>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</si>
  <si>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</si>
  <si>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</si>
  <si>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</si>
  <si>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</si>
  <si>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</si>
  <si>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</si>
  <si>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</si>
  <si>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</si>
  <si>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</si>
  <si>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</si>
  <si>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</si>
  <si>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</si>
  <si>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</si>
  <si>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</si>
  <si>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</si>
  <si>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</si>
  <si>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</si>
  <si>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</si>
  <si>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</si>
  <si>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</si>
  <si>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</si>
  <si>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</si>
  <si>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</si>
  <si>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</si>
  <si>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</si>
  <si>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</si>
  <si>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</si>
  <si>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</si>
  <si>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</si>
  <si>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</si>
  <si>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</si>
  <si>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</si>
  <si>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</si>
  <si>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</si>
  <si>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</si>
  <si>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</si>
  <si>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</si>
  <si>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</si>
  <si>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</si>
  <si>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</si>
  <si>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</si>
  <si>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</si>
  <si>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</si>
  <si>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</si>
  <si>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</si>
  <si>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</si>
  <si>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</si>
  <si>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</si>
  <si>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</si>
  <si>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</si>
  <si>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</si>
  <si>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</si>
  <si>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</si>
  <si>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</si>
  <si>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</si>
  <si>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</si>
  <si>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</si>
  <si>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</si>
  <si>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</si>
  <si>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</si>
  <si>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</si>
  <si>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</si>
  <si>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</si>
  <si>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</si>
  <si>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</si>
  <si>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</si>
  <si>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</si>
  <si>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</si>
  <si>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</si>
  <si>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</si>
  <si>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</si>
  <si>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</si>
  <si>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</si>
  <si>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</si>
  <si>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</si>
  <si>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</si>
  <si>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</si>
  <si>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</si>
  <si>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</si>
  <si>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</si>
  <si>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</si>
  <si>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</si>
  <si>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</si>
  <si>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</si>
  <si>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</si>
  <si>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</si>
  <si>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</si>
  <si>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</si>
  <si>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</si>
  <si>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</si>
  <si>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</si>
  <si>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</si>
  <si>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</si>
  <si>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</si>
  <si>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</si>
  <si>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</si>
  <si>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</si>
  <si>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</si>
  <si>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</si>
  <si>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</si>
  <si>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</si>
  <si>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</si>
  <si>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</si>
  <si>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</si>
  <si>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</si>
  <si>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</si>
  <si>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</si>
  <si>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</si>
  <si>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</si>
  <si>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</si>
  <si>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</si>
  <si>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</si>
  <si>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</si>
  <si>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</si>
  <si>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</si>
  <si>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</si>
  <si>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</si>
  <si>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</si>
  <si>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</si>
  <si>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</si>
  <si>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</si>
  <si>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</si>
  <si>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</si>
  <si>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</si>
  <si>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</si>
  <si>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</si>
  <si>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</si>
  <si>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</si>
  <si>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</si>
  <si>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</si>
  <si>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</si>
  <si>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</si>
  <si>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</si>
  <si>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</si>
  <si>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</si>
  <si>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</si>
  <si>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</si>
  <si>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</si>
  <si>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</si>
  <si>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</si>
  <si>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</si>
  <si>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</si>
  <si>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</si>
  <si>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</si>
  <si>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</si>
  <si>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</si>
  <si>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</si>
  <si>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</si>
  <si>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</si>
  <si>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</si>
  <si>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</si>
  <si>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</si>
  <si>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</si>
  <si>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</si>
  <si>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</si>
  <si>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</si>
  <si>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</si>
  <si>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</si>
  <si>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</si>
  <si>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</si>
  <si>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</si>
  <si>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</si>
  <si>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</si>
  <si>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</si>
  <si>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</si>
  <si>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</si>
  <si>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</si>
  <si>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</si>
  <si>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Mack &amp; Associates, P.C.</t>
  </si>
  <si>
    <t>Tawnya Mack, CPA</t>
  </si>
  <si>
    <t>116 E. Washington St., Suite One</t>
  </si>
  <si>
    <t>Morris</t>
  </si>
  <si>
    <t>IL</t>
  </si>
  <si>
    <t>815-942-3306</t>
  </si>
  <si>
    <t>815-942-9430</t>
  </si>
  <si>
    <t>066-005100</t>
  </si>
  <si>
    <t>tmack@mackcpas.com</t>
  </si>
  <si>
    <t>x</t>
  </si>
  <si>
    <t>Grundy</t>
  </si>
  <si>
    <t>Route 47, 4040 N. Division Street</t>
  </si>
  <si>
    <t>kperry@sd60c.org</t>
  </si>
  <si>
    <t>Kathy Perry</t>
  </si>
  <si>
    <t>815-942-2128</t>
  </si>
  <si>
    <t>815-942-0301</t>
  </si>
  <si>
    <t>PDF in Opinion Page with Signature</t>
  </si>
  <si>
    <t>2016 G.O. Bond, Series 2016 Building Bond</t>
  </si>
  <si>
    <t>District #54</t>
  </si>
  <si>
    <t>District #54; Morris HS #101</t>
  </si>
  <si>
    <t>Grundy County Special Education Cooperative</t>
  </si>
  <si>
    <t>District #54; Morris HS #101, Nettle Creek #24C</t>
  </si>
  <si>
    <t>See Below</t>
  </si>
  <si>
    <t>Morris HS #101</t>
  </si>
  <si>
    <t>District #54, Morris High School #101, Nettle Creek #24C, Premier Academy</t>
  </si>
  <si>
    <t xml:space="preserve">District #54 </t>
  </si>
  <si>
    <t>Transportation - District #54, Morris HS #101, Nettle Creek #24C, Seneca CCSD#170, Coal City CUSD No. 1, Grundy County Coop</t>
  </si>
  <si>
    <t>Page 10, Acct. #1790 - Other District Activity - Student Activity Fees</t>
  </si>
  <si>
    <t>Page 14, Acct. #4999 - Other Federal Revenues - E-Rate Reimbursements</t>
  </si>
  <si>
    <t>Page 21, Acct. #4190 - Other Payments to In-State Gov't Units - School Site Payments</t>
  </si>
  <si>
    <t>Page 10, Acct. #1719 - Admissions - Other - Tournament admissions</t>
  </si>
  <si>
    <t>Page 11, Acct #1999, Other Local Revenues - Ed - Employee Insurance Reimbursements, EDPA Income;</t>
  </si>
  <si>
    <t>Transportation - Misc. Reimb.; Tort - Ins. Reimb.; Transportation - Misc. Reimbursements; Capital Projects - Reimbursements</t>
  </si>
  <si>
    <t>Page 12, Acct. 3999 - Other Restricted State Revenues - Ed - Library Grant</t>
  </si>
  <si>
    <t>Page 16, Acct. 2900 - Other Support - Miscellaneous Expenses</t>
  </si>
  <si>
    <t>Page 10, Acct. #1829 - Textbook Income - Lost textbook payments</t>
  </si>
  <si>
    <t>O&amp;M - O&amp;M PLANT - PURCHASED SERVICES</t>
  </si>
  <si>
    <t>20-2540-300</t>
  </si>
  <si>
    <t>JOHANSEN &amp; ANDERSEN, INC.</t>
  </si>
  <si>
    <t>MORRIS ELEMENTARY DISTRICT 54</t>
  </si>
  <si>
    <t>SPECIALITY FLOORS, INC.</t>
  </si>
  <si>
    <t>AUTOMATED LOGIC CHICAGO</t>
  </si>
  <si>
    <t>ED - FOOD SERVICE - PURCHASED SERVICES</t>
  </si>
  <si>
    <t>10-2560-300</t>
  </si>
  <si>
    <t>SUMMIT FINANCIAL RESOURCE</t>
  </si>
  <si>
    <t>24032060C04</t>
  </si>
  <si>
    <t>Saratoga CCSD 60C</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</si>
</sst>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24">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3" fillId="0" borderId="0"/>
    <xf numFmtId="0" fontId="1" fillId="0" borderId="0"/>
    <xf numFmtId="0" fontId="9" fillId="0" borderId="0"/>
    <xf numFmtId="0" fontId="1" fillId="0" borderId="0"/>
    <xf numFmtId="0" fontId="1" fillId="0" borderId="0"/>
    <xf numFmtId="0" fontId="1" fillId="0" borderId="0"/>
  </cellStyleXfs>
  <cellXfs count="2492">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1" fillId="0" borderId="0" xfId="12" applyFont="1" applyBorder="1" applyAlignment="1" applyProtection="1">
      <alignment horizontal="left" vertical="center"/>
    </xf>
    <xf numFmtId="0" fontId="13" fillId="0" borderId="0" xfId="12" quotePrefix="1" applyNumberFormat="1" applyFont="1" applyBorder="1" applyAlignment="1" applyProtection="1">
      <alignment horizontal="left" vertical="center"/>
    </xf>
    <xf numFmtId="0" fontId="10" fillId="0" borderId="12" xfId="12" applyFont="1" applyBorder="1" applyAlignment="1" applyProtection="1">
      <alignmen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0" fillId="0" borderId="17"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1" fontId="9" fillId="0" borderId="0" xfId="0" applyNumberFormat="1" applyFont="1" applyFill="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5" xfId="12" applyNumberFormat="1" applyFont="1" applyBorder="1" applyAlignment="1" applyProtection="1">
      <alignment horizontal="right" vertical="center"/>
    </xf>
    <xf numFmtId="0" fontId="10" fillId="0" borderId="125" xfId="12" applyFont="1" applyBorder="1" applyAlignment="1" applyProtection="1">
      <alignment vertical="center"/>
    </xf>
    <xf numFmtId="0" fontId="13" fillId="0" borderId="128" xfId="12" applyFont="1" applyBorder="1" applyAlignment="1" applyProtection="1">
      <alignment vertical="center"/>
    </xf>
    <xf numFmtId="0" fontId="13" fillId="0" borderId="126" xfId="12" applyFont="1" applyBorder="1" applyAlignment="1" applyProtection="1">
      <alignment vertical="center"/>
    </xf>
    <xf numFmtId="1" fontId="9" fillId="0" borderId="0" xfId="0" applyNumberFormat="1" applyFont="1" applyAlignment="1">
      <alignment horizontal="center" vertical="center"/>
    </xf>
    <xf numFmtId="0" fontId="10" fillId="0" borderId="135"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21" xfId="0" applyFont="1" applyFill="1" applyBorder="1" applyAlignment="1" applyProtection="1">
      <alignment horizontal="left" vertical="center"/>
    </xf>
    <xf numFmtId="164" fontId="53" fillId="17" borderId="121" xfId="0" applyNumberFormat="1" applyFont="1" applyFill="1" applyBorder="1" applyAlignment="1" applyProtection="1">
      <alignment horizontal="center" vertical="center"/>
    </xf>
    <xf numFmtId="164" fontId="63" fillId="17" borderId="121" xfId="0" applyNumberFormat="1" applyFont="1" applyFill="1" applyBorder="1" applyAlignment="1" applyProtection="1">
      <alignment vertical="center"/>
    </xf>
    <xf numFmtId="0" fontId="76" fillId="10" borderId="122"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77" fillId="11" borderId="103" xfId="0" applyFont="1" applyFill="1" applyBorder="1" applyAlignment="1">
      <alignment vertical="center"/>
    </xf>
    <xf numFmtId="164" fontId="53" fillId="13" borderId="117"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56" fillId="13" borderId="103" xfId="0" applyFont="1" applyFill="1" applyBorder="1" applyAlignment="1" applyProtection="1">
      <alignment vertical="center"/>
    </xf>
    <xf numFmtId="38" fontId="48" fillId="11" borderId="120" xfId="0" applyNumberFormat="1" applyFont="1" applyFill="1" applyBorder="1" applyAlignment="1" applyProtection="1">
      <alignment horizontal="right"/>
      <protection locked="0"/>
    </xf>
    <xf numFmtId="38" fontId="48" fillId="11" borderId="103" xfId="0" applyNumberFormat="1" applyFont="1" applyFill="1" applyBorder="1" applyAlignment="1" applyProtection="1">
      <alignment horizontal="right"/>
      <protection locked="0"/>
    </xf>
    <xf numFmtId="38" fontId="48" fillId="11" borderId="110" xfId="0" applyNumberFormat="1" applyFont="1" applyFill="1" applyBorder="1" applyAlignment="1" applyProtection="1">
      <alignment horizontal="right"/>
      <protection locked="0"/>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61" fillId="13" borderId="117" xfId="0" applyFont="1" applyFill="1" applyBorder="1" applyAlignment="1" applyProtection="1">
      <alignment horizontal="left" vertical="center"/>
    </xf>
    <xf numFmtId="164" fontId="53" fillId="13" borderId="110" xfId="0" applyNumberFormat="1" applyFont="1" applyFill="1" applyBorder="1" applyAlignment="1" applyProtection="1">
      <alignment horizontal="center" vertical="center"/>
    </xf>
    <xf numFmtId="164" fontId="61" fillId="13" borderId="110" xfId="0" applyNumberFormat="1" applyFont="1" applyFill="1" applyBorder="1" applyAlignment="1" applyProtection="1">
      <alignment vertical="center"/>
    </xf>
    <xf numFmtId="0" fontId="77" fillId="11" borderId="103" xfId="0" applyFont="1" applyFill="1" applyBorder="1" applyAlignment="1">
      <alignment horizontal="left" vertical="center"/>
    </xf>
    <xf numFmtId="0" fontId="53" fillId="13" borderId="118" xfId="0" applyFont="1" applyFill="1" applyBorder="1" applyAlignment="1" applyProtection="1">
      <alignment horizontal="center" vertical="center"/>
    </xf>
    <xf numFmtId="164" fontId="53" fillId="13" borderId="119" xfId="0" applyNumberFormat="1" applyFont="1" applyFill="1" applyBorder="1" applyAlignment="1" applyProtection="1">
      <alignment horizontal="center" vertical="center"/>
    </xf>
    <xf numFmtId="164" fontId="63" fillId="13" borderId="119" xfId="0" applyNumberFormat="1" applyFont="1" applyFill="1" applyBorder="1" applyAlignment="1" applyProtection="1">
      <alignment vertical="center"/>
    </xf>
    <xf numFmtId="38" fontId="48" fillId="11" borderId="110" xfId="0" applyNumberFormat="1" applyFont="1" applyFill="1" applyBorder="1" applyAlignment="1">
      <alignment horizontal="right"/>
    </xf>
    <xf numFmtId="0" fontId="76" fillId="10" borderId="104" xfId="0" applyFont="1" applyFill="1" applyBorder="1" applyAlignment="1">
      <alignment horizontal="left" vertical="center"/>
    </xf>
    <xf numFmtId="38" fontId="48" fillId="10" borderId="104" xfId="0" applyNumberFormat="1" applyFont="1" applyFill="1" applyBorder="1" applyAlignment="1">
      <alignment horizontal="right"/>
    </xf>
    <xf numFmtId="38" fontId="48" fillId="10" borderId="0" xfId="0" applyNumberFormat="1" applyFont="1" applyFill="1" applyBorder="1" applyAlignment="1" applyProtection="1">
      <alignment horizontal="right"/>
      <protection locked="0"/>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38" fontId="56" fillId="0" borderId="2" xfId="0" applyNumberFormat="1" applyFont="1" applyBorder="1" applyAlignment="1" applyProtection="1">
      <alignment vertical="center"/>
      <protection locked="0"/>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0" fontId="56" fillId="0" borderId="0" xfId="5" applyNumberFormat="1"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5" fontId="61" fillId="0" borderId="0" xfId="0" applyNumberFormat="1" applyFont="1" applyFill="1" applyBorder="1" applyAlignment="1" applyProtection="1">
      <alignment horizontal="right"/>
    </xf>
    <xf numFmtId="173" fontId="61" fillId="0" borderId="0" xfId="0" applyNumberFormat="1" applyFont="1" applyBorder="1" applyProtection="1"/>
    <xf numFmtId="0" fontId="61" fillId="0" borderId="0" xfId="5" applyNumberFormat="1" applyFont="1" applyBorder="1" applyAlignment="1" applyProtection="1">
      <alignment horizontal="right"/>
    </xf>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2" fontId="61" fillId="0" borderId="0" xfId="0" applyNumberFormat="1"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5" quotePrefix="1" applyNumberFormat="1" applyFont="1" applyBorder="1" applyAlignment="1" applyProtection="1">
      <alignment horizontal="right"/>
    </xf>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40" fontId="61" fillId="0" borderId="0" xfId="0" applyNumberFormat="1" applyFont="1" applyFill="1" applyBorder="1" applyAlignment="1" applyProtection="1">
      <alignment horizontal="right"/>
    </xf>
    <xf numFmtId="1" fontId="61" fillId="0" borderId="0" xfId="0" applyNumberFormat="1" applyFont="1" applyBorder="1" applyProtection="1"/>
    <xf numFmtId="39" fontId="61" fillId="0" borderId="0" xfId="0" applyNumberFormat="1" applyFont="1" applyBorder="1" applyProtection="1"/>
    <xf numFmtId="1" fontId="56" fillId="0" borderId="0" xfId="5" applyNumberFormat="1" applyFont="1" applyBorder="1" applyAlignment="1" applyProtection="1">
      <alignment horizontal="right"/>
    </xf>
    <xf numFmtId="40" fontId="61" fillId="0" borderId="0" xfId="0" applyNumberFormat="1" applyFont="1" applyBorder="1" applyAlignment="1" applyProtection="1">
      <alignment horizontal="right" vertical="center"/>
    </xf>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2" fontId="61" fillId="0" borderId="0" xfId="0" applyNumberFormat="1" applyFont="1" applyBorder="1" applyAlignment="1" applyProtection="1">
      <alignment horizontal="right" vertical="center"/>
    </xf>
    <xf numFmtId="40" fontId="61" fillId="0" borderId="0" xfId="0" applyNumberFormat="1" applyFont="1" applyFill="1" applyBorder="1" applyAlignment="1" applyProtection="1">
      <alignment horizontal="right" vertical="center"/>
    </xf>
    <xf numFmtId="49" fontId="61" fillId="0" borderId="0" xfId="0" applyNumberFormat="1" applyFont="1" applyBorder="1" applyProtection="1"/>
    <xf numFmtId="0" fontId="61" fillId="0" borderId="0" xfId="0" applyFont="1" applyBorder="1" applyAlignment="1" applyProtection="1">
      <alignment horizontal="center"/>
    </xf>
    <xf numFmtId="172" fontId="61" fillId="0" borderId="0" xfId="0" applyNumberFormat="1" applyFont="1" applyBorder="1" applyAlignment="1" applyProtection="1">
      <alignment horizontal="right"/>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2" fontId="64" fillId="0" borderId="0" xfId="0" applyNumberFormat="1"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0" fontId="65" fillId="0" borderId="0" xfId="5" applyNumberFormat="1" applyFont="1" applyFill="1" applyBorder="1" applyAlignment="1" applyProtection="1">
      <alignment horizontal="right"/>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38" fontId="54" fillId="0" borderId="14" xfId="0" applyNumberFormat="1" applyFont="1" applyBorder="1" applyAlignment="1" applyProtection="1">
      <alignment horizontal="right"/>
      <protection locked="0"/>
    </xf>
    <xf numFmtId="38" fontId="54" fillId="0" borderId="2" xfId="0" applyNumberFormat="1" applyFont="1" applyBorder="1" applyAlignment="1" applyProtection="1">
      <alignment horizontal="right"/>
      <protection locked="0"/>
    </xf>
    <xf numFmtId="38" fontId="54" fillId="0" borderId="2" xfId="0" applyNumberFormat="1" applyFont="1" applyFill="1" applyBorder="1" applyAlignment="1" applyProtection="1">
      <alignment horizontal="right"/>
      <protection locked="0"/>
    </xf>
    <xf numFmtId="38" fontId="54" fillId="3" borderId="26" xfId="0" applyNumberFormat="1" applyFont="1" applyFill="1" applyBorder="1" applyAlignment="1" applyProtection="1">
      <alignment horizontal="right"/>
    </xf>
    <xf numFmtId="38" fontId="54" fillId="3" borderId="18" xfId="0" applyNumberFormat="1" applyFont="1" applyFill="1" applyBorder="1" applyAlignment="1" applyProtection="1">
      <alignment horizontal="right"/>
    </xf>
    <xf numFmtId="0" fontId="61" fillId="0" borderId="2" xfId="0" applyFont="1" applyBorder="1" applyAlignment="1" applyProtection="1">
      <alignment horizontal="center" vertical="center"/>
    </xf>
    <xf numFmtId="38" fontId="54" fillId="0" borderId="3" xfId="0" applyNumberFormat="1" applyFont="1" applyBorder="1" applyAlignment="1" applyProtection="1">
      <alignment horizontal="right"/>
      <protection locked="0"/>
    </xf>
    <xf numFmtId="38" fontId="54" fillId="0" borderId="0" xfId="0" applyNumberFormat="1" applyFont="1" applyBorder="1" applyAlignment="1" applyProtection="1">
      <alignment horizontal="right"/>
      <protection locked="0"/>
    </xf>
    <xf numFmtId="0" fontId="61" fillId="0" borderId="14" xfId="0" applyFont="1" applyBorder="1" applyAlignment="1" applyProtection="1">
      <alignment horizontal="left" vertical="center" indent="1"/>
    </xf>
    <xf numFmtId="38" fontId="54" fillId="0" borderId="3" xfId="0" applyNumberFormat="1" applyFont="1" applyFill="1" applyBorder="1" applyAlignment="1" applyProtection="1">
      <alignment horizontal="right"/>
      <protection locked="0"/>
    </xf>
    <xf numFmtId="38" fontId="54" fillId="6" borderId="3" xfId="0" applyNumberFormat="1" applyFont="1" applyFill="1" applyBorder="1" applyAlignment="1" applyProtection="1">
      <alignment horizontal="right"/>
    </xf>
    <xf numFmtId="38" fontId="54" fillId="0" borderId="14" xfId="0" applyNumberFormat="1" applyFont="1" applyFill="1" applyBorder="1" applyAlignment="1" applyProtection="1">
      <alignment horizontal="right"/>
      <protection locked="0"/>
    </xf>
    <xf numFmtId="38" fontId="54" fillId="6" borderId="26" xfId="0" applyNumberFormat="1" applyFont="1" applyFill="1" applyBorder="1" applyAlignment="1" applyProtection="1">
      <alignment horizontal="right"/>
    </xf>
    <xf numFmtId="38" fontId="54" fillId="0" borderId="4" xfId="0" applyNumberFormat="1" applyFont="1" applyFill="1" applyBorder="1" applyAlignment="1" applyProtection="1">
      <alignment horizontal="right"/>
      <protection locked="0"/>
    </xf>
    <xf numFmtId="38" fontId="54" fillId="0" borderId="26" xfId="0" applyNumberFormat="1" applyFont="1" applyFill="1" applyBorder="1" applyAlignment="1" applyProtection="1">
      <alignment horizontal="right"/>
      <protection locked="0"/>
    </xf>
    <xf numFmtId="38" fontId="54" fillId="6" borderId="4" xfId="0" applyNumberFormat="1" applyFont="1" applyFill="1" applyBorder="1" applyAlignment="1" applyProtection="1">
      <alignment horizontal="right"/>
    </xf>
    <xf numFmtId="38" fontId="54" fillId="0" borderId="4" xfId="0" applyNumberFormat="1" applyFont="1" applyBorder="1" applyAlignment="1" applyProtection="1">
      <alignment horizontal="right"/>
      <protection locked="0"/>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38" fontId="54" fillId="6" borderId="18" xfId="0" applyNumberFormat="1" applyFont="1" applyFill="1" applyBorder="1" applyAlignment="1" applyProtection="1">
      <alignment horizontal="right"/>
    </xf>
    <xf numFmtId="0" fontId="56" fillId="0" borderId="0" xfId="0" applyFont="1" applyFill="1" applyAlignment="1" applyProtection="1">
      <alignment vertical="center"/>
    </xf>
    <xf numFmtId="38" fontId="54" fillId="6" borderId="0"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xf>
    <xf numFmtId="38" fontId="54" fillId="0" borderId="12" xfId="0" applyNumberFormat="1" applyFont="1" applyFill="1" applyBorder="1" applyAlignment="1" applyProtection="1">
      <alignment horizontal="right"/>
      <protection locked="0"/>
    </xf>
    <xf numFmtId="38" fontId="54" fillId="0" borderId="13" xfId="0" applyNumberFormat="1" applyFont="1" applyFill="1" applyBorder="1" applyAlignment="1" applyProtection="1">
      <alignment horizontal="right"/>
      <protection locked="0"/>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38" fontId="54" fillId="0" borderId="26" xfId="0" applyNumberFormat="1" applyFont="1" applyBorder="1" applyAlignment="1" applyProtection="1">
      <alignment horizontal="right"/>
      <protection locked="0"/>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38" fontId="54" fillId="0" borderId="4" xfId="0" applyNumberFormat="1" applyFont="1" applyBorder="1" applyAlignment="1" applyProtection="1">
      <alignment horizontal="right"/>
    </xf>
    <xf numFmtId="0" fontId="61" fillId="0" borderId="2" xfId="0" applyFont="1" applyFill="1" applyBorder="1" applyAlignment="1" applyProtection="1">
      <alignment horizontal="left" vertical="center" indent="1"/>
    </xf>
    <xf numFmtId="38" fontId="56" fillId="6" borderId="26" xfId="0" applyNumberFormat="1" applyFont="1" applyFill="1" applyBorder="1" applyAlignment="1">
      <alignment horizontal="right"/>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38" fontId="54" fillId="6" borderId="3" xfId="0" applyNumberFormat="1" applyFont="1" applyFill="1" applyBorder="1" applyAlignment="1">
      <alignment horizontal="right"/>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8" fontId="54" fillId="3" borderId="21" xfId="0" applyNumberFormat="1" applyFont="1" applyFill="1" applyBorder="1" applyAlignment="1" applyProtection="1">
      <alignment horizontal="right"/>
    </xf>
    <xf numFmtId="38" fontId="54" fillId="3" borderId="0" xfId="0" applyNumberFormat="1" applyFont="1" applyFill="1" applyBorder="1" applyAlignment="1" applyProtection="1">
      <alignment horizontal="right"/>
    </xf>
    <xf numFmtId="38" fontId="54" fillId="3" borderId="3" xfId="0" applyNumberFormat="1" applyFont="1" applyFill="1" applyBorder="1" applyAlignment="1" applyProtection="1">
      <alignment horizontal="right"/>
    </xf>
    <xf numFmtId="38" fontId="54" fillId="3" borderId="13" xfId="0" applyNumberFormat="1" applyFont="1" applyFill="1" applyBorder="1" applyAlignment="1" applyProtection="1">
      <alignment horizontal="right"/>
    </xf>
    <xf numFmtId="38" fontId="54" fillId="3" borderId="2" xfId="0" applyNumberFormat="1" applyFont="1" applyFill="1" applyBorder="1" applyAlignment="1" applyProtection="1">
      <alignment horizontal="right"/>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38" fontId="54" fillId="0" borderId="19" xfId="0" applyNumberFormat="1" applyFont="1" applyBorder="1" applyAlignment="1" applyProtection="1">
      <alignment horizontal="right"/>
      <protection locked="0"/>
    </xf>
    <xf numFmtId="38" fontId="54" fillId="0" borderId="11" xfId="0" applyNumberFormat="1" applyFont="1" applyBorder="1" applyAlignment="1" applyProtection="1">
      <alignment horizontal="right"/>
      <protection locked="0"/>
    </xf>
    <xf numFmtId="0" fontId="53" fillId="0" borderId="0" xfId="0" applyFont="1" applyAlignment="1" applyProtection="1">
      <alignment vertical="center"/>
    </xf>
    <xf numFmtId="0" fontId="64" fillId="0" borderId="0" xfId="0" applyFont="1" applyAlignment="1" applyProtection="1">
      <alignment vertical="center"/>
    </xf>
    <xf numFmtId="38" fontId="54" fillId="3" borderId="11" xfId="0" applyNumberFormat="1" applyFont="1" applyFill="1" applyBorder="1" applyAlignment="1" applyProtection="1">
      <alignment horizontal="right"/>
    </xf>
    <xf numFmtId="38" fontId="54" fillId="3" borderId="4" xfId="0" applyNumberFormat="1" applyFont="1" applyFill="1" applyBorder="1" applyAlignment="1" applyProtection="1">
      <alignment horizontal="right"/>
    </xf>
    <xf numFmtId="38" fontId="54" fillId="3" borderId="19" xfId="0" applyNumberFormat="1" applyFont="1" applyFill="1" applyBorder="1" applyAlignment="1" applyProtection="1">
      <alignment horizontal="right"/>
    </xf>
    <xf numFmtId="38" fontId="54" fillId="3" borderId="14" xfId="0" applyNumberFormat="1" applyFont="1" applyFill="1" applyBorder="1" applyAlignment="1" applyProtection="1">
      <alignment horizontal="right"/>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38" fontId="54" fillId="6" borderId="2" xfId="0" applyNumberFormat="1" applyFont="1" applyFill="1" applyBorder="1" applyAlignment="1" applyProtection="1">
      <alignment horizontal="right"/>
    </xf>
    <xf numFmtId="0" fontId="61" fillId="0" borderId="2" xfId="0" applyFont="1" applyFill="1" applyBorder="1" applyAlignment="1" applyProtection="1">
      <alignment horizontal="center" vertical="top"/>
    </xf>
    <xf numFmtId="38" fontId="54" fillId="6" borderId="28" xfId="0" applyNumberFormat="1" applyFont="1" applyFill="1" applyBorder="1" applyAlignment="1" applyProtection="1">
      <alignment horizontal="right"/>
    </xf>
    <xf numFmtId="0" fontId="54" fillId="0" borderId="0" xfId="0" applyFont="1" applyFill="1" applyBorder="1" applyAlignment="1" applyProtection="1">
      <alignment vertical="center"/>
    </xf>
    <xf numFmtId="38" fontId="54" fillId="0" borderId="27" xfId="0" applyNumberFormat="1" applyFont="1" applyFill="1" applyBorder="1" applyAlignment="1" applyProtection="1">
      <alignment horizontal="right"/>
      <protection locked="0"/>
    </xf>
    <xf numFmtId="38" fontId="54" fillId="0" borderId="33" xfId="0" applyNumberFormat="1" applyFont="1" applyFill="1" applyBorder="1" applyAlignment="1" applyProtection="1">
      <alignment horizontal="right"/>
      <protection locked="0"/>
    </xf>
    <xf numFmtId="38" fontId="54" fillId="0" borderId="32" xfId="0" applyNumberFormat="1" applyFont="1" applyFill="1" applyBorder="1" applyAlignment="1" applyProtection="1">
      <alignment horizontal="right"/>
      <protection locked="0"/>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38" fontId="54" fillId="0" borderId="29" xfId="0" applyNumberFormat="1" applyFont="1" applyFill="1" applyBorder="1" applyAlignment="1" applyProtection="1">
      <alignment horizontal="right"/>
      <protection locked="0"/>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38" fontId="54" fillId="0" borderId="0" xfId="0" applyNumberFormat="1" applyFont="1" applyAlignment="1" applyProtection="1">
      <alignment horizontal="right"/>
      <protection locked="0"/>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4" fillId="0" borderId="13" xfId="0" applyNumberFormat="1" applyFont="1" applyBorder="1" applyAlignment="1" applyProtection="1">
      <alignment horizontal="right"/>
      <protection locked="0"/>
    </xf>
    <xf numFmtId="38" fontId="56" fillId="0" borderId="0" xfId="0" applyNumberFormat="1" applyFont="1" applyProtection="1"/>
    <xf numFmtId="38" fontId="54" fillId="3" borderId="17" xfId="0" applyNumberFormat="1" applyFont="1" applyFill="1" applyBorder="1" applyAlignment="1" applyProtection="1">
      <alignment horizontal="right"/>
    </xf>
    <xf numFmtId="37" fontId="54" fillId="3" borderId="17" xfId="0" applyNumberFormat="1" applyFont="1" applyFill="1" applyBorder="1" applyAlignment="1" applyProtection="1">
      <alignment horizontal="right"/>
    </xf>
    <xf numFmtId="37" fontId="54" fillId="3" borderId="26" xfId="0" applyNumberFormat="1" applyFont="1" applyFill="1" applyBorder="1" applyAlignment="1" applyProtection="1">
      <alignment horizontal="right"/>
    </xf>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38" fontId="54" fillId="0" borderId="19" xfId="0" applyNumberFormat="1" applyFont="1" applyFill="1" applyBorder="1" applyAlignment="1" applyProtection="1">
      <alignment horizontal="right"/>
      <protection locked="0"/>
    </xf>
    <xf numFmtId="38" fontId="54" fillId="3" borderId="0" xfId="0" applyNumberFormat="1" applyFont="1" applyFill="1" applyAlignment="1" applyProtection="1">
      <alignment horizontal="right"/>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38" fontId="54" fillId="3" borderId="38" xfId="0" applyNumberFormat="1" applyFont="1" applyFill="1" applyBorder="1" applyAlignment="1" applyProtection="1">
      <alignment horizontal="right"/>
    </xf>
    <xf numFmtId="38" fontId="54" fillId="3" borderId="28" xfId="0" applyNumberFormat="1" applyFont="1" applyFill="1" applyBorder="1" applyAlignment="1" applyProtection="1">
      <alignment horizontal="right"/>
    </xf>
    <xf numFmtId="1" fontId="61" fillId="0" borderId="4" xfId="0" applyNumberFormat="1" applyFont="1" applyBorder="1" applyAlignment="1" applyProtection="1">
      <alignment horizontal="center" vertical="center"/>
    </xf>
    <xf numFmtId="1" fontId="61" fillId="0" borderId="127" xfId="0" applyNumberFormat="1" applyFont="1" applyBorder="1" applyAlignment="1" applyProtection="1">
      <alignment horizontal="center" vertical="center"/>
    </xf>
    <xf numFmtId="38" fontId="54" fillId="0" borderId="127" xfId="0" applyNumberFormat="1" applyFont="1" applyBorder="1" applyAlignment="1" applyProtection="1">
      <alignment horizontal="right"/>
      <protection locked="0"/>
    </xf>
    <xf numFmtId="38" fontId="54" fillId="3" borderId="127" xfId="0" applyNumberFormat="1" applyFont="1" applyFill="1" applyBorder="1" applyAlignment="1" applyProtection="1">
      <alignment horizontal="right"/>
    </xf>
    <xf numFmtId="38" fontId="54" fillId="3" borderId="29" xfId="0" applyNumberFormat="1" applyFont="1" applyFill="1" applyBorder="1" applyAlignment="1" applyProtection="1">
      <alignment horizontal="right"/>
    </xf>
    <xf numFmtId="1" fontId="61" fillId="0" borderId="32" xfId="0" applyNumberFormat="1" applyFont="1" applyBorder="1" applyAlignment="1" applyProtection="1">
      <alignment horizontal="center" vertical="center"/>
    </xf>
    <xf numFmtId="38" fontId="54" fillId="0" borderId="32" xfId="0" applyNumberFormat="1" applyFont="1" applyBorder="1" applyAlignment="1" applyProtection="1">
      <alignment horizontal="right"/>
      <protection locked="0"/>
    </xf>
    <xf numFmtId="1" fontId="61" fillId="0" borderId="33" xfId="0" applyNumberFormat="1" applyFont="1" applyBorder="1" applyAlignment="1" applyProtection="1">
      <alignment horizontal="center" vertical="center"/>
    </xf>
    <xf numFmtId="38" fontId="54" fillId="0" borderId="37" xfId="0" applyNumberFormat="1" applyFont="1" applyBorder="1" applyAlignment="1" applyProtection="1">
      <alignment horizontal="right"/>
      <protection locked="0"/>
    </xf>
    <xf numFmtId="38" fontId="54" fillId="0" borderId="33" xfId="0" applyNumberFormat="1" applyFont="1" applyBorder="1" applyAlignment="1" applyProtection="1">
      <alignment horizontal="right"/>
      <protection locked="0"/>
    </xf>
    <xf numFmtId="38" fontId="54" fillId="0" borderId="36" xfId="0" applyNumberFormat="1" applyFont="1" applyFill="1" applyBorder="1" applyAlignment="1" applyProtection="1">
      <alignment horizontal="right"/>
      <protection locked="0"/>
    </xf>
    <xf numFmtId="38" fontId="54" fillId="0" borderId="27" xfId="0" applyNumberFormat="1" applyFont="1" applyBorder="1" applyAlignment="1" applyProtection="1">
      <alignment horizontal="right"/>
      <protection locked="0"/>
    </xf>
    <xf numFmtId="38" fontId="54" fillId="0" borderId="55" xfId="0" applyNumberFormat="1" applyFont="1" applyBorder="1" applyAlignment="1" applyProtection="1">
      <alignment horizontal="right" vertical="center"/>
      <protection locked="0"/>
    </xf>
    <xf numFmtId="38" fontId="54" fillId="0" borderId="32" xfId="0" applyNumberFormat="1" applyFont="1" applyBorder="1" applyAlignment="1" applyProtection="1">
      <alignment horizontal="right" vertical="center"/>
      <protection locked="0"/>
    </xf>
    <xf numFmtId="38" fontId="54" fillId="0" borderId="27" xfId="0" applyNumberFormat="1" applyFont="1" applyFill="1" applyBorder="1" applyAlignment="1" applyProtection="1">
      <alignment horizontal="right" vertical="center"/>
      <protection locked="0"/>
    </xf>
    <xf numFmtId="38" fontId="54" fillId="0" borderId="32" xfId="0" applyNumberFormat="1" applyFont="1" applyFill="1" applyBorder="1" applyAlignment="1" applyProtection="1">
      <alignment horizontal="right" vertical="center"/>
      <protection locked="0"/>
    </xf>
    <xf numFmtId="0" fontId="61" fillId="0" borderId="2" xfId="0" applyFont="1" applyBorder="1" applyAlignment="1" applyProtection="1">
      <alignment horizontal="center" vertical="top" wrapText="1"/>
    </xf>
    <xf numFmtId="38" fontId="54" fillId="3" borderId="39" xfId="0" applyNumberFormat="1" applyFont="1" applyFill="1" applyBorder="1" applyAlignment="1" applyProtection="1">
      <alignment horizontal="right"/>
    </xf>
    <xf numFmtId="38" fontId="54" fillId="0" borderId="2" xfId="0" applyNumberFormat="1" applyFont="1" applyFill="1" applyBorder="1" applyAlignment="1" applyProtection="1">
      <alignment horizontal="right" vertical="center"/>
      <protection locked="0"/>
    </xf>
    <xf numFmtId="38" fontId="54" fillId="6" borderId="2" xfId="0" applyNumberFormat="1" applyFont="1" applyFill="1" applyBorder="1" applyAlignment="1" applyProtection="1">
      <alignment horizontal="right" vertical="center"/>
    </xf>
    <xf numFmtId="0" fontId="61" fillId="0" borderId="26" xfId="0" applyFont="1" applyBorder="1" applyAlignment="1" applyProtection="1">
      <alignment horizontal="center" vertical="center"/>
    </xf>
    <xf numFmtId="0" fontId="61" fillId="0" borderId="130" xfId="0" applyFont="1" applyFill="1" applyBorder="1" applyAlignment="1" applyProtection="1">
      <alignment horizontal="center" vertical="center"/>
    </xf>
    <xf numFmtId="38" fontId="54" fillId="0" borderId="124" xfId="0" applyNumberFormat="1" applyFont="1" applyFill="1" applyBorder="1" applyAlignment="1" applyProtection="1">
      <alignment horizontal="right"/>
      <protection locked="0"/>
    </xf>
    <xf numFmtId="0" fontId="61" fillId="0" borderId="100" xfId="0" applyFont="1" applyFill="1" applyBorder="1" applyAlignment="1" applyProtection="1">
      <alignment horizontal="center" vertical="center"/>
    </xf>
    <xf numFmtId="38" fontId="54" fillId="0" borderId="123" xfId="0" applyNumberFormat="1" applyFont="1" applyFill="1" applyBorder="1" applyAlignment="1" applyProtection="1">
      <alignment horizontal="right"/>
      <protection locked="0"/>
    </xf>
    <xf numFmtId="38" fontId="54" fillId="0" borderId="111" xfId="0" applyNumberFormat="1" applyFont="1" applyFill="1" applyBorder="1" applyAlignment="1" applyProtection="1">
      <alignment horizontal="right"/>
      <protection locked="0"/>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38" fontId="54" fillId="3" borderId="31" xfId="0" applyNumberFormat="1" applyFont="1" applyFill="1" applyBorder="1" applyAlignment="1" applyProtection="1">
      <alignment horizontal="right" vertical="center"/>
    </xf>
    <xf numFmtId="38" fontId="54" fillId="3" borderId="28" xfId="0" applyNumberFormat="1" applyFont="1" applyFill="1" applyBorder="1" applyAlignment="1" applyProtection="1">
      <alignment horizontal="right" vertical="center"/>
    </xf>
    <xf numFmtId="38" fontId="54" fillId="3" borderId="0" xfId="0" applyNumberFormat="1" applyFont="1" applyFill="1" applyAlignment="1" applyProtection="1">
      <alignment horizontal="right" vertical="center"/>
    </xf>
    <xf numFmtId="38" fontId="54" fillId="3" borderId="26" xfId="0" applyNumberFormat="1" applyFont="1" applyFill="1" applyBorder="1" applyAlignment="1" applyProtection="1">
      <alignment horizontal="right" vertical="center"/>
    </xf>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3" fontId="54" fillId="3" borderId="127" xfId="0" applyNumberFormat="1" applyFont="1" applyFill="1" applyBorder="1" applyAlignment="1">
      <alignment horizontal="center"/>
    </xf>
    <xf numFmtId="3" fontId="54" fillId="3" borderId="26" xfId="0" applyNumberFormat="1" applyFont="1" applyFill="1" applyBorder="1" applyAlignment="1">
      <alignment horizontal="center"/>
    </xf>
    <xf numFmtId="3" fontId="54" fillId="3" borderId="127" xfId="0" applyNumberFormat="1" applyFont="1" applyFill="1" applyBorder="1" applyAlignment="1">
      <alignment horizontal="right"/>
    </xf>
    <xf numFmtId="0" fontId="61" fillId="0" borderId="0" xfId="0" applyFont="1" applyBorder="1" applyAlignment="1"/>
    <xf numFmtId="49" fontId="61" fillId="0" borderId="2" xfId="0" applyNumberFormat="1" applyFont="1" applyBorder="1" applyAlignment="1">
      <alignment horizontal="center" vertical="center"/>
    </xf>
    <xf numFmtId="38" fontId="54" fillId="2" borderId="2" xfId="0" applyNumberFormat="1" applyFont="1" applyFill="1" applyBorder="1" applyAlignment="1">
      <alignment horizontal="right"/>
    </xf>
    <xf numFmtId="38" fontId="54" fillId="3" borderId="26" xfId="0" applyNumberFormat="1" applyFont="1" applyFill="1" applyBorder="1" applyAlignment="1">
      <alignment horizontal="right"/>
    </xf>
    <xf numFmtId="49" fontId="63" fillId="2" borderId="27" xfId="0" applyNumberFormat="1" applyFont="1" applyFill="1" applyBorder="1" applyAlignment="1">
      <alignment horizontal="center" vertical="center"/>
    </xf>
    <xf numFmtId="38" fontId="54" fillId="3" borderId="28" xfId="0" applyNumberFormat="1" applyFont="1" applyFill="1" applyBorder="1" applyAlignment="1">
      <alignment horizontal="right"/>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38" fontId="54" fillId="3" borderId="4" xfId="0" applyNumberFormat="1" applyFont="1" applyFill="1" applyBorder="1" applyAlignment="1">
      <alignment horizontal="right"/>
    </xf>
    <xf numFmtId="164" fontId="63" fillId="3" borderId="125"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38" fontId="54" fillId="3" borderId="29" xfId="0" applyNumberFormat="1" applyFont="1" applyFill="1" applyBorder="1" applyAlignment="1">
      <alignment horizontal="right"/>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38" fontId="54" fillId="3" borderId="31" xfId="0" applyNumberFormat="1" applyFont="1" applyFill="1" applyBorder="1" applyAlignment="1">
      <alignment horizontal="right"/>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38" fontId="54" fillId="5" borderId="4" xfId="0" applyNumberFormat="1" applyFont="1" applyFill="1" applyBorder="1" applyAlignment="1" applyProtection="1">
      <alignment horizontal="right"/>
      <protection locked="0"/>
    </xf>
    <xf numFmtId="0" fontId="61" fillId="0" borderId="29" xfId="0" applyFont="1" applyFill="1" applyBorder="1" applyAlignment="1">
      <alignment horizontal="center" vertical="center"/>
    </xf>
    <xf numFmtId="38" fontId="54" fillId="6" borderId="28" xfId="0" applyNumberFormat="1" applyFont="1" applyFill="1" applyBorder="1" applyAlignment="1">
      <alignment horizontal="right"/>
    </xf>
    <xf numFmtId="0" fontId="61" fillId="0" borderId="4" xfId="0" applyFont="1" applyFill="1" applyBorder="1" applyAlignment="1">
      <alignment horizontal="center" vertical="center"/>
    </xf>
    <xf numFmtId="38" fontId="54" fillId="6" borderId="26" xfId="0" applyNumberFormat="1" applyFont="1" applyFill="1" applyBorder="1" applyAlignment="1">
      <alignment horizontal="right"/>
    </xf>
    <xf numFmtId="0" fontId="61" fillId="0" borderId="2" xfId="0" applyFont="1" applyFill="1" applyBorder="1" applyAlignment="1">
      <alignment horizontal="center" vertical="center"/>
    </xf>
    <xf numFmtId="0" fontId="61" fillId="0" borderId="127" xfId="0" applyFont="1" applyFill="1" applyBorder="1" applyAlignment="1">
      <alignment horizontal="center" vertical="center"/>
    </xf>
    <xf numFmtId="38" fontId="54" fillId="0" borderId="127" xfId="0" applyNumberFormat="1" applyFont="1" applyFill="1" applyBorder="1" applyAlignment="1" applyProtection="1">
      <alignment horizontal="right"/>
      <protection locked="0"/>
    </xf>
    <xf numFmtId="38" fontId="54" fillId="6" borderId="4" xfId="0" applyNumberFormat="1" applyFont="1" applyFill="1" applyBorder="1" applyAlignment="1">
      <alignment horizontal="right"/>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38" fontId="54" fillId="0" borderId="21" xfId="0" applyNumberFormat="1" applyFont="1" applyFill="1" applyBorder="1" applyAlignment="1">
      <alignment horizontal="right"/>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38" fontId="54" fillId="3" borderId="2" xfId="0" applyNumberFormat="1" applyFont="1" applyFill="1" applyBorder="1" applyAlignment="1">
      <alignment horizontal="right"/>
    </xf>
    <xf numFmtId="49" fontId="61" fillId="0" borderId="29" xfId="0" applyNumberFormat="1" applyFont="1" applyFill="1" applyBorder="1" applyAlignment="1">
      <alignment horizontal="center" vertical="center"/>
    </xf>
    <xf numFmtId="38" fontId="54" fillId="0" borderId="29" xfId="0" applyNumberFormat="1" applyFont="1" applyBorder="1" applyAlignment="1" applyProtection="1">
      <alignment horizontal="right"/>
      <protection locked="0"/>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8" fontId="54" fillId="6" borderId="29" xfId="0" applyNumberFormat="1" applyFont="1" applyFill="1" applyBorder="1" applyAlignment="1">
      <alignment horizontal="right"/>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5"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6" xfId="0" applyNumberFormat="1" applyFont="1" applyFill="1" applyBorder="1" applyAlignment="1">
      <alignment horizontal="center" vertical="center"/>
    </xf>
    <xf numFmtId="49" fontId="61" fillId="0" borderId="127"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38" fontId="54" fillId="3" borderId="127" xfId="0" applyNumberFormat="1" applyFont="1" applyFill="1" applyBorder="1" applyAlignment="1">
      <alignment horizontal="right"/>
    </xf>
    <xf numFmtId="38" fontId="54" fillId="3" borderId="3" xfId="0" applyNumberFormat="1" applyFont="1" applyFill="1" applyBorder="1" applyAlignment="1">
      <alignment horizontal="right"/>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5"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38" fontId="54" fillId="0" borderId="20" xfId="0" applyNumberFormat="1" applyFont="1" applyFill="1" applyBorder="1" applyAlignment="1">
      <alignment horizontal="right"/>
    </xf>
    <xf numFmtId="38" fontId="54" fillId="0" borderId="0" xfId="0" applyNumberFormat="1" applyFont="1" applyFill="1" applyBorder="1" applyAlignment="1">
      <alignment horizontal="right"/>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0" fontId="56" fillId="6" borderId="0" xfId="0" applyFont="1" applyFill="1" applyAlignment="1">
      <alignment vertical="center"/>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38" fontId="54" fillId="6" borderId="0" xfId="8" applyNumberFormat="1" applyFont="1" applyFill="1" applyBorder="1" applyAlignment="1" applyProtection="1">
      <alignment horizontal="right"/>
    </xf>
    <xf numFmtId="38" fontId="54" fillId="6" borderId="26" xfId="8" applyNumberFormat="1" applyFont="1" applyFill="1" applyBorder="1" applyAlignment="1" applyProtection="1">
      <alignment horizontal="right"/>
    </xf>
    <xf numFmtId="38" fontId="54" fillId="0" borderId="2" xfId="8" applyNumberFormat="1" applyFont="1" applyFill="1" applyBorder="1" applyAlignment="1" applyProtection="1">
      <alignment horizontal="right"/>
      <protection locked="0"/>
    </xf>
    <xf numFmtId="38" fontId="54" fillId="0" borderId="2" xfId="6" applyNumberFormat="1" applyFont="1" applyBorder="1" applyProtection="1">
      <protection locked="0"/>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38" fontId="63" fillId="6" borderId="3" xfId="0" applyNumberFormat="1" applyFont="1" applyFill="1" applyBorder="1" applyAlignment="1">
      <alignment horizontal="center" vertical="center" wrapText="1"/>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3" fillId="0" borderId="2" xfId="0" applyNumberFormat="1" applyFont="1" applyFill="1" applyBorder="1" applyAlignment="1" applyProtection="1">
      <alignment horizontal="center" vertical="center" wrapText="1"/>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0" borderId="2" xfId="0" applyNumberFormat="1" applyFont="1" applyBorder="1" applyAlignment="1" applyProtection="1">
      <alignment horizontal="right" vertical="center"/>
      <protection locked="0"/>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38" fontId="54" fillId="0" borderId="2" xfId="9" applyNumberFormat="1" applyFont="1" applyFill="1" applyBorder="1" applyAlignment="1" applyProtection="1">
      <alignment horizontal="right"/>
      <protection locked="0"/>
    </xf>
    <xf numFmtId="3" fontId="54" fillId="0" borderId="2" xfId="9" applyNumberFormat="1" applyFont="1" applyFill="1" applyBorder="1" applyAlignment="1" applyProtection="1">
      <alignment horizontal="right" vertical="center"/>
      <protection locked="0"/>
    </xf>
    <xf numFmtId="0" fontId="56" fillId="0" borderId="0" xfId="9" applyFont="1" applyFill="1" applyAlignment="1"/>
    <xf numFmtId="0" fontId="61" fillId="0" borderId="0" xfId="9" applyFont="1" applyFill="1" applyAlignment="1"/>
    <xf numFmtId="38" fontId="54" fillId="0" borderId="2" xfId="9" applyNumberFormat="1" applyFont="1" applyFill="1" applyBorder="1" applyAlignment="1" applyProtection="1">
      <alignment horizontal="right" vertical="center"/>
      <protection locked="0"/>
    </xf>
    <xf numFmtId="0" fontId="80" fillId="0" borderId="0" xfId="9" applyFont="1" applyFill="1" applyAlignment="1">
      <alignment vertical="top"/>
    </xf>
    <xf numFmtId="0" fontId="54" fillId="0" borderId="2" xfId="0" applyFont="1" applyFill="1" applyBorder="1" applyAlignment="1" applyProtection="1">
      <alignment horizontal="right"/>
      <protection locked="0"/>
    </xf>
    <xf numFmtId="0" fontId="54" fillId="0" borderId="2" xfId="9" applyFont="1" applyFill="1" applyBorder="1" applyAlignment="1" applyProtection="1">
      <alignment horizontal="right" vertical="top"/>
      <protection locked="0"/>
    </xf>
    <xf numFmtId="38" fontId="54" fillId="0" borderId="2" xfId="9" applyNumberFormat="1" applyFont="1" applyFill="1" applyBorder="1" applyAlignment="1" applyProtection="1">
      <alignment horizontal="right" vertical="top"/>
      <protection locked="0"/>
    </xf>
    <xf numFmtId="38" fontId="54" fillId="0" borderId="2" xfId="9" quotePrefix="1" applyNumberFormat="1" applyFont="1" applyFill="1" applyBorder="1" applyAlignment="1" applyProtection="1">
      <alignment horizontal="right"/>
      <protection locked="0"/>
    </xf>
    <xf numFmtId="0" fontId="61" fillId="0" borderId="0" xfId="9" applyFont="1" applyFill="1" applyBorder="1" applyAlignment="1"/>
    <xf numFmtId="38" fontId="54" fillId="6" borderId="2" xfId="9" applyNumberFormat="1" applyFont="1" applyFill="1" applyBorder="1" applyAlignment="1" applyProtection="1">
      <alignment horizontal="right"/>
    </xf>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vertical="center"/>
    </xf>
    <xf numFmtId="38" fontId="54" fillId="6" borderId="22" xfId="0" applyNumberFormat="1"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0" borderId="22" xfId="0" applyNumberFormat="1" applyFont="1" applyFill="1" applyBorder="1" applyAlignment="1" applyProtection="1">
      <alignment vertical="center"/>
      <protection locked="0"/>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vertical="center"/>
    </xf>
    <xf numFmtId="49" fontId="61" fillId="0" borderId="6" xfId="0" applyNumberFormat="1" applyFont="1" applyBorder="1" applyAlignment="1" applyProtection="1">
      <alignment horizontal="center" vertical="center"/>
    </xf>
    <xf numFmtId="38" fontId="54" fillId="0" borderId="7" xfId="0" applyNumberFormat="1" applyFont="1" applyBorder="1" applyAlignment="1" applyProtection="1">
      <alignment vertical="center"/>
      <protection locked="0"/>
    </xf>
    <xf numFmtId="49" fontId="61" fillId="6" borderId="59" xfId="0" applyNumberFormat="1" applyFont="1" applyFill="1" applyBorder="1" applyAlignment="1" applyProtection="1">
      <alignment horizontal="center" vertical="center"/>
    </xf>
    <xf numFmtId="0" fontId="54" fillId="6" borderId="42" xfId="0" applyFont="1" applyFill="1" applyBorder="1" applyAlignment="1" applyProtection="1">
      <alignment horizontal="right" vertical="center"/>
    </xf>
    <xf numFmtId="0" fontId="54" fillId="6" borderId="43" xfId="0" applyFont="1" applyFill="1" applyBorder="1" applyAlignment="1" applyProtection="1">
      <alignment horizontal="right" vertical="center"/>
    </xf>
    <xf numFmtId="0" fontId="54" fillId="6" borderId="40" xfId="0" applyFont="1" applyFill="1" applyBorder="1" applyAlignment="1" applyProtection="1">
      <alignment horizontal="right"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45" xfId="0" applyNumberFormat="1" applyFont="1" applyFill="1" applyBorder="1" applyAlignment="1" applyProtection="1">
      <alignment vertical="center"/>
    </xf>
    <xf numFmtId="38" fontId="54" fillId="3" borderId="44" xfId="0" applyNumberFormat="1" applyFont="1" applyFill="1" applyBorder="1" applyAlignment="1" applyProtection="1">
      <alignment vertical="center"/>
    </xf>
    <xf numFmtId="38" fontId="54" fillId="3" borderId="8" xfId="0" applyNumberFormat="1" applyFont="1" applyFill="1" applyBorder="1" applyAlignment="1" applyProtection="1">
      <alignment horizontal="right" vertical="center"/>
    </xf>
    <xf numFmtId="38" fontId="54" fillId="3" borderId="44"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38" fontId="54" fillId="3" borderId="8" xfId="0" applyNumberFormat="1" applyFont="1" applyFill="1" applyBorder="1" applyAlignment="1" applyProtection="1">
      <alignment vertical="center"/>
    </xf>
    <xf numFmtId="38" fontId="54" fillId="0" borderId="8" xfId="0" applyNumberFormat="1" applyFont="1" applyFill="1" applyBorder="1" applyAlignment="1" applyProtection="1">
      <alignment horizontal="right" vertical="center"/>
      <protection locked="0"/>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38" fontId="54" fillId="0" borderId="8" xfId="0" applyNumberFormat="1" applyFont="1" applyFill="1" applyBorder="1" applyAlignment="1" applyProtection="1">
      <alignment vertical="center"/>
      <protection locked="0"/>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38" fontId="54" fillId="0" borderId="8" xfId="0" applyNumberFormat="1" applyFont="1" applyBorder="1" applyAlignment="1" applyProtection="1">
      <alignment horizontal="right" vertical="center"/>
      <protection locked="0"/>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38" fontId="54" fillId="0" borderId="22" xfId="0" applyNumberFormat="1" applyFont="1" applyBorder="1" applyAlignment="1" applyProtection="1">
      <alignment horizontal="right" vertical="center"/>
      <protection locked="0"/>
    </xf>
    <xf numFmtId="0" fontId="61" fillId="0" borderId="46" xfId="0" applyFont="1" applyBorder="1" applyAlignment="1" applyProtection="1">
      <alignment horizontal="left" vertical="center" wrapText="1" indent="1"/>
    </xf>
    <xf numFmtId="38" fontId="54" fillId="0" borderId="22" xfId="0" applyNumberFormat="1" applyFont="1" applyBorder="1" applyAlignment="1" applyProtection="1">
      <alignment horizontal="right"/>
      <protection locked="0"/>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38" fontId="61" fillId="0" borderId="0" xfId="10" applyNumberFormat="1" applyFont="1" applyFill="1" applyAlignment="1">
      <alignment horizontal="right"/>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40" fontId="61" fillId="0" borderId="9" xfId="10" applyNumberFormat="1" applyFont="1" applyFill="1" applyBorder="1" applyAlignment="1" applyProtection="1">
      <alignment horizontal="right"/>
      <protection locked="0"/>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4" fontId="63" fillId="0" borderId="0" xfId="10" applyNumberFormat="1" applyFont="1" applyFill="1" applyBorder="1" applyAlignment="1" applyProtection="1">
      <alignmen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38" fontId="61" fillId="0" borderId="0" xfId="11" applyNumberFormat="1" applyFont="1" applyFill="1" applyAlignment="1">
      <alignment horizontal="right"/>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38" fontId="54" fillId="0" borderId="13" xfId="0" applyNumberFormat="1" applyFont="1" applyBorder="1" applyAlignment="1" applyProtection="1">
      <alignment vertical="center"/>
      <protection locked="0"/>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19" borderId="13" xfId="0" applyNumberFormat="1" applyFont="1" applyFill="1" applyBorder="1" applyAlignment="1" applyProtection="1">
      <protection locked="0"/>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6" fillId="0" borderId="16" xfId="3" applyNumberFormat="1" applyFont="1" applyFill="1" applyBorder="1" applyAlignment="1">
      <alignment horizontal="centerContinuous" vertical="center"/>
    </xf>
    <xf numFmtId="0" fontId="56" fillId="0" borderId="10" xfId="3" applyNumberFormat="1" applyFont="1" applyFill="1" applyBorder="1" applyAlignment="1">
      <alignment horizontal="centerContinuous"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54" fillId="15" borderId="2" xfId="3" applyNumberFormat="1" applyFont="1" applyFill="1" applyBorder="1" applyAlignment="1">
      <alignment vertical="center"/>
    </xf>
    <xf numFmtId="38" fontId="54" fillId="0" borderId="2" xfId="3" applyNumberFormat="1" applyFont="1" applyBorder="1" applyAlignment="1" applyProtection="1">
      <alignment vertical="center"/>
      <protection locked="0"/>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38" fontId="54" fillId="0" borderId="2" xfId="3" applyNumberFormat="1" applyFont="1" applyFill="1" applyBorder="1" applyAlignment="1" applyProtection="1">
      <alignment vertical="center"/>
      <protection locked="0"/>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4" fillId="15" borderId="4" xfId="3" applyNumberFormat="1" applyFont="1" applyFill="1" applyBorder="1" applyAlignment="1">
      <alignment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3" xfId="3" applyNumberFormat="1" applyFont="1" applyBorder="1" applyAlignment="1">
      <alignment horizontal="center" vertical="center"/>
    </xf>
    <xf numFmtId="0" fontId="56" fillId="0" borderId="133"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3"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2" xfId="0" applyFont="1" applyBorder="1"/>
    <xf numFmtId="0" fontId="54" fillId="0" borderId="13" xfId="0" applyFont="1" applyBorder="1"/>
    <xf numFmtId="0" fontId="54" fillId="0" borderId="125" xfId="0" applyFont="1" applyBorder="1" applyAlignment="1">
      <alignment horizontal="left" vertical="top"/>
    </xf>
    <xf numFmtId="164" fontId="112" fillId="0" borderId="128" xfId="0" applyNumberFormat="1" applyFont="1" applyBorder="1" applyAlignment="1">
      <alignment horizontal="right" vertical="top"/>
    </xf>
    <xf numFmtId="0" fontId="54" fillId="0" borderId="128" xfId="0" applyNumberFormat="1" applyFont="1" applyBorder="1" applyAlignment="1">
      <alignment horizontal="left" vertical="center" wrapText="1" indent="1"/>
    </xf>
    <xf numFmtId="0" fontId="84" fillId="0" borderId="127" xfId="0" applyFont="1" applyBorder="1" applyAlignment="1">
      <alignment horizontal="left" vertical="center" wrapText="1"/>
    </xf>
    <xf numFmtId="0" fontId="54" fillId="0" borderId="128" xfId="0" applyFont="1" applyBorder="1" applyAlignment="1">
      <alignment horizontal="left" vertical="top"/>
    </xf>
    <xf numFmtId="0" fontId="54" fillId="0" borderId="0" xfId="0" applyFont="1" applyBorder="1" applyAlignment="1">
      <alignment vertical="top"/>
    </xf>
    <xf numFmtId="0" fontId="114" fillId="0" borderId="128" xfId="0" applyNumberFormat="1" applyFont="1" applyBorder="1" applyAlignment="1">
      <alignment horizontal="left" vertical="center"/>
    </xf>
    <xf numFmtId="0" fontId="112" fillId="0" borderId="128" xfId="0" applyFont="1" applyBorder="1" applyAlignment="1">
      <alignment vertical="top"/>
    </xf>
    <xf numFmtId="0" fontId="112" fillId="0" borderId="128" xfId="0" applyFont="1" applyBorder="1" applyAlignment="1">
      <alignment horizontal="left" vertical="top"/>
    </xf>
    <xf numFmtId="0" fontId="54" fillId="0" borderId="125" xfId="0" applyFont="1" applyBorder="1" applyAlignment="1"/>
    <xf numFmtId="164" fontId="112" fillId="0" borderId="128" xfId="0" applyNumberFormat="1" applyFont="1" applyBorder="1" applyAlignment="1"/>
    <xf numFmtId="0" fontId="54" fillId="0" borderId="128" xfId="0" applyFont="1" applyBorder="1" applyAlignment="1"/>
    <xf numFmtId="0" fontId="61" fillId="0" borderId="126"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4"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5" xfId="0" applyFont="1" applyFill="1" applyBorder="1" applyAlignment="1"/>
    <xf numFmtId="0" fontId="53" fillId="0" borderId="128" xfId="0" applyFont="1" applyFill="1" applyBorder="1" applyAlignment="1">
      <alignment horizontal="left" vertical="top"/>
    </xf>
    <xf numFmtId="0" fontId="53" fillId="0" borderId="126"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6"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3" xfId="3" quotePrefix="1" applyNumberFormat="1" applyFont="1" applyBorder="1" applyAlignment="1" applyProtection="1">
      <alignment horizontal="left"/>
    </xf>
    <xf numFmtId="0" fontId="61" fillId="0" borderId="144" xfId="3" applyNumberFormat="1" applyFont="1" applyBorder="1" applyAlignment="1" applyProtection="1">
      <alignment horizontal="center"/>
    </xf>
    <xf numFmtId="0" fontId="61" fillId="0" borderId="144" xfId="3" applyNumberFormat="1" applyFont="1" applyBorder="1" applyProtection="1"/>
    <xf numFmtId="0" fontId="54" fillId="0" borderId="143" xfId="3" applyNumberFormat="1" applyFont="1" applyBorder="1" applyAlignment="1" applyProtection="1"/>
    <xf numFmtId="0" fontId="61" fillId="0" borderId="145" xfId="3" applyNumberFormat="1" applyFont="1" applyBorder="1" applyAlignment="1" applyProtection="1">
      <alignment horizontal="centerContinuous"/>
    </xf>
    <xf numFmtId="0" fontId="54" fillId="0" borderId="143" xfId="3" applyNumberFormat="1" applyFont="1" applyBorder="1" applyAlignment="1" applyProtection="1">
      <alignment horizontal="left"/>
    </xf>
    <xf numFmtId="0" fontId="61" fillId="0" borderId="145" xfId="3" applyNumberFormat="1" applyFont="1" applyBorder="1" applyProtection="1"/>
    <xf numFmtId="0" fontId="61" fillId="0" borderId="144"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3"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7"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4"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8"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6" xfId="3" applyFont="1" applyBorder="1" applyProtection="1"/>
    <xf numFmtId="0" fontId="54" fillId="0" borderId="147" xfId="3" applyFont="1" applyBorder="1" applyProtection="1">
      <protection locked="0"/>
    </xf>
    <xf numFmtId="0" fontId="54" fillId="0" borderId="146"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5" xfId="3" applyNumberFormat="1" applyFont="1" applyBorder="1" applyAlignment="1" applyProtection="1">
      <alignment horizontal="center"/>
    </xf>
    <xf numFmtId="0" fontId="63" fillId="0" borderId="144" xfId="3" applyFont="1" applyBorder="1" applyAlignment="1" applyProtection="1">
      <alignment horizontal="centerContinuous"/>
    </xf>
    <xf numFmtId="0" fontId="63" fillId="0" borderId="145"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5"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169" fontId="61" fillId="0" borderId="8" xfId="3" applyNumberFormat="1" applyFont="1" applyBorder="1" applyAlignment="1" applyProtection="1">
      <alignment horizontal="center"/>
      <protection locked="0"/>
    </xf>
    <xf numFmtId="1" fontId="61" fillId="0" borderId="8" xfId="3" applyNumberFormat="1" applyFont="1" applyBorder="1" applyAlignment="1" applyProtection="1">
      <alignment horizontal="center"/>
      <protection locked="0"/>
    </xf>
    <xf numFmtId="3" fontId="61" fillId="0" borderId="8" xfId="3" applyNumberFormat="1" applyFont="1" applyBorder="1" applyAlignment="1" applyProtection="1">
      <alignment horizontal="center"/>
      <protection locked="0"/>
    </xf>
    <xf numFmtId="169" fontId="61" fillId="0" borderId="22" xfId="3" applyNumberFormat="1" applyFont="1" applyBorder="1" applyAlignment="1" applyProtection="1">
      <alignment horizontal="center"/>
      <protection locked="0"/>
    </xf>
    <xf numFmtId="1" fontId="61" fillId="0" borderId="22" xfId="3" applyNumberFormat="1" applyFont="1" applyBorder="1" applyAlignment="1" applyProtection="1">
      <alignment horizontal="center"/>
      <protection locked="0"/>
    </xf>
    <xf numFmtId="3" fontId="61" fillId="0" borderId="22" xfId="3" applyNumberFormat="1" applyFont="1" applyBorder="1" applyAlignment="1" applyProtection="1">
      <alignment horizontal="center"/>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4" xfId="3" applyFont="1" applyBorder="1" applyProtection="1"/>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0" fontId="64" fillId="0" borderId="0" xfId="3" applyFont="1" applyBorder="1" applyAlignment="1" applyProtection="1">
      <alignment horizontal="right"/>
    </xf>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4" xfId="3" quotePrefix="1" applyFont="1" applyBorder="1" applyAlignment="1" applyProtection="1">
      <alignment horizontal="left"/>
    </xf>
    <xf numFmtId="0" fontId="54" fillId="0" borderId="144" xfId="3" applyFont="1" applyBorder="1" applyProtection="1"/>
    <xf numFmtId="0" fontId="54" fillId="0" borderId="144"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4" xfId="3" applyFont="1" applyBorder="1" applyProtection="1"/>
    <xf numFmtId="0" fontId="56" fillId="0" borderId="0" xfId="3" applyFont="1" applyBorder="1" applyAlignment="1" applyProtection="1">
      <alignment horizontal="left"/>
    </xf>
    <xf numFmtId="0" fontId="63" fillId="0" borderId="144"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4"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9"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0" fontId="64" fillId="0" borderId="0" xfId="3" applyFont="1" applyAlignment="1" applyProtection="1">
      <alignment horizontal="right"/>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51" xfId="3" applyFont="1" applyBorder="1" applyAlignment="1" applyProtection="1">
      <alignment horizontal="left"/>
    </xf>
    <xf numFmtId="0" fontId="56" fillId="0" borderId="151" xfId="3" applyFont="1" applyBorder="1" applyProtection="1"/>
    <xf numFmtId="0" fontId="56" fillId="0" borderId="151"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3" fillId="0" borderId="20" xfId="0" applyFont="1" applyFill="1" applyBorder="1" applyAlignment="1" applyProtection="1">
      <alignment horizontal="left" vertical="center" indent="2"/>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8"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9"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7" xfId="0" applyNumberFormat="1" applyFont="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7"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4" fillId="0" borderId="127" xfId="0" applyNumberFormat="1" applyFont="1" applyFill="1" applyBorder="1" applyAlignment="1" applyProtection="1">
      <alignment horizontal="right" vertical="center"/>
      <protection locked="0"/>
    </xf>
    <xf numFmtId="38" fontId="53" fillId="6" borderId="155" xfId="0" applyNumberFormat="1" applyFont="1" applyFill="1" applyBorder="1" applyAlignment="1">
      <alignment horizontal="center" vertical="center" wrapText="1"/>
    </xf>
    <xf numFmtId="38" fontId="53" fillId="6" borderId="155" xfId="0" applyNumberFormat="1" applyFont="1" applyFill="1" applyBorder="1" applyAlignment="1">
      <alignment horizontal="center" vertical="top" wrapText="1"/>
    </xf>
    <xf numFmtId="38" fontId="63" fillId="6" borderId="155" xfId="0" applyNumberFormat="1" applyFont="1" applyFill="1" applyBorder="1" applyAlignment="1">
      <alignment horizontal="center" vertical="center" wrapText="1"/>
    </xf>
    <xf numFmtId="38" fontId="63" fillId="6" borderId="10"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0" fontId="6" fillId="0" borderId="0" xfId="17"/>
    <xf numFmtId="0" fontId="98" fillId="0" borderId="140" xfId="17" applyFont="1" applyBorder="1" applyAlignment="1">
      <alignment horizontal="left" vertical="top"/>
    </xf>
    <xf numFmtId="0" fontId="125" fillId="0" borderId="141" xfId="17" applyFont="1" applyBorder="1" applyAlignment="1">
      <alignment horizontal="center" vertical="top"/>
    </xf>
    <xf numFmtId="0" fontId="125" fillId="0" borderId="142" xfId="17" applyFont="1" applyBorder="1" applyAlignment="1">
      <alignment horizontal="center" vertical="top"/>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38" fontId="6" fillId="22" borderId="157" xfId="17" applyNumberFormat="1" applyFill="1" applyBorder="1" applyAlignment="1">
      <alignment horizontal="right" vertical="top"/>
    </xf>
    <xf numFmtId="38" fontId="6" fillId="22" borderId="158" xfId="17" applyNumberFormat="1" applyFill="1" applyBorder="1" applyAlignment="1">
      <alignment horizontal="right" vertical="top"/>
    </xf>
    <xf numFmtId="0" fontId="6" fillId="0" borderId="0" xfId="17" applyAlignment="1">
      <alignment horizontal="left" vertical="top" wrapText="1"/>
    </xf>
    <xf numFmtId="0" fontId="6" fillId="0" borderId="0" xfId="17" applyAlignment="1">
      <alignment vertical="top"/>
    </xf>
    <xf numFmtId="38" fontId="6" fillId="0" borderId="0" xfId="17" applyNumberFormat="1" applyAlignment="1">
      <alignment horizontal="right" vertical="top"/>
    </xf>
    <xf numFmtId="0" fontId="6" fillId="0" borderId="0" xfId="17" applyAlignment="1">
      <alignment horizontal="center" vertical="top" wrapText="1"/>
    </xf>
    <xf numFmtId="0" fontId="124" fillId="23" borderId="156" xfId="17" applyFont="1" applyFill="1" applyBorder="1" applyAlignment="1">
      <alignment horizontal="center" vertical="center" wrapText="1"/>
    </xf>
    <xf numFmtId="38" fontId="124" fillId="23" borderId="156" xfId="17" applyNumberFormat="1" applyFont="1" applyFill="1" applyBorder="1" applyAlignment="1">
      <alignment horizontal="center" vertical="center" wrapText="1"/>
    </xf>
    <xf numFmtId="3" fontId="54" fillId="23" borderId="131" xfId="0" applyNumberFormat="1" applyFont="1" applyFill="1" applyBorder="1" applyAlignment="1">
      <alignment horizontal="center"/>
    </xf>
    <xf numFmtId="3" fontId="54" fillId="23" borderId="131" xfId="0" applyNumberFormat="1" applyFont="1" applyFill="1" applyBorder="1" applyAlignment="1">
      <alignment horizontal="right"/>
    </xf>
    <xf numFmtId="3" fontId="54" fillId="23" borderId="132" xfId="0" applyNumberFormat="1" applyFont="1" applyFill="1" applyBorder="1" applyAlignment="1">
      <alignment horizontal="center"/>
    </xf>
    <xf numFmtId="38" fontId="54" fillId="23" borderId="19" xfId="0" applyNumberFormat="1" applyFont="1" applyFill="1" applyBorder="1" applyAlignment="1">
      <alignment horizontal="right"/>
    </xf>
    <xf numFmtId="38" fontId="54" fillId="23" borderId="20" xfId="0" applyNumberFormat="1" applyFont="1" applyFill="1" applyBorder="1" applyAlignment="1">
      <alignment horizontal="right"/>
    </xf>
    <xf numFmtId="38" fontId="54" fillId="23" borderId="11" xfId="0" applyNumberFormat="1" applyFont="1" applyFill="1" applyBorder="1" applyAlignment="1">
      <alignment horizontal="right"/>
    </xf>
    <xf numFmtId="3" fontId="64" fillId="23" borderId="125" xfId="0" applyNumberFormat="1" applyFont="1" applyFill="1" applyBorder="1" applyAlignment="1">
      <alignment horizontal="center" vertical="center" wrapText="1"/>
    </xf>
    <xf numFmtId="49" fontId="61" fillId="23" borderId="11" xfId="0" applyNumberFormat="1" applyFont="1" applyFill="1" applyBorder="1" applyAlignment="1">
      <alignment horizontal="center" vertical="center"/>
    </xf>
    <xf numFmtId="38" fontId="54" fillId="23" borderId="13" xfId="0" applyNumberFormat="1" applyFont="1" applyFill="1" applyBorder="1" applyAlignment="1">
      <alignment horizontal="right"/>
    </xf>
    <xf numFmtId="38" fontId="54" fillId="23" borderId="21" xfId="0" applyNumberFormat="1" applyFont="1" applyFill="1" applyBorder="1" applyAlignment="1">
      <alignment horizontal="right"/>
    </xf>
    <xf numFmtId="38" fontId="54" fillId="23" borderId="14" xfId="0" applyNumberFormat="1" applyFont="1" applyFill="1" applyBorder="1" applyAlignment="1">
      <alignment horizontal="right"/>
    </xf>
    <xf numFmtId="38" fontId="53" fillId="23" borderId="13" xfId="0" applyNumberFormat="1" applyFont="1" applyFill="1" applyBorder="1" applyAlignment="1" applyProtection="1">
      <alignment horizontal="right"/>
    </xf>
    <xf numFmtId="38" fontId="53" fillId="23" borderId="21" xfId="0" applyNumberFormat="1" applyFont="1" applyFill="1" applyBorder="1" applyAlignment="1" applyProtection="1">
      <alignment horizontal="right"/>
    </xf>
    <xf numFmtId="38" fontId="53" fillId="23" borderId="21" xfId="1" applyNumberFormat="1" applyFont="1" applyFill="1" applyBorder="1" applyAlignment="1" applyProtection="1">
      <alignment horizontal="right"/>
    </xf>
    <xf numFmtId="38" fontId="53" fillId="23" borderId="14" xfId="0" applyNumberFormat="1" applyFont="1" applyFill="1" applyBorder="1" applyAlignment="1" applyProtection="1">
      <alignment horizontal="right"/>
    </xf>
    <xf numFmtId="38" fontId="54" fillId="23" borderId="19" xfId="0" applyNumberFormat="1" applyFont="1" applyFill="1" applyBorder="1" applyAlignment="1" applyProtection="1">
      <alignment horizontal="right"/>
    </xf>
    <xf numFmtId="38" fontId="54" fillId="23" borderId="20" xfId="0" applyNumberFormat="1" applyFont="1" applyFill="1" applyBorder="1" applyAlignment="1" applyProtection="1">
      <alignment horizontal="right"/>
    </xf>
    <xf numFmtId="38" fontId="54" fillId="23" borderId="21" xfId="0" applyNumberFormat="1" applyFont="1" applyFill="1" applyBorder="1" applyAlignment="1" applyProtection="1">
      <alignment horizontal="right"/>
    </xf>
    <xf numFmtId="38" fontId="54" fillId="23" borderId="14" xfId="0" applyNumberFormat="1" applyFont="1" applyFill="1" applyBorder="1" applyAlignment="1" applyProtection="1">
      <alignment horizontal="right"/>
    </xf>
    <xf numFmtId="0" fontId="56" fillId="23" borderId="31" xfId="0" applyFont="1" applyFill="1" applyBorder="1" applyAlignment="1">
      <alignment horizontal="center" vertical="center"/>
    </xf>
    <xf numFmtId="38" fontId="54" fillId="23" borderId="13" xfId="0" applyNumberFormat="1" applyFont="1" applyFill="1" applyBorder="1" applyAlignment="1" applyProtection="1">
      <alignment horizontal="right"/>
    </xf>
    <xf numFmtId="38" fontId="54" fillId="23" borderId="11" xfId="0" applyNumberFormat="1" applyFont="1" applyFill="1" applyBorder="1" applyAlignment="1" applyProtection="1">
      <alignment horizontal="right"/>
    </xf>
    <xf numFmtId="38" fontId="54" fillId="23" borderId="49" xfId="0" applyNumberFormat="1" applyFont="1" applyFill="1" applyBorder="1" applyAlignment="1" applyProtection="1">
      <alignment horizontal="right"/>
    </xf>
    <xf numFmtId="38" fontId="54" fillId="23" borderId="34" xfId="0" applyNumberFormat="1" applyFont="1" applyFill="1" applyBorder="1" applyAlignment="1" applyProtection="1">
      <alignment horizontal="right"/>
    </xf>
    <xf numFmtId="38" fontId="54" fillId="23" borderId="31" xfId="0" applyNumberFormat="1" applyFont="1" applyFill="1" applyBorder="1" applyAlignment="1" applyProtection="1">
      <alignment horizontal="right"/>
    </xf>
    <xf numFmtId="3" fontId="53" fillId="23" borderId="13" xfId="0" applyNumberFormat="1" applyFont="1" applyFill="1" applyBorder="1" applyAlignment="1" applyProtection="1">
      <alignment horizontal="right" vertical="center"/>
    </xf>
    <xf numFmtId="3" fontId="53" fillId="23" borderId="21" xfId="0" applyNumberFormat="1" applyFont="1" applyFill="1" applyBorder="1" applyAlignment="1" applyProtection="1">
      <alignment horizontal="right" vertical="center"/>
    </xf>
    <xf numFmtId="3" fontId="53" fillId="23"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3" borderId="13" xfId="0" applyNumberFormat="1" applyFont="1" applyFill="1" applyBorder="1" applyAlignment="1" applyProtection="1">
      <alignment horizontal="center" vertical="center"/>
    </xf>
    <xf numFmtId="49" fontId="63" fillId="23" borderId="21" xfId="0" applyNumberFormat="1" applyFont="1" applyFill="1" applyBorder="1" applyAlignment="1" applyProtection="1">
      <alignment horizontal="center" vertical="center"/>
    </xf>
    <xf numFmtId="3" fontId="54" fillId="23" borderId="21" xfId="0" applyNumberFormat="1" applyFont="1" applyFill="1" applyBorder="1" applyAlignment="1" applyProtection="1">
      <alignment horizontal="center"/>
    </xf>
    <xf numFmtId="3" fontId="56" fillId="23" borderId="21" xfId="0" applyNumberFormat="1" applyFont="1" applyFill="1" applyBorder="1" applyAlignment="1" applyProtection="1">
      <alignment horizontal="center"/>
    </xf>
    <xf numFmtId="38" fontId="56" fillId="23" borderId="21" xfId="0" applyNumberFormat="1" applyFont="1" applyFill="1" applyBorder="1" applyAlignment="1" applyProtection="1">
      <alignment horizontal="center"/>
    </xf>
    <xf numFmtId="3" fontId="56" fillId="23" borderId="14" xfId="0" applyNumberFormat="1" applyFont="1" applyFill="1" applyBorder="1" applyAlignment="1" applyProtection="1">
      <alignment horizontal="center"/>
    </xf>
    <xf numFmtId="0" fontId="53" fillId="23" borderId="49" xfId="0" applyFont="1" applyFill="1" applyBorder="1" applyAlignment="1" applyProtection="1">
      <alignment horizontal="center" vertical="center" wrapText="1"/>
    </xf>
    <xf numFmtId="0" fontId="54" fillId="23" borderId="34"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wrapText="1"/>
    </xf>
    <xf numFmtId="0" fontId="56" fillId="23" borderId="31" xfId="0" applyFont="1" applyFill="1" applyBorder="1" applyAlignment="1">
      <alignment horizontal="center" vertical="center" wrapText="1"/>
    </xf>
    <xf numFmtId="164" fontId="53" fillId="23"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7"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5" xfId="0" applyNumberFormat="1" applyFont="1" applyFill="1" applyBorder="1" applyAlignment="1">
      <alignment horizontal="left" vertical="center" wrapText="1"/>
    </xf>
    <xf numFmtId="49" fontId="63" fillId="17" borderId="127"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5"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7" xfId="0" applyFont="1" applyFill="1" applyBorder="1" applyAlignment="1">
      <alignment horizontal="left" vertical="center" wrapText="1"/>
    </xf>
    <xf numFmtId="3" fontId="63" fillId="17" borderId="127" xfId="0" applyNumberFormat="1" applyFont="1" applyFill="1" applyBorder="1" applyAlignment="1">
      <alignment horizontal="left" vertical="center" wrapText="1"/>
    </xf>
    <xf numFmtId="38" fontId="54" fillId="24" borderId="19" xfId="0" applyNumberFormat="1" applyFont="1" applyFill="1" applyBorder="1" applyAlignment="1">
      <alignment horizontal="right"/>
    </xf>
    <xf numFmtId="38" fontId="54" fillId="24" borderId="20" xfId="0" applyNumberFormat="1" applyFont="1" applyFill="1" applyBorder="1" applyAlignment="1">
      <alignment horizontal="right"/>
    </xf>
    <xf numFmtId="38" fontId="54" fillId="24" borderId="11" xfId="0" applyNumberFormat="1" applyFont="1" applyFill="1" applyBorder="1" applyAlignment="1">
      <alignment horizontal="right"/>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3" borderId="13" xfId="0" applyFont="1" applyFill="1" applyBorder="1" applyAlignment="1">
      <alignment horizontal="left" vertical="center"/>
    </xf>
    <xf numFmtId="0" fontId="64" fillId="23" borderId="21" xfId="0" applyFont="1" applyFill="1" applyBorder="1" applyAlignment="1">
      <alignment horizontal="left" vertical="center"/>
    </xf>
    <xf numFmtId="0" fontId="64" fillId="23"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9" xfId="0" applyFont="1" applyBorder="1" applyAlignment="1">
      <alignment horizontal="centerContinuous" vertical="center"/>
    </xf>
    <xf numFmtId="0" fontId="54" fillId="0" borderId="160" xfId="0" applyFont="1" applyBorder="1" applyAlignment="1">
      <alignment horizontal="centerContinuous" vertical="center"/>
    </xf>
    <xf numFmtId="0" fontId="56" fillId="0" borderId="160" xfId="0" applyFont="1" applyBorder="1" applyAlignment="1">
      <alignment horizontal="centerContinuous" vertical="center"/>
    </xf>
    <xf numFmtId="0" fontId="63" fillId="0" borderId="105" xfId="0" applyFont="1" applyBorder="1" applyAlignment="1">
      <alignment horizontal="center"/>
    </xf>
    <xf numFmtId="0" fontId="56" fillId="23" borderId="16" xfId="3" applyFont="1" applyFill="1" applyBorder="1" applyAlignment="1">
      <alignment horizontal="left" vertical="center"/>
    </xf>
    <xf numFmtId="0" fontId="56" fillId="23" borderId="10" xfId="3" applyFont="1" applyFill="1" applyBorder="1" applyAlignment="1">
      <alignment horizontal="left" vertical="center"/>
    </xf>
    <xf numFmtId="0" fontId="56" fillId="23" borderId="19" xfId="3" applyNumberFormat="1" applyFont="1" applyFill="1" applyBorder="1" applyAlignment="1">
      <alignment vertical="center"/>
    </xf>
    <xf numFmtId="0" fontId="56" fillId="23" borderId="20" xfId="3" applyNumberFormat="1" applyFont="1" applyFill="1" applyBorder="1" applyAlignment="1">
      <alignment vertical="center"/>
    </xf>
    <xf numFmtId="0" fontId="56" fillId="23" borderId="11" xfId="3" applyNumberFormat="1" applyFont="1" applyFill="1" applyBorder="1" applyAlignment="1">
      <alignment vertical="center"/>
    </xf>
    <xf numFmtId="0" fontId="5" fillId="0" borderId="0" xfId="17" quotePrefix="1" applyNumberFormat="1" applyFont="1"/>
    <xf numFmtId="0" fontId="126" fillId="20" borderId="157" xfId="17" applyFont="1" applyFill="1" applyBorder="1" applyAlignment="1" applyProtection="1">
      <alignment horizontal="left" vertical="top" wrapText="1"/>
    </xf>
    <xf numFmtId="49" fontId="126" fillId="20" borderId="157" xfId="17" applyNumberFormat="1" applyFont="1" applyFill="1" applyBorder="1" applyAlignment="1" applyProtection="1">
      <alignment horizontal="center" vertical="top"/>
    </xf>
    <xf numFmtId="0" fontId="126" fillId="20" borderId="157" xfId="17" applyFont="1" applyFill="1" applyBorder="1" applyAlignment="1" applyProtection="1">
      <alignment vertical="top"/>
    </xf>
    <xf numFmtId="38" fontId="126" fillId="20" borderId="157" xfId="17" applyNumberFormat="1" applyFont="1" applyFill="1" applyBorder="1" applyAlignment="1" applyProtection="1">
      <alignment horizontal="right" vertical="top"/>
    </xf>
    <xf numFmtId="38" fontId="126" fillId="20" borderId="157" xfId="17" applyNumberFormat="1" applyFont="1" applyFill="1" applyBorder="1" applyAlignment="1" applyProtection="1">
      <alignment vertical="top"/>
    </xf>
    <xf numFmtId="0" fontId="6" fillId="0" borderId="157" xfId="17" applyBorder="1" applyAlignment="1" applyProtection="1">
      <alignment horizontal="left" vertical="top" wrapText="1"/>
      <protection locked="0"/>
    </xf>
    <xf numFmtId="0" fontId="6" fillId="0" borderId="157" xfId="17" applyBorder="1" applyAlignment="1" applyProtection="1">
      <alignment vertical="top"/>
      <protection locked="0"/>
    </xf>
    <xf numFmtId="0" fontId="5" fillId="0" borderId="157" xfId="17" applyFont="1" applyBorder="1" applyAlignment="1" applyProtection="1">
      <alignment horizontal="left" vertical="top" wrapText="1"/>
      <protection locked="0"/>
    </xf>
    <xf numFmtId="0" fontId="5" fillId="0" borderId="157" xfId="17" applyFont="1" applyBorder="1" applyAlignment="1" applyProtection="1">
      <alignment vertical="top"/>
      <protection locked="0"/>
    </xf>
    <xf numFmtId="0" fontId="6" fillId="0" borderId="0" xfId="17" applyAlignment="1">
      <alignment horizontal="center" vertical="center" wrapText="1"/>
    </xf>
    <xf numFmtId="0" fontId="4" fillId="0" borderId="0" xfId="17" applyFont="1" applyAlignment="1">
      <alignment horizontal="left" vertical="center" wrapText="1"/>
    </xf>
    <xf numFmtId="0" fontId="4" fillId="0" borderId="0" xfId="17" applyFont="1" applyAlignment="1">
      <alignment vertical="center"/>
    </xf>
    <xf numFmtId="0" fontId="6" fillId="0" borderId="0" xfId="17" applyAlignment="1">
      <alignment vertical="center"/>
    </xf>
    <xf numFmtId="0" fontId="126" fillId="0" borderId="98" xfId="17" applyFont="1" applyBorder="1" applyAlignment="1">
      <alignment horizontal="left" vertical="top"/>
    </xf>
    <xf numFmtId="0" fontId="126" fillId="0" borderId="78" xfId="17" applyFont="1" applyBorder="1" applyAlignment="1">
      <alignment horizontal="left" vertical="top"/>
    </xf>
    <xf numFmtId="0" fontId="126" fillId="0" borderId="99" xfId="17" applyFont="1" applyBorder="1" applyAlignment="1">
      <alignment horizontal="left" vertical="top"/>
    </xf>
    <xf numFmtId="0" fontId="32" fillId="0" borderId="0" xfId="2" applyNumberFormat="1" applyAlignment="1" applyProtection="1">
      <alignment vertical="center"/>
    </xf>
    <xf numFmtId="0" fontId="63" fillId="0" borderId="5" xfId="3" applyFont="1" applyFill="1" applyBorder="1" applyAlignment="1" applyProtection="1"/>
    <xf numFmtId="49" fontId="6" fillId="0" borderId="157" xfId="17" applyNumberFormat="1" applyBorder="1" applyAlignment="1" applyProtection="1">
      <alignment horizontal="center" vertical="center"/>
      <protection locked="0"/>
    </xf>
    <xf numFmtId="49" fontId="4" fillId="0" borderId="157" xfId="17" applyNumberFormat="1" applyFont="1" applyBorder="1" applyAlignment="1" applyProtection="1">
      <alignment horizontal="center" vertical="center"/>
      <protection locked="0"/>
    </xf>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38" fontId="54" fillId="16" borderId="27" xfId="0" applyNumberFormat="1" applyFont="1" applyFill="1" applyBorder="1" applyAlignment="1">
      <alignment horizontal="right"/>
    </xf>
    <xf numFmtId="38" fontId="54" fillId="16" borderId="2" xfId="0" applyNumberFormat="1" applyFont="1" applyFill="1" applyBorder="1" applyAlignment="1">
      <alignment horizontal="right"/>
    </xf>
    <xf numFmtId="38" fontId="54" fillId="16" borderId="4" xfId="0" applyNumberFormat="1" applyFont="1" applyFill="1" applyBorder="1" applyAlignment="1">
      <alignment horizontal="right"/>
    </xf>
    <xf numFmtId="49" fontId="63" fillId="16" borderId="36" xfId="0" applyNumberFormat="1" applyFont="1" applyFill="1" applyBorder="1" applyAlignment="1">
      <alignment horizontal="center" vertical="center"/>
    </xf>
    <xf numFmtId="38" fontId="54" fillId="16" borderId="30" xfId="0" applyNumberFormat="1" applyFont="1" applyFill="1" applyBorder="1" applyAlignment="1">
      <alignment horizontal="right"/>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38" fontId="54" fillId="16" borderId="32" xfId="0" applyNumberFormat="1" applyFont="1" applyFill="1" applyBorder="1" applyAlignment="1">
      <alignment horizontal="right"/>
    </xf>
    <xf numFmtId="0" fontId="63" fillId="16" borderId="27" xfId="0" applyFont="1" applyFill="1" applyBorder="1" applyAlignment="1">
      <alignment horizontal="center" vertical="center"/>
    </xf>
    <xf numFmtId="38" fontId="54" fillId="16" borderId="33" xfId="0" applyNumberFormat="1" applyFont="1" applyFill="1" applyBorder="1" applyAlignment="1">
      <alignment horizontal="right"/>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8" fontId="54" fillId="16" borderId="26" xfId="0" applyNumberFormat="1" applyFont="1" applyFill="1" applyBorder="1" applyAlignment="1">
      <alignment horizontal="right"/>
    </xf>
    <xf numFmtId="38" fontId="54" fillId="16" borderId="28" xfId="0" applyNumberFormat="1" applyFont="1" applyFill="1" applyBorder="1" applyAlignment="1">
      <alignment horizontal="right"/>
    </xf>
    <xf numFmtId="38" fontId="54" fillId="16" borderId="29" xfId="0" applyNumberFormat="1" applyFont="1" applyFill="1" applyBorder="1" applyAlignment="1">
      <alignment horizontal="right"/>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8" fontId="54" fillId="16" borderId="27" xfId="0" applyNumberFormat="1" applyFont="1" applyFill="1" applyBorder="1" applyAlignment="1" applyProtection="1">
      <alignment horizontal="right"/>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38" fontId="54" fillId="16" borderId="3" xfId="0" applyNumberFormat="1" applyFont="1" applyFill="1" applyBorder="1" applyAlignment="1">
      <alignment horizontal="right"/>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38" fontId="54" fillId="16" borderId="33" xfId="0" applyNumberFormat="1" applyFont="1" applyFill="1" applyBorder="1" applyAlignment="1" applyProtection="1">
      <alignment horizontal="right"/>
    </xf>
    <xf numFmtId="38" fontId="54" fillId="16" borderId="32" xfId="0" applyNumberFormat="1" applyFont="1" applyFill="1" applyBorder="1" applyAlignment="1" applyProtection="1">
      <alignment horizontal="right"/>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38" fontId="54" fillId="16" borderId="36" xfId="0" applyNumberFormat="1" applyFont="1" applyFill="1" applyBorder="1" applyAlignment="1" applyProtection="1">
      <alignment horizontal="right"/>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37" fontId="54" fillId="16" borderId="36" xfId="0" applyNumberFormat="1" applyFont="1" applyFill="1" applyBorder="1" applyAlignment="1" applyProtection="1">
      <alignment horizontal="right"/>
    </xf>
    <xf numFmtId="37" fontId="54" fillId="16" borderId="27" xfId="0" applyNumberFormat="1" applyFont="1" applyFill="1" applyBorder="1" applyAlignment="1" applyProtection="1">
      <alignment horizontal="right"/>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38" fontId="54" fillId="16" borderId="37" xfId="0" applyNumberFormat="1" applyFont="1" applyFill="1" applyBorder="1" applyAlignment="1" applyProtection="1">
      <alignment horizontal="right"/>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38" fontId="54" fillId="16" borderId="12" xfId="0" applyNumberFormat="1" applyFont="1" applyFill="1" applyBorder="1" applyAlignment="1" applyProtection="1">
      <alignment horizontal="right"/>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38" fontId="54" fillId="16" borderId="3" xfId="0" applyNumberFormat="1" applyFont="1" applyFill="1" applyBorder="1" applyAlignment="1" applyProtection="1">
      <alignment horizontal="right"/>
    </xf>
    <xf numFmtId="38" fontId="54" fillId="16" borderId="55" xfId="0" applyNumberFormat="1" applyFont="1" applyFill="1" applyBorder="1" applyAlignment="1" applyProtection="1">
      <alignment horizontal="right"/>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8" fontId="56" fillId="16" borderId="2"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38" fontId="54" fillId="16" borderId="30" xfId="0" applyNumberFormat="1" applyFont="1" applyFill="1" applyBorder="1" applyAlignment="1" applyProtection="1">
      <alignment horizontal="right"/>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38" fontId="54" fillId="16" borderId="26" xfId="0" applyNumberFormat="1" applyFont="1" applyFill="1" applyBorder="1" applyAlignment="1" applyProtection="1">
      <alignment horizontal="right"/>
    </xf>
    <xf numFmtId="0" fontId="63" fillId="16" borderId="30" xfId="0" applyFont="1" applyFill="1" applyBorder="1" applyAlignment="1" applyProtection="1">
      <alignment horizontal="center" vertical="center"/>
    </xf>
    <xf numFmtId="38" fontId="54" fillId="16" borderId="4" xfId="0" applyNumberFormat="1" applyFont="1" applyFill="1" applyBorder="1" applyAlignment="1" applyProtection="1">
      <alignment horizontal="right"/>
    </xf>
    <xf numFmtId="38" fontId="54" fillId="16" borderId="2" xfId="0" applyNumberFormat="1" applyFont="1" applyFill="1" applyBorder="1" applyAlignment="1" applyProtection="1">
      <alignment horizontal="right"/>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38" fontId="54" fillId="16" borderId="28" xfId="0" applyNumberFormat="1" applyFont="1" applyFill="1" applyBorder="1" applyAlignment="1" applyProtection="1">
      <alignment horizontal="right"/>
    </xf>
    <xf numFmtId="38" fontId="54" fillId="16" borderId="18" xfId="0" applyNumberFormat="1" applyFont="1" applyFill="1" applyBorder="1" applyAlignment="1" applyProtection="1">
      <alignment horizontal="right"/>
    </xf>
    <xf numFmtId="38" fontId="54" fillId="16" borderId="0" xfId="0" applyNumberFormat="1" applyFont="1" applyFill="1" applyAlignment="1" applyProtection="1">
      <alignment horizontal="right"/>
    </xf>
    <xf numFmtId="38" fontId="54" fillId="16" borderId="127" xfId="0" applyNumberFormat="1" applyFont="1" applyFill="1" applyBorder="1" applyAlignment="1" applyProtection="1">
      <alignment horizontal="right" vertical="center"/>
      <protection locked="0"/>
    </xf>
    <xf numFmtId="38" fontId="54" fillId="16" borderId="2" xfId="0" applyNumberFormat="1" applyFont="1" applyFill="1" applyBorder="1" applyAlignment="1" applyProtection="1">
      <alignment horizontal="right" vertical="center"/>
      <protection locked="0"/>
    </xf>
    <xf numFmtId="38" fontId="54" fillId="16" borderId="27" xfId="0" applyNumberFormat="1" applyFont="1" applyFill="1" applyBorder="1" applyAlignment="1" applyProtection="1">
      <alignment horizontal="right" vertical="center"/>
      <protection locked="0"/>
    </xf>
    <xf numFmtId="38" fontId="54" fillId="16" borderId="127" xfId="0" applyNumberFormat="1" applyFont="1" applyFill="1" applyBorder="1" applyAlignment="1" applyProtection="1">
      <alignment horizontal="right" vertical="center"/>
    </xf>
    <xf numFmtId="38" fontId="54" fillId="16" borderId="2" xfId="0" applyNumberFormat="1" applyFont="1" applyFill="1" applyBorder="1" applyAlignment="1" applyProtection="1">
      <alignment horizontal="right" vertical="center"/>
    </xf>
    <xf numFmtId="0" fontId="63" fillId="16" borderId="27" xfId="0" applyFont="1" applyFill="1" applyBorder="1" applyAlignment="1">
      <alignment horizontal="left" vertical="center" wrapText="1" indent="1"/>
    </xf>
    <xf numFmtId="38" fontId="54" fillId="16" borderId="27" xfId="0" applyNumberFormat="1" applyFont="1" applyFill="1" applyBorder="1" applyAlignment="1" applyProtection="1">
      <alignment horizontal="right" vertical="center"/>
    </xf>
    <xf numFmtId="38" fontId="54" fillId="16" borderId="2" xfId="9" applyNumberFormat="1" applyFont="1" applyFill="1" applyBorder="1" applyAlignment="1" applyProtection="1">
      <alignment horizontal="right"/>
    </xf>
    <xf numFmtId="49" fontId="61" fillId="16" borderId="41"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38" fontId="54" fillId="16" borderId="60" xfId="0" applyNumberFormat="1" applyFont="1" applyFill="1" applyBorder="1" applyAlignment="1" applyProtection="1"/>
    <xf numFmtId="38" fontId="54" fillId="16" borderId="41" xfId="0" applyNumberFormat="1" applyFont="1" applyFill="1" applyBorder="1" applyAlignment="1" applyProtection="1">
      <alignment horizontal="right"/>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3" fontId="63" fillId="16" borderId="57" xfId="10" applyNumberFormat="1" applyFont="1" applyFill="1" applyBorder="1" applyAlignment="1" applyProtection="1">
      <alignmen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38" fontId="63" fillId="16" borderId="47" xfId="10" applyNumberFormat="1" applyFont="1" applyFill="1" applyBorder="1" applyAlignment="1">
      <alignment horizontal="right"/>
    </xf>
    <xf numFmtId="0" fontId="61" fillId="16" borderId="0" xfId="10" quotePrefix="1" applyFont="1" applyFill="1" applyAlignment="1">
      <alignment horizontal="left" vertical="center"/>
    </xf>
    <xf numFmtId="38" fontId="61" fillId="16" borderId="58" xfId="10" applyNumberFormat="1" applyFont="1" applyFill="1" applyBorder="1" applyAlignment="1" applyProtection="1">
      <alignment horizontal="right"/>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40" fontId="63" fillId="16" borderId="47" xfId="10" applyNumberFormat="1" applyFont="1" applyFill="1" applyBorder="1" applyAlignment="1" applyProtection="1">
      <alignment horizontal="right"/>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38" fontId="63" fillId="16" borderId="9" xfId="11" applyNumberFormat="1" applyFont="1" applyFill="1" applyBorder="1" applyAlignment="1" applyProtection="1">
      <alignment horizontal="right"/>
    </xf>
    <xf numFmtId="38" fontId="61" fillId="16" borderId="6" xfId="11" applyNumberFormat="1" applyFont="1" applyFill="1" applyBorder="1" applyAlignment="1" applyProtection="1">
      <alignment horizontal="right"/>
    </xf>
    <xf numFmtId="0" fontId="61" fillId="16" borderId="0" xfId="11" applyFont="1" applyFill="1" applyAlignment="1">
      <alignment vertical="center"/>
    </xf>
    <xf numFmtId="40" fontId="61" fillId="16" borderId="9" xfId="11" applyNumberFormat="1" applyFont="1" applyFill="1" applyBorder="1" applyAlignment="1" applyProtection="1">
      <alignment horizontal="right"/>
    </xf>
    <xf numFmtId="40" fontId="63" fillId="16" borderId="57" xfId="11" applyNumberFormat="1" applyFont="1" applyFill="1" applyBorder="1" applyAlignment="1" applyProtection="1">
      <alignment horizontal="right"/>
    </xf>
    <xf numFmtId="38" fontId="6" fillId="16" borderId="157" xfId="17" applyNumberFormat="1" applyFill="1" applyBorder="1" applyAlignment="1" applyProtection="1">
      <alignment vertical="top"/>
    </xf>
    <xf numFmtId="38" fontId="6" fillId="16" borderId="158" xfId="17" applyNumberFormat="1" applyFill="1" applyBorder="1" applyAlignment="1" applyProtection="1">
      <alignment horizontal="right" vertical="top"/>
    </xf>
    <xf numFmtId="38" fontId="6" fillId="16" borderId="158" xfId="17" applyNumberFormat="1" applyFill="1" applyBorder="1" applyAlignment="1" applyProtection="1">
      <alignment vertical="top"/>
    </xf>
    <xf numFmtId="0" fontId="6" fillId="16" borderId="158" xfId="17" applyFill="1" applyBorder="1" applyAlignment="1" applyProtection="1">
      <alignment horizontal="left" vertical="top" wrapText="1"/>
    </xf>
    <xf numFmtId="49" fontId="6" fillId="16" borderId="158" xfId="17" applyNumberFormat="1" applyFill="1" applyBorder="1" applyAlignment="1" applyProtection="1">
      <alignment vertical="top"/>
    </xf>
    <xf numFmtId="0" fontId="6" fillId="16" borderId="158" xfId="17" applyFill="1" applyBorder="1" applyAlignment="1" applyProtection="1">
      <alignment vertical="top"/>
    </xf>
    <xf numFmtId="0" fontId="54" fillId="16" borderId="126" xfId="0" applyFont="1" applyFill="1" applyBorder="1"/>
    <xf numFmtId="37" fontId="54" fillId="16" borderId="126" xfId="0" applyNumberFormat="1" applyFont="1" applyFill="1" applyBorder="1"/>
    <xf numFmtId="37" fontId="54" fillId="16" borderId="128" xfId="0" applyNumberFormat="1" applyFont="1" applyFill="1" applyBorder="1"/>
    <xf numFmtId="0" fontId="54" fillId="16" borderId="14" xfId="0" applyFont="1" applyFill="1" applyBorder="1"/>
    <xf numFmtId="0" fontId="54" fillId="16" borderId="21" xfId="0" applyFont="1" applyFill="1" applyBorder="1"/>
    <xf numFmtId="37" fontId="54" fillId="16" borderId="14" xfId="0" applyNumberFormat="1" applyFont="1" applyFill="1" applyBorder="1"/>
    <xf numFmtId="37" fontId="54" fillId="16" borderId="21" xfId="0" applyNumberFormat="1" applyFont="1" applyFill="1" applyBorder="1"/>
    <xf numFmtId="38" fontId="54" fillId="16" borderId="14" xfId="0" applyNumberFormat="1" applyFont="1" applyFill="1" applyBorder="1"/>
    <xf numFmtId="0" fontId="61" fillId="16" borderId="0" xfId="0" applyFont="1" applyFill="1" applyBorder="1" applyAlignment="1">
      <alignment horizontal="right"/>
    </xf>
    <xf numFmtId="38" fontId="54" fillId="16" borderId="18" xfId="0" applyNumberFormat="1" applyFont="1" applyFill="1" applyBorder="1"/>
    <xf numFmtId="0" fontId="54" fillId="16" borderId="13" xfId="0" applyFont="1" applyFill="1" applyBorder="1" applyAlignment="1">
      <alignment horizontal="right"/>
    </xf>
    <xf numFmtId="10" fontId="53" fillId="16" borderId="14" xfId="0" applyNumberFormat="1" applyFont="1" applyFill="1" applyBorder="1" applyAlignment="1">
      <alignment horizontal="left" indent="2"/>
    </xf>
    <xf numFmtId="38" fontId="54" fillId="16" borderId="2" xfId="3" applyNumberFormat="1" applyFont="1" applyFill="1" applyBorder="1" applyAlignment="1">
      <alignment vertical="center"/>
    </xf>
    <xf numFmtId="38" fontId="54" fillId="16" borderId="2" xfId="3" applyNumberFormat="1" applyFont="1" applyFill="1" applyBorder="1" applyAlignment="1" applyProtection="1">
      <alignment vertical="center"/>
    </xf>
    <xf numFmtId="38" fontId="54" fillId="16" borderId="27" xfId="3" applyNumberFormat="1" applyFont="1" applyFill="1" applyBorder="1" applyAlignment="1">
      <alignment vertical="center"/>
    </xf>
    <xf numFmtId="9" fontId="54" fillId="16" borderId="4" xfId="3" applyNumberFormat="1" applyFont="1" applyFill="1" applyBorder="1" applyAlignment="1">
      <alignment horizontal="center" vertical="center"/>
    </xf>
    <xf numFmtId="38" fontId="54" fillId="16" borderId="22" xfId="3" applyNumberFormat="1" applyFont="1" applyFill="1" applyBorder="1" applyAlignment="1">
      <alignment horizontal="right" vertical="center"/>
    </xf>
    <xf numFmtId="38" fontId="54" fillId="16" borderId="41" xfId="3" applyNumberFormat="1" applyFont="1" applyFill="1" applyBorder="1" applyAlignment="1">
      <alignment horizontal="right" vertical="center"/>
    </xf>
    <xf numFmtId="38" fontId="54" fillId="16" borderId="75" xfId="3" applyNumberFormat="1" applyFont="1" applyFill="1" applyBorder="1" applyAlignment="1">
      <alignment horizontal="right" vertical="center"/>
    </xf>
    <xf numFmtId="38" fontId="53" fillId="16" borderId="75" xfId="3" applyNumberFormat="1" applyFont="1" applyFill="1" applyBorder="1" applyAlignment="1">
      <alignment horizontal="right" vertical="center"/>
    </xf>
    <xf numFmtId="38" fontId="54" fillId="16" borderId="60" xfId="3" applyNumberFormat="1" applyFont="1" applyFill="1" applyBorder="1" applyAlignment="1">
      <alignment horizontal="right" vertical="center"/>
    </xf>
    <xf numFmtId="38" fontId="53" fillId="16" borderId="60" xfId="3" applyNumberFormat="1" applyFont="1" applyFill="1" applyBorder="1" applyAlignment="1">
      <alignment horizontal="right" vertical="center"/>
    </xf>
    <xf numFmtId="38" fontId="54" fillId="16" borderId="127" xfId="0" applyNumberFormat="1" applyFont="1" applyFill="1" applyBorder="1" applyAlignment="1" applyProtection="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38" fontId="54" fillId="15" borderId="26" xfId="0" applyNumberFormat="1" applyFont="1" applyFill="1" applyBorder="1" applyAlignment="1">
      <alignment horizontal="right"/>
    </xf>
    <xf numFmtId="38" fontId="54" fillId="15" borderId="3" xfId="0" applyNumberFormat="1" applyFont="1" applyFill="1" applyBorder="1" applyAlignment="1">
      <alignment horizontal="right"/>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8" fontId="54" fillId="26" borderId="26" xfId="0" applyNumberFormat="1" applyFont="1" applyFill="1" applyBorder="1" applyAlignment="1">
      <alignment horizontal="right"/>
    </xf>
    <xf numFmtId="3" fontId="61" fillId="0" borderId="12" xfId="0" applyNumberFormat="1" applyFont="1" applyBorder="1" applyAlignment="1">
      <alignment horizontal="left" vertical="top" wrapText="1" indent="1"/>
    </xf>
    <xf numFmtId="38" fontId="54" fillId="16" borderId="19" xfId="0" applyNumberFormat="1" applyFont="1" applyFill="1" applyBorder="1" applyAlignment="1" applyProtection="1">
      <alignment horizontal="right"/>
    </xf>
    <xf numFmtId="49" fontId="32" fillId="0" borderId="0" xfId="2" applyNumberFormat="1" applyBorder="1" applyAlignment="1" applyProtection="1">
      <alignment horizontal="center"/>
    </xf>
    <xf numFmtId="49" fontId="3" fillId="0" borderId="157" xfId="17" applyNumberFormat="1" applyFont="1" applyBorder="1" applyAlignment="1" applyProtection="1">
      <alignment horizontal="center" vertical="center"/>
      <protection locked="0"/>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61" xfId="3" applyFont="1" applyBorder="1" applyProtection="1"/>
    <xf numFmtId="49" fontId="61" fillId="0" borderId="14" xfId="0" applyNumberFormat="1" applyFont="1" applyFill="1" applyBorder="1" applyAlignment="1" applyProtection="1">
      <alignment horizontal="center" vertical="center"/>
    </xf>
    <xf numFmtId="38" fontId="54" fillId="15" borderId="3" xfId="0" applyNumberFormat="1" applyFont="1" applyFill="1" applyBorder="1" applyAlignment="1" applyProtection="1">
      <alignment horizontal="right"/>
    </xf>
    <xf numFmtId="38" fontId="54" fillId="15" borderId="26" xfId="0" applyNumberFormat="1" applyFont="1" applyFill="1" applyBorder="1" applyAlignment="1" applyProtection="1">
      <alignment horizontal="right"/>
    </xf>
    <xf numFmtId="38" fontId="6" fillId="0" borderId="157" xfId="17" applyNumberFormat="1" applyBorder="1" applyAlignment="1" applyProtection="1">
      <alignment horizontal="right" vertical="top"/>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3" borderId="0" xfId="18" applyFont="1" applyFill="1" applyAlignment="1">
      <alignment horizontal="centerContinuous" vertical="center"/>
    </xf>
    <xf numFmtId="0" fontId="99" fillId="23" borderId="0" xfId="18" applyFont="1" applyFill="1" applyAlignment="1">
      <alignment horizontal="centerContinuous"/>
    </xf>
    <xf numFmtId="0" fontId="87" fillId="0" borderId="137"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3" fillId="0" borderId="0" xfId="18" applyFont="1" applyAlignment="1">
      <alignment wrapText="1"/>
    </xf>
    <xf numFmtId="0" fontId="131" fillId="0" borderId="162"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4"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9" xfId="18" applyFont="1" applyBorder="1" applyAlignment="1">
      <alignment horizontal="left" vertical="center" wrapText="1"/>
    </xf>
    <xf numFmtId="0" fontId="103" fillId="0" borderId="160"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2"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99" fillId="0" borderId="0" xfId="18" applyFont="1" applyProtection="1"/>
    <xf numFmtId="0" fontId="3" fillId="0" borderId="0" xfId="18" applyFont="1"/>
    <xf numFmtId="0" fontId="47" fillId="0" borderId="140" xfId="18" applyFont="1" applyBorder="1" applyAlignment="1">
      <alignment vertical="top"/>
    </xf>
    <xf numFmtId="0" fontId="47" fillId="0" borderId="141" xfId="18" applyFont="1" applyBorder="1" applyAlignment="1">
      <alignment vertical="top"/>
    </xf>
    <xf numFmtId="0" fontId="48" fillId="15" borderId="76" xfId="18" applyFont="1" applyFill="1" applyBorder="1" applyAlignment="1">
      <alignment vertical="top"/>
    </xf>
    <xf numFmtId="0" fontId="47" fillId="0" borderId="140" xfId="18" applyFont="1" applyBorder="1" applyAlignment="1">
      <alignment vertical="top" wrapText="1"/>
    </xf>
    <xf numFmtId="0" fontId="47" fillId="0" borderId="141"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3"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49" fontId="63" fillId="0" borderId="2" xfId="0" applyNumberFormat="1" applyFont="1" applyFill="1" applyBorder="1" applyAlignment="1" applyProtection="1">
      <alignment horizontal="center" vertical="top" wrapText="1"/>
    </xf>
    <xf numFmtId="49" fontId="63" fillId="0" borderId="2" xfId="9" applyNumberFormat="1" applyFont="1" applyFill="1" applyBorder="1" applyAlignment="1">
      <alignment horizontal="center" vertical="top" wrapText="1"/>
    </xf>
    <xf numFmtId="49" fontId="63" fillId="5" borderId="2" xfId="9" applyNumberFormat="1" applyFont="1" applyFill="1" applyBorder="1" applyAlignment="1" applyProtection="1">
      <alignment horizontal="center" vertical="top" wrapText="1"/>
    </xf>
    <xf numFmtId="0" fontId="99" fillId="23" borderId="0" xfId="18" applyFont="1" applyFill="1" applyAlignment="1">
      <alignment horizontal="centerContinuous" vertical="center"/>
    </xf>
    <xf numFmtId="0" fontId="103" fillId="23" borderId="138" xfId="18" applyFont="1" applyFill="1" applyBorder="1" applyAlignment="1">
      <alignment horizontal="center" vertical="center" wrapText="1"/>
    </xf>
    <xf numFmtId="0" fontId="103" fillId="23" borderId="163" xfId="18" applyFont="1" applyFill="1" applyBorder="1" applyAlignment="1">
      <alignment horizontal="center" vertical="center" wrapText="1"/>
    </xf>
    <xf numFmtId="0" fontId="103" fillId="17" borderId="139"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9" xfId="18" applyFont="1" applyFill="1" applyBorder="1" applyAlignment="1" applyProtection="1">
      <alignment horizontal="right"/>
    </xf>
    <xf numFmtId="0" fontId="64" fillId="23" borderId="12" xfId="3" applyNumberFormat="1" applyFont="1" applyFill="1" applyBorder="1" applyAlignment="1">
      <alignment horizontal="left"/>
    </xf>
    <xf numFmtId="0" fontId="53" fillId="0" borderId="12" xfId="3" applyNumberFormat="1" applyFont="1" applyFill="1" applyBorder="1" applyAlignment="1">
      <alignment horizontal="centerContinuous" vertical="center"/>
    </xf>
    <xf numFmtId="0" fontId="53" fillId="0" borderId="3" xfId="3" applyNumberFormat="1" applyFont="1" applyFill="1" applyBorder="1" applyAlignment="1">
      <alignment horizontal="centerContinuous" vertical="center"/>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38" fontId="61" fillId="0" borderId="147" xfId="11" applyNumberFormat="1" applyFont="1" applyFill="1" applyBorder="1" applyAlignment="1" applyProtection="1">
      <alignment horizontal="right"/>
      <protection locked="0"/>
    </xf>
    <xf numFmtId="38" fontId="61" fillId="16" borderId="9" xfId="11" applyNumberFormat="1" applyFont="1" applyFill="1" applyBorder="1" applyAlignment="1" applyProtection="1">
      <alignment horizontal="right"/>
    </xf>
    <xf numFmtId="3" fontId="61" fillId="16" borderId="9" xfId="10" applyNumberFormat="1" applyFont="1" applyFill="1" applyBorder="1" applyAlignment="1" applyProtection="1">
      <alignment vertical="center"/>
    </xf>
    <xf numFmtId="3" fontId="61" fillId="16" borderId="6" xfId="10" applyNumberFormat="1" applyFont="1" applyFill="1" applyBorder="1" applyAlignment="1" applyProtection="1">
      <alignment vertical="center"/>
    </xf>
    <xf numFmtId="38" fontId="61" fillId="16" borderId="9" xfId="10" applyNumberFormat="1" applyFont="1" applyFill="1" applyBorder="1" applyAlignment="1" applyProtection="1">
      <alignment horizontal="right" vertical="center"/>
    </xf>
    <xf numFmtId="38" fontId="61" fillId="16" borderId="0" xfId="10" applyNumberFormat="1" applyFont="1" applyFill="1" applyAlignment="1">
      <alignment vertical="top"/>
    </xf>
    <xf numFmtId="38" fontId="61" fillId="16" borderId="6" xfId="10" applyNumberFormat="1" applyFont="1" applyFill="1" applyBorder="1" applyAlignment="1" applyProtection="1">
      <alignment horizontal="right" vertical="center"/>
    </xf>
    <xf numFmtId="38" fontId="61" fillId="16" borderId="6" xfId="10" applyNumberFormat="1" applyFont="1" applyFill="1" applyBorder="1" applyAlignment="1" applyProtection="1">
      <alignment horizontal="right"/>
    </xf>
    <xf numFmtId="38" fontId="61" fillId="16" borderId="0" xfId="10" applyNumberFormat="1" applyFont="1" applyFill="1" applyAlignment="1">
      <alignment horizontal="right"/>
    </xf>
    <xf numFmtId="38" fontId="61" fillId="16" borderId="9" xfId="10" applyNumberFormat="1" applyFont="1" applyFill="1" applyBorder="1" applyAlignment="1" applyProtection="1">
      <alignment horizontal="right"/>
    </xf>
    <xf numFmtId="38" fontId="61" fillId="16" borderId="6" xfId="10" applyNumberFormat="1" applyFont="1" applyFill="1" applyBorder="1" applyAlignment="1">
      <alignment horizontal="right"/>
    </xf>
    <xf numFmtId="38" fontId="61" fillId="16" borderId="147" xfId="10" applyNumberFormat="1" applyFont="1" applyFill="1" applyBorder="1" applyAlignment="1" applyProtection="1">
      <alignment horizontal="right"/>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63" fillId="0" borderId="0" xfId="11" applyFont="1" applyAlignment="1">
      <alignment horizontal="right" vertical="center"/>
    </xf>
    <xf numFmtId="0" fontId="63" fillId="0" borderId="0" xfId="0" applyFont="1" applyBorder="1" applyAlignment="1" applyProtection="1">
      <alignment horizontal="lef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38" fontId="2" fillId="16" borderId="157" xfId="17" applyNumberFormat="1" applyFont="1" applyFill="1" applyBorder="1" applyAlignment="1" applyProtection="1">
      <alignment horizontal="right" vertical="top"/>
    </xf>
    <xf numFmtId="38" fontId="2" fillId="16" borderId="158" xfId="17" applyNumberFormat="1" applyFont="1" applyFill="1" applyBorder="1" applyAlignment="1" applyProtection="1">
      <alignment horizontal="right" vertical="top"/>
    </xf>
    <xf numFmtId="49" fontId="2" fillId="0" borderId="157" xfId="17" applyNumberFormat="1" applyFont="1" applyBorder="1" applyAlignment="1" applyProtection="1">
      <alignment horizontal="center" vertical="top"/>
      <protection locked="0"/>
    </xf>
    <xf numFmtId="49" fontId="2" fillId="0" borderId="157" xfId="17" applyNumberFormat="1" applyFont="1" applyBorder="1" applyAlignment="1" applyProtection="1">
      <alignment horizontal="center" vertical="center"/>
      <protection locked="0"/>
    </xf>
    <xf numFmtId="0" fontId="56" fillId="0" borderId="77" xfId="3" applyNumberFormat="1" applyFont="1" applyBorder="1" applyAlignment="1" applyProtection="1">
      <alignment horizontal="center"/>
      <protection locked="0"/>
    </xf>
    <xf numFmtId="0" fontId="99" fillId="0" borderId="105" xfId="19" applyFont="1" applyBorder="1" applyProtection="1">
      <protection locked="0"/>
    </xf>
    <xf numFmtId="0" fontId="56" fillId="0" borderId="0" xfId="20" applyFont="1"/>
    <xf numFmtId="0" fontId="1" fillId="0" borderId="157" xfId="23" applyFont="1" applyBorder="1" applyAlignment="1" applyProtection="1">
      <alignment horizontal="left" vertical="top" wrapText="1"/>
      <protection locked="0"/>
    </xf>
    <xf numFmtId="49" fontId="1" fillId="0" borderId="157" xfId="23" applyNumberFormat="1" applyFont="1" applyBorder="1" applyAlignment="1" applyProtection="1">
      <alignment horizontal="center" vertical="top"/>
      <protection locked="0"/>
    </xf>
    <xf numFmtId="0" fontId="1" fillId="0" borderId="157" xfId="23" applyFont="1" applyBorder="1" applyAlignment="1" applyProtection="1">
      <alignment vertical="top"/>
      <protection locked="0"/>
    </xf>
    <xf numFmtId="38" fontId="1" fillId="0" borderId="157" xfId="23" applyNumberFormat="1" applyBorder="1" applyAlignment="1" applyProtection="1">
      <alignment horizontal="right" vertical="top"/>
      <protection locked="0"/>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5" xfId="12" applyNumberFormat="1" applyFont="1" applyBorder="1" applyAlignment="1" applyProtection="1">
      <alignment horizontal="left" vertical="center" indent="1"/>
      <protection locked="0"/>
    </xf>
    <xf numFmtId="0" fontId="12" fillId="0" borderId="128"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180" fontId="12" fillId="0" borderId="125" xfId="12" applyNumberFormat="1" applyFont="1" applyBorder="1" applyAlignment="1" applyProtection="1">
      <alignment horizontal="left" vertical="center" indent="1"/>
      <protection locked="0"/>
    </xf>
    <xf numFmtId="180" fontId="12" fillId="0" borderId="128"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6" xfId="12"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8"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57" fillId="0" borderId="0" xfId="2" applyFont="1"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5" xfId="3" applyFont="1" applyBorder="1" applyAlignment="1" applyProtection="1">
      <alignment horizontal="left" vertical="top"/>
      <protection locked="0"/>
    </xf>
    <xf numFmtId="0" fontId="54" fillId="0" borderId="128"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3" fillId="0" borderId="134"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5" xfId="0" applyFont="1" applyBorder="1" applyAlignment="1" applyProtection="1">
      <alignment horizontal="left" vertical="top" wrapText="1"/>
      <protection locked="0"/>
    </xf>
    <xf numFmtId="0" fontId="54" fillId="0" borderId="128"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6" xfId="0" applyFont="1" applyFill="1" applyBorder="1" applyAlignment="1" applyProtection="1">
      <alignment horizontal="center" vertical="center" wrapText="1"/>
    </xf>
    <xf numFmtId="3" fontId="63" fillId="23" borderId="13" xfId="0" applyNumberFormat="1" applyFont="1" applyFill="1" applyBorder="1" applyAlignment="1" applyProtection="1">
      <alignment horizontal="left" vertical="center"/>
    </xf>
    <xf numFmtId="3" fontId="63" fillId="23" borderId="14" xfId="0" applyNumberFormat="1" applyFont="1" applyFill="1" applyBorder="1" applyAlignment="1" applyProtection="1">
      <alignment horizontal="left" vertical="center"/>
    </xf>
    <xf numFmtId="164" fontId="63" fillId="23" borderId="49" xfId="0" applyNumberFormat="1" applyFont="1" applyFill="1" applyBorder="1" applyAlignment="1" applyProtection="1">
      <alignment horizontal="left" vertical="center"/>
    </xf>
    <xf numFmtId="164" fontId="63" fillId="23" borderId="31" xfId="0" applyNumberFormat="1" applyFont="1" applyFill="1" applyBorder="1" applyAlignment="1" applyProtection="1">
      <alignment horizontal="left" vertical="center"/>
    </xf>
    <xf numFmtId="0" fontId="63" fillId="23" borderId="34" xfId="0" applyFont="1" applyFill="1" applyBorder="1" applyAlignment="1" applyProtection="1">
      <alignment horizontal="left" vertical="center"/>
    </xf>
    <xf numFmtId="0" fontId="63" fillId="23" borderId="31" xfId="0" applyFont="1" applyFill="1" applyBorder="1" applyAlignment="1" applyProtection="1">
      <alignment horizontal="left" vertical="center"/>
    </xf>
    <xf numFmtId="164" fontId="63" fillId="23" borderId="13" xfId="0" applyNumberFormat="1" applyFont="1" applyFill="1" applyBorder="1" applyAlignment="1" applyProtection="1">
      <alignment horizontal="left" vertical="center"/>
    </xf>
    <xf numFmtId="164" fontId="63" fillId="23"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xf>
    <xf numFmtId="0" fontId="63" fillId="16" borderId="30" xfId="0" applyFont="1" applyFill="1" applyBorder="1" applyAlignment="1" applyProtection="1">
      <alignment horizontal="left" vertical="center" indent="2"/>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6"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5" borderId="13" xfId="0" applyNumberFormat="1" applyFont="1" applyFill="1" applyBorder="1" applyAlignment="1" applyProtection="1">
      <alignment horizontal="left" vertical="center" wrapText="1" indent="1"/>
    </xf>
    <xf numFmtId="164" fontId="63" fillId="25"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3" borderId="13" xfId="0" applyNumberFormat="1" applyFont="1" applyFill="1" applyBorder="1" applyAlignment="1" applyProtection="1">
      <alignment horizontal="left" vertical="center"/>
    </xf>
    <xf numFmtId="49" fontId="63" fillId="23" borderId="14" xfId="0" applyNumberFormat="1" applyFont="1" applyFill="1" applyBorder="1" applyAlignment="1" applyProtection="1">
      <alignment horizontal="left" vertical="center"/>
    </xf>
    <xf numFmtId="0" fontId="63" fillId="23" borderId="13" xfId="0" applyFont="1" applyFill="1" applyBorder="1" applyAlignment="1" applyProtection="1">
      <alignment vertical="center"/>
    </xf>
    <xf numFmtId="0" fontId="63" fillId="23"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3" borderId="19" xfId="0" applyFont="1" applyFill="1" applyBorder="1" applyAlignment="1">
      <alignment horizontal="center" vertical="center"/>
    </xf>
    <xf numFmtId="0" fontId="56" fillId="23" borderId="11" xfId="0" applyFont="1" applyFill="1" applyBorder="1" applyAlignment="1">
      <alignment horizontal="center" vertical="center"/>
    </xf>
    <xf numFmtId="0" fontId="64" fillId="24" borderId="20" xfId="0" applyFont="1" applyFill="1" applyBorder="1" applyAlignment="1">
      <alignment horizontal="center" vertical="center"/>
    </xf>
    <xf numFmtId="0" fontId="64" fillId="24" borderId="11" xfId="0" applyFont="1" applyFill="1" applyBorder="1" applyAlignment="1">
      <alignment horizontal="center" vertical="center"/>
    </xf>
    <xf numFmtId="0" fontId="56" fillId="24" borderId="11" xfId="0" applyFont="1" applyFill="1" applyBorder="1" applyAlignment="1">
      <alignment horizontal="center" vertical="center"/>
    </xf>
    <xf numFmtId="0" fontId="64" fillId="23" borderId="107" xfId="0" applyFont="1" applyFill="1" applyBorder="1" applyAlignment="1">
      <alignment horizontal="center" vertical="center"/>
    </xf>
    <xf numFmtId="0" fontId="56" fillId="23" borderId="131" xfId="0" applyFont="1" applyFill="1" applyBorder="1" applyAlignment="1">
      <alignment horizontal="center" vertical="center"/>
    </xf>
    <xf numFmtId="0" fontId="64" fillId="23"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3" borderId="20" xfId="0" applyFont="1" applyFill="1" applyBorder="1" applyAlignment="1">
      <alignment horizontal="center" vertical="center" wrapText="1"/>
    </xf>
    <xf numFmtId="0" fontId="56" fillId="23" borderId="11" xfId="0" applyFont="1" applyFill="1" applyBorder="1" applyAlignment="1">
      <alignment horizontal="center" vertical="center" wrapText="1"/>
    </xf>
    <xf numFmtId="3" fontId="64" fillId="23" borderId="13" xfId="0" applyNumberFormat="1" applyFont="1" applyFill="1" applyBorder="1" applyAlignment="1">
      <alignment horizontal="center" vertical="center"/>
    </xf>
    <xf numFmtId="0" fontId="56" fillId="23" borderId="14" xfId="0" applyFont="1" applyFill="1" applyBorder="1" applyAlignment="1">
      <alignment horizontal="center" vertical="center"/>
    </xf>
    <xf numFmtId="0" fontId="64" fillId="23"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6"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Border="1" applyAlignment="1" applyProtection="1">
      <alignment horizontal="left" vertical="center" wrapText="1"/>
    </xf>
    <xf numFmtId="0" fontId="63" fillId="0" borderId="6" xfId="0" applyFont="1" applyBorder="1" applyAlignment="1" applyProtection="1">
      <alignment horizontal="left" vertical="center" wrapText="1"/>
    </xf>
    <xf numFmtId="0" fontId="56" fillId="0" borderId="6" xfId="0" applyFont="1" applyBorder="1" applyAlignment="1">
      <alignment wrapText="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7" xfId="0" applyFont="1" applyFill="1" applyBorder="1" applyAlignment="1" applyProtection="1">
      <alignment horizontal="left" vertical="center" indent="1"/>
    </xf>
    <xf numFmtId="0" fontId="63" fillId="16" borderId="146" xfId="0" applyFont="1" applyFill="1" applyBorder="1" applyAlignment="1" applyProtection="1">
      <alignment horizontal="left" vertical="center" indent="1"/>
    </xf>
    <xf numFmtId="0" fontId="63" fillId="3" borderId="147" xfId="0" applyFont="1" applyFill="1" applyBorder="1" applyAlignment="1" applyProtection="1">
      <alignment horizontal="left" vertical="center"/>
    </xf>
    <xf numFmtId="0" fontId="63" fillId="3" borderId="148"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7" xfId="0" applyFont="1" applyBorder="1" applyAlignment="1" applyProtection="1">
      <alignment horizontal="left" vertical="center" wrapText="1" indent="1"/>
    </xf>
    <xf numFmtId="0" fontId="61" fillId="0" borderId="148"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3" borderId="146" xfId="0" applyFont="1" applyFill="1" applyBorder="1" applyAlignment="1" applyProtection="1">
      <alignment horizontal="left" vertical="center" indent="1"/>
    </xf>
    <xf numFmtId="0" fontId="64" fillId="23" borderId="147" xfId="0" applyFont="1" applyFill="1" applyBorder="1" applyAlignment="1" applyProtection="1">
      <alignment horizontal="left" vertical="center" indent="1"/>
    </xf>
    <xf numFmtId="0" fontId="64" fillId="23" borderId="148"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3" borderId="92" xfId="10" applyFont="1" applyFill="1" applyBorder="1" applyAlignment="1">
      <alignment horizontal="center" vertical="center" wrapText="1"/>
    </xf>
    <xf numFmtId="0" fontId="64" fillId="23" borderId="25" xfId="0" applyFont="1" applyFill="1" applyBorder="1" applyAlignment="1">
      <alignment horizontal="center" vertical="center" wrapText="1"/>
    </xf>
    <xf numFmtId="0" fontId="64" fillId="23" borderId="93" xfId="0" applyFont="1" applyFill="1" applyBorder="1" applyAlignment="1">
      <alignment horizontal="center" vertical="center" wrapText="1"/>
    </xf>
    <xf numFmtId="0" fontId="129" fillId="23" borderId="94" xfId="10" applyFont="1" applyFill="1" applyBorder="1" applyAlignment="1">
      <alignment horizontal="center" vertical="center"/>
    </xf>
    <xf numFmtId="0" fontId="54" fillId="23" borderId="47" xfId="0" applyFont="1" applyFill="1" applyBorder="1" applyAlignment="1">
      <alignment horizontal="center" vertical="center"/>
    </xf>
    <xf numFmtId="0" fontId="54" fillId="23"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7" applyFont="1" applyBorder="1" applyAlignment="1">
      <alignment horizontal="left" vertical="top" wrapText="1"/>
    </xf>
    <xf numFmtId="0" fontId="126" fillId="0" borderId="0" xfId="17" applyFont="1" applyBorder="1" applyAlignment="1">
      <alignment horizontal="left" vertical="top" wrapText="1"/>
    </xf>
    <xf numFmtId="0" fontId="126" fillId="0" borderId="97" xfId="17" applyFont="1" applyBorder="1" applyAlignment="1">
      <alignment horizontal="left" vertical="top" wrapText="1"/>
    </xf>
    <xf numFmtId="0" fontId="125" fillId="23" borderId="140" xfId="17" applyFont="1" applyFill="1" applyBorder="1" applyAlignment="1">
      <alignment horizontal="center" vertical="center"/>
    </xf>
    <xf numFmtId="0" fontId="125" fillId="23" borderId="141" xfId="17" applyFont="1" applyFill="1" applyBorder="1" applyAlignment="1">
      <alignment horizontal="center" vertical="center"/>
    </xf>
    <xf numFmtId="0" fontId="125" fillId="23" borderId="142" xfId="17" applyFont="1" applyFill="1" applyBorder="1" applyAlignment="1">
      <alignment horizontal="center" vertical="center"/>
    </xf>
    <xf numFmtId="0" fontId="125" fillId="23" borderId="98" xfId="17" applyFont="1" applyFill="1" applyBorder="1" applyAlignment="1">
      <alignment horizontal="center" vertical="center"/>
    </xf>
    <xf numFmtId="0" fontId="125" fillId="23" borderId="78" xfId="17" applyFont="1" applyFill="1" applyBorder="1" applyAlignment="1">
      <alignment horizontal="center" vertical="center"/>
    </xf>
    <xf numFmtId="0" fontId="125" fillId="23" borderId="99" xfId="17" applyFont="1" applyFill="1" applyBorder="1" applyAlignment="1">
      <alignment horizontal="center" vertical="center"/>
    </xf>
    <xf numFmtId="0" fontId="126" fillId="0" borderId="96" xfId="17" applyFont="1" applyBorder="1" applyAlignment="1">
      <alignment vertical="top" wrapText="1"/>
    </xf>
    <xf numFmtId="0" fontId="126" fillId="0" borderId="0" xfId="17" applyFont="1" applyBorder="1" applyAlignment="1">
      <alignment vertical="top" wrapText="1"/>
    </xf>
    <xf numFmtId="0" fontId="126" fillId="0" borderId="97" xfId="17" applyFont="1" applyBorder="1" applyAlignment="1">
      <alignment vertical="top" wrapText="1"/>
    </xf>
    <xf numFmtId="0" fontId="126" fillId="0" borderId="96" xfId="17" applyFont="1" applyBorder="1" applyAlignment="1">
      <alignment vertical="top"/>
    </xf>
    <xf numFmtId="0" fontId="126" fillId="0" borderId="0" xfId="17" applyFont="1" applyBorder="1" applyAlignment="1">
      <alignment vertical="top"/>
    </xf>
    <xf numFmtId="0" fontId="126" fillId="0" borderId="97" xfId="17"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xf>
    <xf numFmtId="0" fontId="56" fillId="19" borderId="21" xfId="0" applyFont="1" applyFill="1" applyBorder="1" applyAlignment="1">
      <alignment horizontal="left" vertical="center" wrapText="1" indent="1"/>
    </xf>
    <xf numFmtId="0" fontId="56" fillId="19" borderId="14" xfId="0" applyFont="1" applyFill="1" applyBorder="1" applyAlignment="1">
      <alignment horizontal="left" vertical="center" wrapText="1" indent="1"/>
    </xf>
    <xf numFmtId="0" fontId="3" fillId="0" borderId="96" xfId="18" applyFont="1" applyBorder="1" applyAlignment="1" applyProtection="1">
      <alignment vertical="top" wrapText="1"/>
      <protection locked="0"/>
    </xf>
    <xf numFmtId="0" fontId="3" fillId="0" borderId="0" xfId="18" applyFont="1" applyBorder="1" applyAlignment="1" applyProtection="1">
      <alignment vertical="top" wrapText="1"/>
      <protection locked="0"/>
    </xf>
    <xf numFmtId="0" fontId="3" fillId="0" borderId="97" xfId="18" applyFont="1" applyBorder="1" applyAlignment="1" applyProtection="1">
      <alignment vertical="top" wrapText="1"/>
      <protection locked="0"/>
    </xf>
    <xf numFmtId="0" fontId="100" fillId="23" borderId="0" xfId="18" applyFont="1" applyFill="1" applyAlignment="1">
      <alignment horizontal="center" vertical="center"/>
    </xf>
    <xf numFmtId="0" fontId="72" fillId="0" borderId="137"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3" fillId="0" borderId="141" xfId="18" applyFont="1" applyBorder="1" applyAlignment="1" applyProtection="1">
      <alignment horizontal="center" vertical="top" wrapText="1"/>
      <protection locked="0"/>
    </xf>
    <xf numFmtId="0" fontId="3" fillId="0" borderId="142"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3" fillId="0" borderId="98" xfId="18" applyFont="1" applyBorder="1" applyAlignment="1" applyProtection="1">
      <alignment vertical="top" wrapText="1"/>
      <protection locked="0"/>
    </xf>
    <xf numFmtId="0" fontId="3" fillId="0" borderId="78" xfId="18" applyFont="1" applyBorder="1" applyAlignment="1" applyProtection="1">
      <alignment vertical="top" wrapText="1"/>
      <protection locked="0"/>
    </xf>
    <xf numFmtId="0" fontId="3" fillId="0" borderId="99" xfId="18" applyFont="1" applyBorder="1" applyAlignment="1" applyProtection="1">
      <alignment vertical="top" wrapText="1"/>
      <protection locked="0"/>
    </xf>
    <xf numFmtId="0" fontId="48" fillId="0" borderId="141" xfId="18" applyFont="1" applyBorder="1" applyAlignment="1" applyProtection="1">
      <alignment horizontal="center" vertical="top" wrapText="1"/>
      <protection locked="0"/>
    </xf>
    <xf numFmtId="0" fontId="48" fillId="0" borderId="142"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48" fillId="0" borderId="96" xfId="19" applyFont="1" applyBorder="1" applyAlignment="1" applyProtection="1">
      <alignment vertical="top" wrapText="1"/>
      <protection locked="0"/>
    </xf>
    <xf numFmtId="0" fontId="48" fillId="0" borderId="0" xfId="19" applyFont="1" applyBorder="1" applyAlignment="1" applyProtection="1">
      <alignment vertical="top" wrapText="1"/>
      <protection locked="0"/>
    </xf>
    <xf numFmtId="0" fontId="48" fillId="0" borderId="97" xfId="19" applyFont="1" applyBorder="1" applyAlignment="1" applyProtection="1">
      <alignment vertical="top" wrapText="1"/>
      <protection locked="0"/>
    </xf>
    <xf numFmtId="0" fontId="61" fillId="0" borderId="5" xfId="3" quotePrefix="1" applyNumberFormat="1" applyFont="1" applyBorder="1" applyAlignment="1">
      <alignment horizontal="left" vertical="top" wrapText="1" indent="2"/>
    </xf>
    <xf numFmtId="0" fontId="61" fillId="0" borderId="0" xfId="3" quotePrefix="1" applyNumberFormat="1" applyFont="1" applyBorder="1" applyAlignment="1">
      <alignment horizontal="left" vertical="top" wrapText="1" indent="2"/>
    </xf>
    <xf numFmtId="0" fontId="61" fillId="0" borderId="0" xfId="3" applyNumberFormat="1" applyFont="1" applyBorder="1" applyAlignment="1">
      <alignment horizontal="left" vertical="top" wrapText="1" indent="2"/>
    </xf>
    <xf numFmtId="0" fontId="56" fillId="0" borderId="0" xfId="3" applyFont="1" applyAlignment="1">
      <alignment horizontal="left" vertical="top" wrapText="1" indent="2"/>
    </xf>
    <xf numFmtId="0" fontId="61" fillId="0" borderId="0" xfId="3" applyNumberFormat="1" applyFont="1" applyAlignment="1">
      <alignment horizontal="left" vertical="top" wrapText="1" indent="2"/>
    </xf>
    <xf numFmtId="0" fontId="54" fillId="0" borderId="20"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3" borderId="17" xfId="3" applyNumberFormat="1" applyFont="1" applyFill="1" applyBorder="1" applyAlignment="1">
      <alignment horizontal="left" vertical="top" wrapText="1"/>
    </xf>
    <xf numFmtId="0" fontId="54" fillId="23" borderId="0" xfId="3" applyFont="1" applyFill="1" applyBorder="1" applyAlignment="1">
      <alignment vertical="top"/>
    </xf>
    <xf numFmtId="0" fontId="54" fillId="23"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Border="1" applyAlignment="1">
      <alignment vertical="center"/>
    </xf>
    <xf numFmtId="0" fontId="63" fillId="0" borderId="14" xfId="3" applyNumberFormat="1" applyFont="1" applyBorder="1" applyAlignment="1">
      <alignment vertical="center"/>
    </xf>
    <xf numFmtId="0" fontId="72" fillId="0" borderId="133" xfId="3" applyFont="1" applyBorder="1" applyAlignment="1">
      <alignment horizontal="center" vertical="center" wrapText="1"/>
    </xf>
    <xf numFmtId="0" fontId="72" fillId="0" borderId="133" xfId="3" applyNumberFormat="1" applyFont="1" applyBorder="1" applyAlignment="1">
      <alignment horizontal="center"/>
    </xf>
    <xf numFmtId="0" fontId="56" fillId="0" borderId="134" xfId="3" applyNumberFormat="1" applyFont="1" applyBorder="1" applyAlignment="1" applyProtection="1">
      <alignment horizontal="center"/>
      <protection locked="0"/>
    </xf>
    <xf numFmtId="171" fontId="56" fillId="0" borderId="134" xfId="3" applyNumberFormat="1" applyFont="1" applyBorder="1" applyAlignment="1" applyProtection="1">
      <alignment horizontal="center"/>
      <protection locked="0"/>
    </xf>
    <xf numFmtId="0" fontId="56" fillId="0" borderId="134"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Border="1" applyAlignment="1">
      <alignment vertical="top" wrapText="1"/>
    </xf>
    <xf numFmtId="0" fontId="109" fillId="0" borderId="21" xfId="3" applyNumberFormat="1" applyFont="1" applyBorder="1" applyAlignment="1">
      <alignment vertical="top" wrapText="1"/>
    </xf>
    <xf numFmtId="0" fontId="109" fillId="0" borderId="14" xfId="3" applyNumberFormat="1" applyFont="1" applyBorder="1" applyAlignment="1">
      <alignment vertical="top" wrapText="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Border="1" applyAlignment="1">
      <alignment vertical="top"/>
    </xf>
    <xf numFmtId="0" fontId="82" fillId="0" borderId="0" xfId="3" applyFont="1" applyBorder="1" applyAlignment="1">
      <alignment vertical="top"/>
    </xf>
    <xf numFmtId="0" fontId="82" fillId="0" borderId="40" xfId="3" applyFont="1" applyBorder="1" applyAlignment="1">
      <alignment vertical="top"/>
    </xf>
    <xf numFmtId="0" fontId="82" fillId="0" borderId="50" xfId="3" applyFont="1" applyBorder="1" applyAlignment="1">
      <alignment vertical="top"/>
    </xf>
    <xf numFmtId="0" fontId="82" fillId="0" borderId="9" xfId="3" applyFont="1" applyBorder="1" applyAlignment="1">
      <alignment vertical="top"/>
    </xf>
    <xf numFmtId="0" fontId="82" fillId="0" borderId="59" xfId="3" applyFont="1" applyBorder="1" applyAlignment="1">
      <alignment vertical="top"/>
    </xf>
    <xf numFmtId="0" fontId="111" fillId="12" borderId="125" xfId="0" applyFont="1" applyFill="1" applyBorder="1" applyAlignment="1">
      <alignment horizontal="center" vertical="center"/>
    </xf>
    <xf numFmtId="0" fontId="111" fillId="12" borderId="128" xfId="0" applyFont="1" applyFill="1" applyBorder="1" applyAlignment="1">
      <alignment horizontal="center" vertical="center"/>
    </xf>
    <xf numFmtId="0" fontId="111" fillId="12" borderId="153"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5" xfId="0" applyNumberFormat="1" applyFont="1" applyFill="1" applyBorder="1" applyAlignment="1">
      <alignment horizontal="center" vertical="top"/>
    </xf>
    <xf numFmtId="164" fontId="112" fillId="12" borderId="128" xfId="0" applyNumberFormat="1" applyFont="1" applyFill="1" applyBorder="1" applyAlignment="1">
      <alignment horizontal="center" vertical="top"/>
    </xf>
    <xf numFmtId="164" fontId="112" fillId="12" borderId="153"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8" xfId="0" applyNumberFormat="1" applyFont="1" applyBorder="1" applyAlignment="1">
      <alignment horizontal="left" vertical="center" wrapText="1"/>
    </xf>
    <xf numFmtId="0" fontId="56" fillId="0" borderId="126"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6" xfId="3" applyNumberFormat="1" applyFont="1" applyBorder="1" applyProtection="1"/>
    <xf numFmtId="0" fontId="54" fillId="0" borderId="147"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7" xfId="3" applyNumberFormat="1" applyFont="1" applyBorder="1" applyAlignment="1" applyProtection="1">
      <alignment horizontal="left" indent="1"/>
      <protection locked="0"/>
    </xf>
    <xf numFmtId="0" fontId="64" fillId="0" borderId="147" xfId="3" applyFont="1" applyBorder="1" applyAlignment="1" applyProtection="1">
      <alignment horizontal="left" indent="1"/>
      <protection locked="0"/>
    </xf>
    <xf numFmtId="0" fontId="64" fillId="0" borderId="148" xfId="3" applyFont="1" applyBorder="1" applyAlignment="1" applyProtection="1">
      <alignment horizontal="left" indent="1"/>
      <protection locked="0"/>
    </xf>
    <xf numFmtId="0" fontId="56" fillId="0" borderId="0" xfId="3" applyFont="1" applyAlignment="1">
      <alignment horizontal="center" vertical="center"/>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9" xfId="3" applyNumberFormat="1" applyFont="1" applyBorder="1" applyAlignment="1" applyProtection="1">
      <protection locked="0"/>
    </xf>
    <xf numFmtId="0" fontId="64" fillId="0" borderId="150"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9"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50"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9" xfId="3" applyNumberFormat="1" applyFont="1" applyBorder="1" applyProtection="1">
      <protection locked="0"/>
    </xf>
    <xf numFmtId="6" fontId="61" fillId="0" borderId="150"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9"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50"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9" xfId="3" applyFont="1" applyBorder="1" applyAlignment="1" applyProtection="1">
      <alignment horizontal="center"/>
    </xf>
    <xf numFmtId="0" fontId="61" fillId="0" borderId="76" xfId="3" applyFont="1" applyBorder="1" applyAlignment="1" applyProtection="1">
      <alignment horizontal="center"/>
    </xf>
    <xf numFmtId="0" fontId="61" fillId="0" borderId="150" xfId="3" applyFont="1" applyBorder="1" applyAlignment="1" applyProtection="1">
      <alignment horizontal="center"/>
    </xf>
    <xf numFmtId="38" fontId="61" fillId="0" borderId="149"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50"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4"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4">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_Shared Outsourced Services 31" xfId="19" xr:uid="{00000000-0005-0000-0000-000008000000}"/>
    <cellStyle name="Normal 3 2_Contracts Paid in CY 29" xfId="22" xr:uid="{00000000-0005-0000-0000-000009000000}"/>
    <cellStyle name="Normal 3_Contracts Paid in CY 29" xfId="21" xr:uid="{00000000-0005-0000-0000-00000A000000}"/>
    <cellStyle name="Normal 4" xfId="16" xr:uid="{00000000-0005-0000-0000-00000B000000}"/>
    <cellStyle name="Normal 5" xfId="17" xr:uid="{00000000-0005-0000-0000-00000C000000}"/>
    <cellStyle name="Normal 5_Contracts Paid in CY 29" xfId="23" xr:uid="{00000000-0005-0000-0000-00000D000000}"/>
    <cellStyle name="Normal_AFRPG3" xfId="5" xr:uid="{00000000-0005-0000-0000-00000E000000}"/>
    <cellStyle name="Normal_AFRPG41" xfId="6" xr:uid="{00000000-0005-0000-0000-00000F000000}"/>
    <cellStyle name="Normal_AFRPG47" xfId="7" xr:uid="{00000000-0005-0000-0000-000010000000}"/>
    <cellStyle name="Normal_AFRPG56" xfId="8" xr:uid="{00000000-0005-0000-0000-000011000000}"/>
    <cellStyle name="Normal_AFRPG59" xfId="9" xr:uid="{00000000-0005-0000-0000-000012000000}"/>
    <cellStyle name="Normal_AFRPG63" xfId="10" xr:uid="{00000000-0005-0000-0000-000013000000}"/>
    <cellStyle name="Normal_AFRPG64" xfId="11" xr:uid="{00000000-0005-0000-0000-000014000000}"/>
    <cellStyle name="Normal_COVER" xfId="12" xr:uid="{00000000-0005-0000-0000-000015000000}"/>
    <cellStyle name="Normal_Itemization 33" xfId="20" xr:uid="{00000000-0005-0000-0000-000016000000}"/>
    <cellStyle name="Normal_THRESHOLD CALCULATOR v3" xfId="13" xr:uid="{00000000-0005-0000-0000-000017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50178" name="Object 2" hidden="1">
              <a:extLst>
                <a:ext uri="{63B3BB69-23CF-44E3-9099-C40C66FF867C}">
                  <a14:compatExt spid="_x0000_s50178"/>
                </a:ext>
                <a:ext uri="{FF2B5EF4-FFF2-40B4-BE49-F238E27FC236}">
                  <a16:creationId xmlns:a16="http://schemas.microsoft.com/office/drawing/2014/main" id="{00000000-0008-0000-1400-000002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11</xdr:row>
          <xdr:rowOff>0</xdr:rowOff>
        </xdr:from>
        <xdr:to>
          <xdr:col>1</xdr:col>
          <xdr:colOff>914400</xdr:colOff>
          <xdr:row>15</xdr:row>
          <xdr:rowOff>38100</xdr:rowOff>
        </xdr:to>
        <xdr:sp macro="" textlink="">
          <xdr:nvSpPr>
            <xdr:cNvPr id="50179" name="Object 3" hidden="1">
              <a:extLst>
                <a:ext uri="{63B3BB69-23CF-44E3-9099-C40C66FF867C}">
                  <a14:compatExt spid="_x0000_s50179"/>
                </a:ext>
                <a:ext uri="{FF2B5EF4-FFF2-40B4-BE49-F238E27FC236}">
                  <a16:creationId xmlns:a16="http://schemas.microsoft.com/office/drawing/2014/main" id="{00000000-0008-0000-1400-000003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15</xdr:row>
          <xdr:rowOff>152400</xdr:rowOff>
        </xdr:from>
        <xdr:to>
          <xdr:col>1</xdr:col>
          <xdr:colOff>904875</xdr:colOff>
          <xdr:row>20</xdr:row>
          <xdr:rowOff>28575</xdr:rowOff>
        </xdr:to>
        <xdr:sp macro="" textlink="">
          <xdr:nvSpPr>
            <xdr:cNvPr id="50180" name="Object 4" hidden="1">
              <a:extLst>
                <a:ext uri="{63B3BB69-23CF-44E3-9099-C40C66FF867C}">
                  <a14:compatExt spid="_x0000_s50180"/>
                </a:ext>
                <a:ext uri="{FF2B5EF4-FFF2-40B4-BE49-F238E27FC236}">
                  <a16:creationId xmlns:a16="http://schemas.microsoft.com/office/drawing/2014/main" id="{00000000-0008-0000-1400-000004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50181" name="Object 5" hidden="1">
              <a:extLst>
                <a:ext uri="{63B3BB69-23CF-44E3-9099-C40C66FF867C}">
                  <a14:compatExt spid="_x0000_s50181"/>
                </a:ext>
                <a:ext uri="{FF2B5EF4-FFF2-40B4-BE49-F238E27FC236}">
                  <a16:creationId xmlns:a16="http://schemas.microsoft.com/office/drawing/2014/main" id="{00000000-0008-0000-1400-000005C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image" Target="../media/image2.emf"/><Relationship Id="rId3" Type="http://schemas.openxmlformats.org/officeDocument/2006/relationships/vmlDrawing" Target="../drawings/vmlDrawing5.vml"/><Relationship Id="rId7" Type="http://schemas.openxmlformats.org/officeDocument/2006/relationships/oleObject" Target="../embeddings/oleObject3.bin"/><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10" Type="http://schemas.openxmlformats.org/officeDocument/2006/relationships/image" Target="../media/image3.emf"/><Relationship Id="rId4" Type="http://schemas.openxmlformats.org/officeDocument/2006/relationships/oleObject" Target="../embeddings/oleObject1.bin"/><Relationship Id="rId9" Type="http://schemas.openxmlformats.org/officeDocument/2006/relationships/oleObject" Target="../embeddings/oleObject4.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rgb="FF92D050"/>
  </sheetPr>
  <dimension ref="A1:AB48"/>
  <sheetViews>
    <sheetView showGridLines="0" tabSelected="1" zoomScale="90" zoomScaleNormal="90" workbookViewId="0">
      <selection activeCell="J24" sqref="J24:S25"/>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2018" t="s">
        <v>405</v>
      </c>
      <c r="J1" s="2019"/>
      <c r="K1" s="2019"/>
      <c r="L1" s="2019"/>
      <c r="M1" s="2019"/>
      <c r="N1" s="2019"/>
      <c r="O1" s="2019"/>
      <c r="P1" s="2019"/>
      <c r="Q1" s="2019"/>
      <c r="R1" s="2019"/>
      <c r="S1" s="2019"/>
    </row>
    <row r="2" spans="1:28" ht="12" customHeight="1" x14ac:dyDescent="0.2">
      <c r="A2" s="47" t="s">
        <v>1991</v>
      </c>
      <c r="D2" s="48"/>
      <c r="I2" s="2020" t="s">
        <v>979</v>
      </c>
      <c r="J2" s="2019"/>
      <c r="K2" s="2019"/>
      <c r="L2" s="2019"/>
      <c r="M2" s="2019"/>
      <c r="N2" s="2019"/>
      <c r="O2" s="2019"/>
      <c r="P2" s="2019"/>
      <c r="Q2" s="2019"/>
      <c r="R2" s="2019"/>
      <c r="S2" s="2019"/>
    </row>
    <row r="3" spans="1:28" ht="12" customHeight="1" x14ac:dyDescent="0.2">
      <c r="A3" s="155" t="s">
        <v>1943</v>
      </c>
      <c r="B3" s="156"/>
      <c r="C3" s="156"/>
      <c r="D3" s="157"/>
      <c r="I3" s="2020" t="s">
        <v>52</v>
      </c>
      <c r="J3" s="2019"/>
      <c r="K3" s="2019"/>
      <c r="L3" s="2019"/>
      <c r="M3" s="2019"/>
      <c r="N3" s="2019"/>
      <c r="O3" s="2019"/>
      <c r="P3" s="2019"/>
      <c r="Q3" s="2019"/>
      <c r="R3" s="2019"/>
      <c r="S3" s="2019"/>
    </row>
    <row r="4" spans="1:28" ht="12" customHeight="1" x14ac:dyDescent="0.2">
      <c r="A4" s="37"/>
      <c r="I4" s="2020" t="s">
        <v>524</v>
      </c>
      <c r="J4" s="2019"/>
      <c r="K4" s="2019"/>
      <c r="L4" s="2019"/>
      <c r="M4" s="2019"/>
      <c r="N4" s="2019"/>
      <c r="O4" s="2019"/>
      <c r="P4" s="2019"/>
      <c r="Q4" s="2019"/>
      <c r="R4" s="2019"/>
      <c r="S4" s="2019"/>
    </row>
    <row r="5" spans="1:28" ht="14.1" customHeight="1" x14ac:dyDescent="0.2">
      <c r="B5" s="104" t="s">
        <v>2073</v>
      </c>
      <c r="C5" s="26" t="s">
        <v>910</v>
      </c>
      <c r="D5" s="84"/>
      <c r="E5" s="84"/>
      <c r="H5" s="38"/>
      <c r="I5" s="2027" t="s">
        <v>680</v>
      </c>
      <c r="J5" s="1972"/>
      <c r="K5" s="1972"/>
      <c r="L5" s="1972"/>
      <c r="M5" s="1972"/>
      <c r="N5" s="1972"/>
      <c r="O5" s="1972"/>
      <c r="P5" s="1972"/>
      <c r="Q5" s="1972"/>
      <c r="R5" s="1972"/>
      <c r="S5" s="1972"/>
    </row>
    <row r="6" spans="1:28" ht="14.1" customHeight="1" x14ac:dyDescent="0.2">
      <c r="B6" s="104"/>
      <c r="C6" s="26" t="s">
        <v>911</v>
      </c>
      <c r="D6" s="84"/>
      <c r="E6" s="84"/>
      <c r="I6" s="2026" t="s">
        <v>883</v>
      </c>
      <c r="J6" s="1972"/>
      <c r="K6" s="1972"/>
      <c r="L6" s="1972"/>
      <c r="M6" s="1972"/>
      <c r="N6" s="1972"/>
      <c r="O6" s="1972"/>
      <c r="P6" s="1972"/>
      <c r="Q6" s="1972"/>
      <c r="R6" s="1972"/>
      <c r="S6" s="1972"/>
    </row>
    <row r="7" spans="1:28" ht="12.2" customHeight="1" x14ac:dyDescent="0.2">
      <c r="I7" s="2021">
        <v>43646</v>
      </c>
      <c r="J7" s="2022"/>
      <c r="K7" s="2022"/>
      <c r="L7" s="2022"/>
      <c r="M7" s="2022"/>
      <c r="N7" s="2022"/>
      <c r="O7" s="2022"/>
      <c r="P7" s="2022"/>
      <c r="Q7" s="2022"/>
      <c r="R7" s="2022"/>
      <c r="S7" s="2022"/>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3" t="s">
        <v>674</v>
      </c>
      <c r="J9" s="2024"/>
      <c r="K9" s="2024"/>
      <c r="L9" s="2024"/>
      <c r="M9" s="2024"/>
      <c r="N9" s="2024"/>
      <c r="O9" s="2024"/>
      <c r="P9" s="2024"/>
      <c r="Q9" s="2024"/>
      <c r="R9" s="2024"/>
      <c r="S9" s="2025"/>
      <c r="T9" s="1968" t="s">
        <v>533</v>
      </c>
      <c r="U9" s="1969"/>
      <c r="V9" s="1969"/>
      <c r="W9" s="1969"/>
      <c r="X9" s="1969"/>
      <c r="Y9" s="1969"/>
      <c r="Z9" s="1969"/>
      <c r="AA9" s="1970"/>
    </row>
    <row r="10" spans="1:28" ht="13.5" customHeight="1" x14ac:dyDescent="0.2">
      <c r="A10" s="1977" t="s">
        <v>675</v>
      </c>
      <c r="B10" s="1978"/>
      <c r="C10" s="1978"/>
      <c r="D10" s="1978"/>
      <c r="E10" s="1978"/>
      <c r="F10" s="1978"/>
      <c r="G10" s="1978"/>
      <c r="H10" s="1979"/>
      <c r="I10" s="29"/>
      <c r="J10" s="30"/>
      <c r="K10" s="28"/>
      <c r="R10" s="30"/>
      <c r="S10" s="30"/>
      <c r="T10" s="1971"/>
      <c r="U10" s="1972"/>
      <c r="V10" s="1972"/>
      <c r="W10" s="1972"/>
      <c r="X10" s="1972"/>
      <c r="Y10" s="1972"/>
      <c r="Z10" s="1972"/>
      <c r="AA10" s="1973"/>
    </row>
    <row r="11" spans="1:28" ht="14.25" customHeight="1" x14ac:dyDescent="0.2">
      <c r="A11" s="1980" t="s">
        <v>955</v>
      </c>
      <c r="B11" s="1981"/>
      <c r="C11" s="1981"/>
      <c r="D11" s="1981"/>
      <c r="E11" s="1981"/>
      <c r="F11" s="1981"/>
      <c r="G11" s="1981"/>
      <c r="H11" s="1982"/>
      <c r="I11" s="27"/>
      <c r="J11" s="74"/>
      <c r="K11" s="27"/>
      <c r="O11" s="148" t="s">
        <v>2073</v>
      </c>
      <c r="P11" s="100" t="s">
        <v>201</v>
      </c>
      <c r="Q11" s="30"/>
      <c r="R11" s="28"/>
      <c r="S11" s="27"/>
      <c r="T11" s="1974"/>
      <c r="U11" s="1975"/>
      <c r="V11" s="1975"/>
      <c r="W11" s="1975"/>
      <c r="X11" s="1975"/>
      <c r="Y11" s="1975"/>
      <c r="Z11" s="1975"/>
      <c r="AA11" s="1976"/>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88" t="s">
        <v>2109</v>
      </c>
      <c r="B13" s="1989"/>
      <c r="C13" s="1989"/>
      <c r="D13" s="1989"/>
      <c r="E13" s="1989"/>
      <c r="F13" s="1989"/>
      <c r="G13" s="1989"/>
      <c r="H13" s="1990"/>
      <c r="I13" s="31"/>
      <c r="J13" s="30"/>
      <c r="K13" s="28"/>
      <c r="L13" s="30"/>
      <c r="M13" s="30"/>
      <c r="N13" s="30"/>
      <c r="O13" s="30"/>
      <c r="P13" s="30"/>
      <c r="Q13" s="30"/>
      <c r="R13" s="30"/>
      <c r="S13" s="30"/>
      <c r="T13" s="1993" t="s">
        <v>2064</v>
      </c>
      <c r="U13" s="1994"/>
      <c r="V13" s="1994"/>
      <c r="W13" s="1994"/>
      <c r="X13" s="1994"/>
      <c r="Y13" s="1995"/>
      <c r="Z13" s="1995"/>
      <c r="AA13" s="1996"/>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86" t="s">
        <v>2074</v>
      </c>
      <c r="B15" s="1991"/>
      <c r="C15" s="1991"/>
      <c r="D15" s="1991"/>
      <c r="E15" s="1991"/>
      <c r="F15" s="1991"/>
      <c r="G15" s="1991"/>
      <c r="H15" s="1992"/>
      <c r="T15" s="1954" t="s">
        <v>2065</v>
      </c>
      <c r="U15" s="1955"/>
      <c r="V15" s="1955"/>
      <c r="W15" s="1955"/>
      <c r="X15" s="1955"/>
      <c r="Y15" s="1997"/>
      <c r="Z15" s="1997"/>
      <c r="AA15" s="1998"/>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46" t="s">
        <v>2110</v>
      </c>
      <c r="B17" s="2016"/>
      <c r="C17" s="2016"/>
      <c r="D17" s="2016"/>
      <c r="E17" s="2016"/>
      <c r="F17" s="2016"/>
      <c r="G17" s="2016"/>
      <c r="H17" s="2017"/>
      <c r="T17" s="2003" t="s">
        <v>2066</v>
      </c>
      <c r="U17" s="2004"/>
      <c r="V17" s="2004"/>
      <c r="W17" s="2004"/>
      <c r="X17" s="2004"/>
      <c r="Y17" s="2004"/>
      <c r="Z17" s="2004"/>
      <c r="AA17" s="2005"/>
    </row>
    <row r="18" spans="1:27" ht="13.5" customHeight="1" x14ac:dyDescent="0.2">
      <c r="A18" s="85" t="s">
        <v>530</v>
      </c>
      <c r="B18" s="76"/>
      <c r="C18" s="72"/>
      <c r="D18" s="76"/>
      <c r="E18" s="76"/>
      <c r="F18" s="76"/>
      <c r="G18" s="76"/>
      <c r="H18" s="56"/>
      <c r="I18" s="2013" t="s">
        <v>676</v>
      </c>
      <c r="J18" s="2014"/>
      <c r="K18" s="2014"/>
      <c r="L18" s="2014"/>
      <c r="M18" s="2014"/>
      <c r="N18" s="2014"/>
      <c r="O18" s="2014"/>
      <c r="P18" s="2014"/>
      <c r="Q18" s="2014"/>
      <c r="R18" s="2014"/>
      <c r="S18" s="2015"/>
      <c r="T18" s="85" t="s">
        <v>711</v>
      </c>
      <c r="U18" s="51"/>
      <c r="V18" s="72"/>
      <c r="W18" s="50"/>
      <c r="X18" s="85" t="s">
        <v>266</v>
      </c>
      <c r="Y18" s="81"/>
      <c r="Z18" s="159" t="s">
        <v>677</v>
      </c>
      <c r="AA18" s="46"/>
    </row>
    <row r="19" spans="1:27" ht="13.5" customHeight="1" x14ac:dyDescent="0.2">
      <c r="A19" s="1986" t="s">
        <v>2075</v>
      </c>
      <c r="B19" s="1987"/>
      <c r="C19" s="1987"/>
      <c r="D19" s="1987"/>
      <c r="E19" s="1987"/>
      <c r="F19" s="1987"/>
      <c r="G19" s="1987"/>
      <c r="H19" s="1985"/>
      <c r="I19" s="30"/>
      <c r="J19" s="99"/>
      <c r="K19" s="40"/>
      <c r="L19" s="38"/>
      <c r="M19" s="112" t="s">
        <v>315</v>
      </c>
      <c r="P19" s="27"/>
      <c r="Q19" s="27"/>
      <c r="R19" s="27"/>
      <c r="S19" s="31"/>
      <c r="T19" s="1986" t="s">
        <v>2067</v>
      </c>
      <c r="U19" s="1984"/>
      <c r="V19" s="1984"/>
      <c r="W19" s="1985"/>
      <c r="X19" s="2001" t="s">
        <v>2068</v>
      </c>
      <c r="Y19" s="2002"/>
      <c r="Z19" s="1999">
        <v>60450</v>
      </c>
      <c r="AA19" s="2000"/>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83" t="s">
        <v>2067</v>
      </c>
      <c r="B21" s="1984"/>
      <c r="C21" s="1984"/>
      <c r="D21" s="1984"/>
      <c r="E21" s="1984"/>
      <c r="F21" s="1984"/>
      <c r="G21" s="1984"/>
      <c r="H21" s="1985"/>
      <c r="I21" s="2009" t="s">
        <v>678</v>
      </c>
      <c r="J21" s="1972"/>
      <c r="K21" s="1972"/>
      <c r="L21" s="1972"/>
      <c r="M21" s="1972"/>
      <c r="N21" s="1972"/>
      <c r="O21" s="1972"/>
      <c r="P21" s="1972"/>
      <c r="Q21" s="1972"/>
      <c r="R21" s="1972"/>
      <c r="S21" s="1973"/>
      <c r="T21" s="1951" t="s">
        <v>2069</v>
      </c>
      <c r="U21" s="1952"/>
      <c r="V21" s="1952"/>
      <c r="W21" s="1952"/>
      <c r="X21" s="1965" t="s">
        <v>2070</v>
      </c>
      <c r="Y21" s="1966"/>
      <c r="Z21" s="1966"/>
      <c r="AA21" s="1967"/>
    </row>
    <row r="22" spans="1:27" ht="13.5" customHeight="1" x14ac:dyDescent="0.2">
      <c r="A22" s="87" t="s">
        <v>531</v>
      </c>
      <c r="B22" s="59"/>
      <c r="C22" s="59"/>
      <c r="D22" s="59"/>
      <c r="E22" s="59"/>
      <c r="F22" s="59"/>
      <c r="G22" s="59"/>
      <c r="H22" s="60"/>
      <c r="I22" s="2010" t="s">
        <v>1429</v>
      </c>
      <c r="J22" s="2011"/>
      <c r="K22" s="2011"/>
      <c r="L22" s="2011"/>
      <c r="M22" s="2011"/>
      <c r="N22" s="2011"/>
      <c r="O22" s="2011"/>
      <c r="P22" s="2011"/>
      <c r="Q22" s="2011"/>
      <c r="R22" s="2011"/>
      <c r="S22" s="2012"/>
      <c r="T22" s="85" t="s">
        <v>1516</v>
      </c>
      <c r="U22" s="51"/>
      <c r="V22" s="72"/>
      <c r="W22" s="51"/>
      <c r="X22" s="160" t="s">
        <v>1318</v>
      </c>
      <c r="Z22" s="45"/>
      <c r="AA22" s="46"/>
    </row>
    <row r="23" spans="1:27" ht="13.5" customHeight="1" x14ac:dyDescent="0.2">
      <c r="A23" s="2006" t="s">
        <v>2076</v>
      </c>
      <c r="B23" s="2007"/>
      <c r="C23" s="2007"/>
      <c r="D23" s="2007"/>
      <c r="E23" s="2007"/>
      <c r="F23" s="2007"/>
      <c r="G23" s="2007"/>
      <c r="H23" s="2008"/>
      <c r="T23" s="1946" t="s">
        <v>2071</v>
      </c>
      <c r="U23" s="1947"/>
      <c r="V23" s="1947"/>
      <c r="W23" s="1947"/>
      <c r="X23" s="1962">
        <v>44530</v>
      </c>
      <c r="Y23" s="1963"/>
      <c r="Z23" s="1963"/>
      <c r="AA23" s="1964"/>
    </row>
    <row r="24" spans="1:27" ht="14.1" customHeight="1" x14ac:dyDescent="0.2">
      <c r="A24" s="88" t="s">
        <v>677</v>
      </c>
      <c r="B24" s="49"/>
      <c r="C24" s="49"/>
      <c r="D24" s="49"/>
      <c r="E24" s="49"/>
      <c r="F24" s="49"/>
      <c r="G24" s="49"/>
      <c r="H24" s="61"/>
      <c r="J24" s="2048">
        <f>IF(B5="x",IF(AUDITCHECK!D29="AFR form Incomplete.","",IF(AUDITCHECK!D29="Deficit reduction plan is required.","School District must complete a deficit reduction plan in the 2019-2020 Budget",)),"")</f>
        <v>0</v>
      </c>
      <c r="K24" s="2048"/>
      <c r="L24" s="2048"/>
      <c r="M24" s="2048"/>
      <c r="N24" s="2048"/>
      <c r="O24" s="2048"/>
      <c r="P24" s="2048"/>
      <c r="Q24" s="2048"/>
      <c r="R24" s="2048"/>
      <c r="S24" s="2049"/>
      <c r="T24" s="105" t="s">
        <v>531</v>
      </c>
      <c r="U24" s="106"/>
      <c r="V24" s="106"/>
      <c r="W24" s="106"/>
      <c r="X24" s="107"/>
      <c r="Y24" s="107"/>
      <c r="Z24" s="107"/>
      <c r="AA24" s="108"/>
    </row>
    <row r="25" spans="1:27" ht="14.1" customHeight="1" x14ac:dyDescent="0.2">
      <c r="A25" s="1983">
        <v>60450</v>
      </c>
      <c r="B25" s="1984"/>
      <c r="C25" s="1984"/>
      <c r="D25" s="1984"/>
      <c r="E25" s="1984"/>
      <c r="F25" s="1984"/>
      <c r="G25" s="1984"/>
      <c r="H25" s="1985"/>
      <c r="I25" s="113"/>
      <c r="J25" s="2050"/>
      <c r="K25" s="2050"/>
      <c r="L25" s="2050"/>
      <c r="M25" s="2050"/>
      <c r="N25" s="2050"/>
      <c r="O25" s="2050"/>
      <c r="P25" s="2050"/>
      <c r="Q25" s="2050"/>
      <c r="R25" s="2050"/>
      <c r="S25" s="2051"/>
      <c r="T25" s="1943" t="s">
        <v>2072</v>
      </c>
      <c r="U25" s="1944"/>
      <c r="V25" s="1944"/>
      <c r="W25" s="1944"/>
      <c r="X25" s="1944"/>
      <c r="Y25" s="1944"/>
      <c r="Z25" s="1944"/>
      <c r="AA25" s="1945"/>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1" t="s">
        <v>1511</v>
      </c>
      <c r="J27" s="2014"/>
      <c r="K27" s="2014"/>
      <c r="L27" s="2014"/>
      <c r="M27" s="2014"/>
      <c r="N27" s="2014"/>
      <c r="O27" s="2014"/>
      <c r="P27" s="2014"/>
      <c r="Q27" s="2014"/>
      <c r="R27" s="2014"/>
      <c r="S27" s="2015"/>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t="s">
        <v>2073</v>
      </c>
      <c r="F29" s="141" t="s">
        <v>1316</v>
      </c>
      <c r="G29" s="114"/>
      <c r="I29" s="54"/>
      <c r="J29" s="148"/>
      <c r="K29" s="28" t="s">
        <v>576</v>
      </c>
      <c r="L29" s="148" t="s">
        <v>2073</v>
      </c>
      <c r="M29" s="40" t="s">
        <v>99</v>
      </c>
      <c r="N29" s="32" t="s">
        <v>1523</v>
      </c>
      <c r="O29" s="32"/>
      <c r="P29" s="32"/>
      <c r="Q29" s="32"/>
      <c r="R29" s="32"/>
      <c r="S29" s="123"/>
      <c r="T29" s="6"/>
      <c r="U29" s="6"/>
      <c r="V29" s="6"/>
      <c r="W29" s="6"/>
      <c r="X29" s="6"/>
      <c r="Y29" s="6"/>
      <c r="Z29" s="6"/>
      <c r="AA29" s="132"/>
    </row>
    <row r="30" spans="1:27" ht="13.5" customHeight="1" x14ac:dyDescent="0.2">
      <c r="A30" s="153"/>
      <c r="B30" s="136"/>
      <c r="C30" s="124" t="s">
        <v>1164</v>
      </c>
      <c r="D30" s="28"/>
      <c r="E30" s="28"/>
      <c r="F30" s="140"/>
      <c r="G30" s="114"/>
      <c r="H30" s="114"/>
      <c r="I30" s="54"/>
      <c r="J30" s="148"/>
      <c r="K30" s="28" t="s">
        <v>576</v>
      </c>
      <c r="L30" s="148" t="s">
        <v>2073</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48"/>
      <c r="K31" s="40" t="s">
        <v>885</v>
      </c>
      <c r="L31" s="148" t="s">
        <v>2073</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48" t="s">
        <v>2073</v>
      </c>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87"/>
      <c r="Q35" s="1984"/>
      <c r="R35" s="1984"/>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46" t="s">
        <v>2077</v>
      </c>
      <c r="B38" s="2016"/>
      <c r="C38" s="2016"/>
      <c r="D38" s="2016"/>
      <c r="E38" s="2016"/>
      <c r="F38" s="1984"/>
      <c r="G38" s="1984"/>
      <c r="H38" s="1985"/>
      <c r="I38" s="2035"/>
      <c r="J38" s="1955"/>
      <c r="K38" s="1955"/>
      <c r="L38" s="1955"/>
      <c r="M38" s="1955"/>
      <c r="N38" s="1955"/>
      <c r="O38" s="1955"/>
      <c r="P38" s="1956"/>
      <c r="Q38" s="1956"/>
      <c r="R38" s="1956"/>
      <c r="S38" s="1957"/>
      <c r="T38" s="1954"/>
      <c r="U38" s="1955"/>
      <c r="V38" s="1955"/>
      <c r="W38" s="1955"/>
      <c r="X38" s="1956"/>
      <c r="Y38" s="1956"/>
      <c r="Z38" s="1956"/>
      <c r="AA38" s="1957"/>
    </row>
    <row r="39" spans="1:27" ht="12" customHeight="1" x14ac:dyDescent="0.2">
      <c r="A39" s="2039" t="s">
        <v>531</v>
      </c>
      <c r="B39" s="2040"/>
      <c r="C39" s="72"/>
      <c r="D39" s="69"/>
      <c r="E39" s="69"/>
      <c r="F39" s="79"/>
      <c r="G39" s="69"/>
      <c r="H39" s="56"/>
      <c r="I39" s="2039" t="s">
        <v>531</v>
      </c>
      <c r="J39" s="2040"/>
      <c r="K39" s="2040"/>
      <c r="L39" s="2040"/>
      <c r="M39" s="2040"/>
      <c r="N39" s="67"/>
      <c r="O39" s="72"/>
      <c r="P39" s="72"/>
      <c r="Q39" s="78"/>
      <c r="R39" s="72"/>
      <c r="S39" s="56"/>
      <c r="T39" s="72" t="s">
        <v>531</v>
      </c>
      <c r="U39" s="51"/>
      <c r="V39" s="72"/>
      <c r="W39" s="50"/>
      <c r="X39" s="78"/>
      <c r="Y39" s="45"/>
      <c r="Z39" s="45"/>
      <c r="AA39" s="46"/>
    </row>
    <row r="40" spans="1:27" ht="13.5" customHeight="1" x14ac:dyDescent="0.2">
      <c r="A40" s="2042" t="s">
        <v>2076</v>
      </c>
      <c r="B40" s="2043"/>
      <c r="C40" s="2044"/>
      <c r="D40" s="2044"/>
      <c r="E40" s="2044"/>
      <c r="F40" s="2045"/>
      <c r="G40" s="2045"/>
      <c r="H40" s="2046"/>
      <c r="I40" s="1958"/>
      <c r="J40" s="1960"/>
      <c r="K40" s="1960"/>
      <c r="L40" s="1960"/>
      <c r="M40" s="1960"/>
      <c r="N40" s="1960"/>
      <c r="O40" s="1960"/>
      <c r="P40" s="1960"/>
      <c r="Q40" s="1960"/>
      <c r="R40" s="1960"/>
      <c r="S40" s="1961"/>
      <c r="T40" s="1958"/>
      <c r="U40" s="1959"/>
      <c r="V40" s="1960"/>
      <c r="W40" s="1960"/>
      <c r="X40" s="1960"/>
      <c r="Y40" s="1960"/>
      <c r="Z40" s="1960"/>
      <c r="AA40" s="1961"/>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2032" t="s">
        <v>2078</v>
      </c>
      <c r="B42" s="2033"/>
      <c r="C42" s="2034"/>
      <c r="D42" s="2047" t="s">
        <v>2079</v>
      </c>
      <c r="E42" s="2033"/>
      <c r="F42" s="2033"/>
      <c r="G42" s="2033"/>
      <c r="H42" s="2034"/>
      <c r="I42" s="1953"/>
      <c r="J42" s="1949"/>
      <c r="K42" s="1949"/>
      <c r="L42" s="1949"/>
      <c r="M42" s="1949"/>
      <c r="N42" s="1949"/>
      <c r="O42" s="1950"/>
      <c r="P42" s="1948"/>
      <c r="Q42" s="1949"/>
      <c r="R42" s="1949"/>
      <c r="S42" s="1950"/>
      <c r="T42" s="1953"/>
      <c r="U42" s="1949"/>
      <c r="V42" s="1949"/>
      <c r="W42" s="1950"/>
      <c r="X42" s="1948"/>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36"/>
      <c r="B44" s="2037"/>
      <c r="C44" s="2037"/>
      <c r="D44" s="2037"/>
      <c r="E44" s="2037"/>
      <c r="F44" s="2037"/>
      <c r="G44" s="2037"/>
      <c r="H44" s="2038"/>
      <c r="I44" s="2028"/>
      <c r="J44" s="2030"/>
      <c r="K44" s="2030"/>
      <c r="L44" s="2030"/>
      <c r="M44" s="2030"/>
      <c r="N44" s="2030"/>
      <c r="O44" s="2030"/>
      <c r="P44" s="2030"/>
      <c r="Q44" s="2030"/>
      <c r="R44" s="2030"/>
      <c r="S44" s="2031"/>
      <c r="T44" s="2028"/>
      <c r="U44" s="2029"/>
      <c r="V44" s="2029"/>
      <c r="W44" s="2029"/>
      <c r="X44" s="2029"/>
      <c r="Y44" s="2029"/>
      <c r="Z44" s="2030"/>
      <c r="AA44" s="2031"/>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4"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92D050"/>
  </sheetPr>
  <dimension ref="A1:F36"/>
  <sheetViews>
    <sheetView showGridLines="0" defaultGridColor="0" topLeftCell="A4" colorId="8" zoomScale="110" zoomScaleNormal="110" workbookViewId="0">
      <selection activeCell="D13" sqref="D13"/>
    </sheetView>
  </sheetViews>
  <sheetFormatPr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5" t="s">
        <v>1802</v>
      </c>
      <c r="B2" s="1528" t="s">
        <v>1949</v>
      </c>
      <c r="C2" s="714" t="s">
        <v>1950</v>
      </c>
      <c r="D2" s="714" t="s">
        <v>1951</v>
      </c>
      <c r="E2" s="714" t="s">
        <v>1952</v>
      </c>
      <c r="F2" s="714" t="s">
        <v>1953</v>
      </c>
    </row>
    <row r="3" spans="1:6" ht="12" customHeight="1" x14ac:dyDescent="0.2">
      <c r="A3" s="2186"/>
      <c r="B3" s="1525"/>
      <c r="C3" s="1526"/>
      <c r="D3" s="1527" t="s">
        <v>256</v>
      </c>
      <c r="E3" s="1526"/>
      <c r="F3" s="1527" t="s">
        <v>257</v>
      </c>
    </row>
    <row r="4" spans="1:6" ht="13.7" customHeight="1" x14ac:dyDescent="0.2">
      <c r="A4" s="715" t="s">
        <v>1155</v>
      </c>
      <c r="B4" s="1749">
        <f>'Revenues 9-14'!C5</f>
        <v>3373433</v>
      </c>
      <c r="C4" s="1524"/>
      <c r="D4" s="1752">
        <f>B4-C4</f>
        <v>3373433</v>
      </c>
      <c r="E4" s="1524">
        <v>3870868</v>
      </c>
      <c r="F4" s="1752">
        <f>E4-C4</f>
        <v>3870868</v>
      </c>
    </row>
    <row r="5" spans="1:6" ht="13.7" customHeight="1" x14ac:dyDescent="0.2">
      <c r="A5" s="715" t="s">
        <v>870</v>
      </c>
      <c r="B5" s="1750">
        <f>'Revenues 9-14'!D5</f>
        <v>471150</v>
      </c>
      <c r="C5" s="585"/>
      <c r="D5" s="1753">
        <f t="shared" ref="D5:D18" si="0">B5-C5</f>
        <v>471150</v>
      </c>
      <c r="E5" s="585">
        <v>540624</v>
      </c>
      <c r="F5" s="1753">
        <f>E5-C5</f>
        <v>540624</v>
      </c>
    </row>
    <row r="6" spans="1:6" ht="13.7" customHeight="1" x14ac:dyDescent="0.2">
      <c r="A6" s="715" t="s">
        <v>411</v>
      </c>
      <c r="B6" s="1750">
        <f>'Revenues 9-14'!E5</f>
        <v>865762</v>
      </c>
      <c r="C6" s="585"/>
      <c r="D6" s="1753">
        <f t="shared" si="0"/>
        <v>865762</v>
      </c>
      <c r="E6" s="585">
        <v>998597</v>
      </c>
      <c r="F6" s="1753">
        <f t="shared" ref="F6:F18" si="1">E6-C6</f>
        <v>998597</v>
      </c>
    </row>
    <row r="7" spans="1:6" ht="13.7" customHeight="1" x14ac:dyDescent="0.2">
      <c r="A7" s="715" t="s">
        <v>155</v>
      </c>
      <c r="B7" s="1750">
        <f>'Revenues 9-14'!F5</f>
        <v>226152</v>
      </c>
      <c r="C7" s="585"/>
      <c r="D7" s="1753">
        <f t="shared" si="0"/>
        <v>226152</v>
      </c>
      <c r="E7" s="585">
        <v>259500</v>
      </c>
      <c r="F7" s="1753">
        <f t="shared" si="1"/>
        <v>259500</v>
      </c>
    </row>
    <row r="8" spans="1:6" ht="13.7" customHeight="1" x14ac:dyDescent="0.2">
      <c r="A8" s="715" t="s">
        <v>1179</v>
      </c>
      <c r="B8" s="1750">
        <f>'Revenues 9-14'!G5</f>
        <v>69374</v>
      </c>
      <c r="C8" s="585"/>
      <c r="D8" s="1753">
        <f t="shared" si="0"/>
        <v>69374</v>
      </c>
      <c r="E8" s="585">
        <v>71384</v>
      </c>
      <c r="F8" s="1753">
        <f t="shared" si="1"/>
        <v>71384</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94230</v>
      </c>
      <c r="C10" s="585"/>
      <c r="D10" s="1753">
        <f t="shared" si="0"/>
        <v>94230</v>
      </c>
      <c r="E10" s="585">
        <v>108125</v>
      </c>
      <c r="F10" s="1753">
        <f t="shared" si="1"/>
        <v>108125</v>
      </c>
    </row>
    <row r="11" spans="1:6" x14ac:dyDescent="0.2">
      <c r="A11" s="715" t="s">
        <v>409</v>
      </c>
      <c r="B11" s="1750">
        <f>'Revenues 9-14'!J5</f>
        <v>144569</v>
      </c>
      <c r="C11" s="585"/>
      <c r="D11" s="1753">
        <f t="shared" si="0"/>
        <v>144569</v>
      </c>
      <c r="E11" s="585">
        <v>249876</v>
      </c>
      <c r="F11" s="1753">
        <f t="shared" si="1"/>
        <v>249876</v>
      </c>
    </row>
    <row r="12" spans="1:6" ht="13.7" customHeight="1" x14ac:dyDescent="0.2">
      <c r="A12" s="715" t="s">
        <v>157</v>
      </c>
      <c r="B12" s="1750">
        <f>'Revenues 9-14'!K5</f>
        <v>94231</v>
      </c>
      <c r="C12" s="585"/>
      <c r="D12" s="1753">
        <f t="shared" si="0"/>
        <v>94231</v>
      </c>
      <c r="E12" s="585">
        <v>108125</v>
      </c>
      <c r="F12" s="1753">
        <f t="shared" si="1"/>
        <v>108125</v>
      </c>
    </row>
    <row r="13" spans="1:6" ht="13.7" customHeight="1" x14ac:dyDescent="0.2">
      <c r="A13" s="715" t="s">
        <v>936</v>
      </c>
      <c r="B13" s="1750">
        <f>SUM('Revenues 9-14'!C6:D6)</f>
        <v>94230</v>
      </c>
      <c r="C13" s="585"/>
      <c r="D13" s="1753">
        <f t="shared" si="0"/>
        <v>94230</v>
      </c>
      <c r="E13" s="585">
        <v>108125</v>
      </c>
      <c r="F13" s="1753">
        <f t="shared" si="1"/>
        <v>108125</v>
      </c>
    </row>
    <row r="14" spans="1:6" ht="13.7" customHeight="1" x14ac:dyDescent="0.2">
      <c r="A14" s="715" t="s">
        <v>410</v>
      </c>
      <c r="B14" s="1750">
        <f>SUM('Revenues 9-14'!C7:D7,'Revenues 9-14'!F7:H7)</f>
        <v>37692</v>
      </c>
      <c r="C14" s="585"/>
      <c r="D14" s="1753">
        <f t="shared" si="0"/>
        <v>37692</v>
      </c>
      <c r="E14" s="585">
        <v>43250</v>
      </c>
      <c r="F14" s="1753">
        <f t="shared" si="1"/>
        <v>43250</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84793</v>
      </c>
      <c r="C16" s="585"/>
      <c r="D16" s="1753">
        <f t="shared" si="0"/>
        <v>84793</v>
      </c>
      <c r="E16" s="585">
        <v>93701</v>
      </c>
      <c r="F16" s="1753">
        <f t="shared" si="1"/>
        <v>93701</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5555616</v>
      </c>
      <c r="C19" s="1751">
        <f>SUM(C4:C18)</f>
        <v>0</v>
      </c>
      <c r="D19" s="1751">
        <f>SUM(D4:D18)</f>
        <v>5555616</v>
      </c>
      <c r="E19" s="1751">
        <f>SUM(E4:E18)</f>
        <v>6452175</v>
      </c>
      <c r="F19" s="1751">
        <f>SUM(F4:F18)</f>
        <v>6452175</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4"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92D050"/>
    <pageSetUpPr fitToPage="1"/>
  </sheetPr>
  <dimension ref="A1:K59"/>
  <sheetViews>
    <sheetView showGridLines="0" defaultGridColor="0" topLeftCell="A25" colorId="8" zoomScale="110" zoomScaleNormal="110" workbookViewId="0">
      <selection activeCell="J26" sqref="J26"/>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191" t="s">
        <v>629</v>
      </c>
      <c r="B1" s="2192"/>
      <c r="C1" s="721"/>
    </row>
    <row r="2" spans="1:7" ht="33.75" x14ac:dyDescent="0.2">
      <c r="A2" s="2200" t="s">
        <v>1802</v>
      </c>
      <c r="B2" s="2201"/>
      <c r="C2" s="1884" t="s">
        <v>1954</v>
      </c>
      <c r="D2" s="723" t="s">
        <v>1955</v>
      </c>
      <c r="E2" s="723" t="s">
        <v>1956</v>
      </c>
      <c r="F2" s="1884" t="s">
        <v>1957</v>
      </c>
    </row>
    <row r="3" spans="1:7" ht="15.75" customHeight="1" x14ac:dyDescent="0.2">
      <c r="A3" s="2204" t="s">
        <v>1114</v>
      </c>
      <c r="B3" s="2205"/>
      <c r="C3" s="2193"/>
      <c r="D3" s="2194"/>
      <c r="E3" s="2194"/>
      <c r="F3" s="2195"/>
    </row>
    <row r="4" spans="1:7" ht="12.75" customHeight="1" thickBot="1" x14ac:dyDescent="0.25">
      <c r="A4" s="2202" t="s">
        <v>630</v>
      </c>
      <c r="B4" s="2203"/>
      <c r="C4" s="581"/>
      <c r="D4" s="581"/>
      <c r="E4" s="581"/>
      <c r="F4" s="1755">
        <f>SUM(C4+D4)-E4</f>
        <v>0</v>
      </c>
    </row>
    <row r="5" spans="1:7" ht="15.75" customHeight="1" thickTop="1" x14ac:dyDescent="0.2">
      <c r="A5" s="2187" t="s">
        <v>1110</v>
      </c>
      <c r="B5" s="2188"/>
      <c r="C5" s="2196"/>
      <c r="D5" s="2197"/>
      <c r="E5" s="2197"/>
      <c r="F5" s="2198"/>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189" t="s">
        <v>631</v>
      </c>
      <c r="B15" s="2190"/>
      <c r="C15" s="1755">
        <f>SUM(C6:C14)</f>
        <v>0</v>
      </c>
      <c r="D15" s="1755">
        <f>SUM(D6:D14)</f>
        <v>0</v>
      </c>
      <c r="E15" s="1755">
        <f>SUM(E6:E14)</f>
        <v>0</v>
      </c>
      <c r="F15" s="1755">
        <f>SUM(F6:F14)</f>
        <v>0</v>
      </c>
      <c r="G15" s="552"/>
    </row>
    <row r="16" spans="1:7" s="202" customFormat="1" ht="15.75" customHeight="1" thickTop="1" x14ac:dyDescent="0.2">
      <c r="A16" s="2199" t="s">
        <v>1111</v>
      </c>
      <c r="B16" s="2188"/>
      <c r="C16" s="2196"/>
      <c r="D16" s="2197"/>
      <c r="E16" s="2197"/>
      <c r="F16" s="2198"/>
    </row>
    <row r="17" spans="1:11" ht="12.75" customHeight="1" thickBot="1" x14ac:dyDescent="0.25">
      <c r="A17" s="2212" t="s">
        <v>64</v>
      </c>
      <c r="B17" s="2213"/>
      <c r="C17" s="726"/>
      <c r="D17" s="585"/>
      <c r="E17" s="726"/>
      <c r="F17" s="1755">
        <f>SUM(C17+D17)-E17</f>
        <v>0</v>
      </c>
    </row>
    <row r="18" spans="1:11" ht="12.75" customHeight="1" thickTop="1" thickBot="1" x14ac:dyDescent="0.25">
      <c r="A18" s="2212" t="s">
        <v>6</v>
      </c>
      <c r="B18" s="2213"/>
      <c r="C18" s="726"/>
      <c r="D18" s="585"/>
      <c r="E18" s="726"/>
      <c r="F18" s="1755">
        <f>SUM(C18+D18)-E18</f>
        <v>0</v>
      </c>
    </row>
    <row r="19" spans="1:11" ht="12.75" customHeight="1" thickTop="1" thickBot="1" x14ac:dyDescent="0.25">
      <c r="A19" s="2212" t="s">
        <v>388</v>
      </c>
      <c r="B19" s="2213"/>
      <c r="C19" s="726"/>
      <c r="D19" s="585"/>
      <c r="E19" s="726"/>
      <c r="F19" s="1755">
        <f>SUM(C19+D19)-E19</f>
        <v>0</v>
      </c>
    </row>
    <row r="20" spans="1:11" ht="12.75" customHeight="1" thickTop="1" thickBot="1" x14ac:dyDescent="0.25">
      <c r="A20" s="2212" t="s">
        <v>448</v>
      </c>
      <c r="B20" s="2213"/>
      <c r="C20" s="726"/>
      <c r="D20" s="585"/>
      <c r="E20" s="726"/>
      <c r="F20" s="1755">
        <f>SUM(C20+D20)-E20</f>
        <v>0</v>
      </c>
    </row>
    <row r="21" spans="1:11" ht="14.25" thickTop="1" thickBot="1" x14ac:dyDescent="0.25">
      <c r="A21" s="2189" t="s">
        <v>632</v>
      </c>
      <c r="B21" s="2190"/>
      <c r="C21" s="1755">
        <f>SUM(C17:C20)</f>
        <v>0</v>
      </c>
      <c r="D21" s="1755">
        <f>SUM(D17:D20)</f>
        <v>0</v>
      </c>
      <c r="E21" s="1755">
        <f>SUM(E17:E20)</f>
        <v>0</v>
      </c>
      <c r="F21" s="1755">
        <f>SUM(F17:F20)</f>
        <v>0</v>
      </c>
      <c r="G21" s="552"/>
    </row>
    <row r="22" spans="1:11" ht="15.75" customHeight="1" thickTop="1" x14ac:dyDescent="0.2">
      <c r="A22" s="2214" t="s">
        <v>1112</v>
      </c>
      <c r="B22" s="2188"/>
      <c r="C22" s="2196"/>
      <c r="D22" s="2197"/>
      <c r="E22" s="2197"/>
      <c r="F22" s="2198"/>
    </row>
    <row r="23" spans="1:11" ht="13.5" thickBot="1" x14ac:dyDescent="0.25">
      <c r="A23" s="2202" t="s">
        <v>633</v>
      </c>
      <c r="B23" s="2203"/>
      <c r="C23" s="581"/>
      <c r="D23" s="581"/>
      <c r="E23" s="581"/>
      <c r="F23" s="1755">
        <f>SUM(C23+D23)-E23</f>
        <v>0</v>
      </c>
      <c r="G23" s="552"/>
    </row>
    <row r="24" spans="1:11" ht="15.75" customHeight="1" thickTop="1" x14ac:dyDescent="0.2">
      <c r="A24" s="2214" t="s">
        <v>1113</v>
      </c>
      <c r="B24" s="2188"/>
      <c r="C24" s="2196"/>
      <c r="D24" s="2197"/>
      <c r="E24" s="2197"/>
      <c r="F24" s="2198"/>
    </row>
    <row r="25" spans="1:11" ht="13.5" thickBot="1" x14ac:dyDescent="0.25">
      <c r="A25" s="2202" t="s">
        <v>634</v>
      </c>
      <c r="B25" s="2203"/>
      <c r="C25" s="581"/>
      <c r="D25" s="581"/>
      <c r="E25" s="581"/>
      <c r="F25" s="1755">
        <f>SUM(C25+D25)-E25</f>
        <v>0</v>
      </c>
      <c r="G25" s="552"/>
    </row>
    <row r="26" spans="1:11" ht="15.75" customHeight="1" thickTop="1" x14ac:dyDescent="0.2">
      <c r="A26" s="2187" t="s">
        <v>657</v>
      </c>
      <c r="B26" s="2188"/>
      <c r="C26" s="727"/>
      <c r="D26" s="727"/>
      <c r="E26" s="727"/>
      <c r="F26" s="728"/>
    </row>
    <row r="27" spans="1:11" ht="13.5" thickBot="1" x14ac:dyDescent="0.25">
      <c r="A27" s="2189" t="s">
        <v>1070</v>
      </c>
      <c r="B27" s="2190"/>
      <c r="C27" s="585"/>
      <c r="D27" s="585"/>
      <c r="E27" s="585"/>
      <c r="F27" s="1755">
        <f>SUM(C27+D27)-E27</f>
        <v>0</v>
      </c>
      <c r="G27" s="552"/>
    </row>
    <row r="28" spans="1:11" ht="7.5" customHeight="1" thickTop="1" x14ac:dyDescent="0.2">
      <c r="A28" s="593"/>
    </row>
    <row r="29" spans="1:11" ht="23.25" customHeight="1" x14ac:dyDescent="0.2">
      <c r="A29" s="2215" t="s">
        <v>582</v>
      </c>
      <c r="B29" s="2192"/>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2081</v>
      </c>
      <c r="B31" s="733">
        <v>42217</v>
      </c>
      <c r="C31" s="734">
        <v>8450000</v>
      </c>
      <c r="D31" s="735">
        <v>3</v>
      </c>
      <c r="E31" s="734">
        <v>7415000</v>
      </c>
      <c r="F31" s="734"/>
      <c r="G31" s="734"/>
      <c r="H31" s="734">
        <v>700000</v>
      </c>
      <c r="I31" s="1756">
        <f>((E31+F31)-H31)+G31</f>
        <v>6715000</v>
      </c>
      <c r="J31" s="734">
        <v>5765018</v>
      </c>
      <c r="K31" s="736"/>
    </row>
    <row r="32" spans="1:11" ht="12" customHeight="1" x14ac:dyDescent="0.2">
      <c r="A32" s="732"/>
      <c r="B32" s="733"/>
      <c r="C32" s="734"/>
      <c r="D32" s="735"/>
      <c r="E32" s="734"/>
      <c r="F32" s="734"/>
      <c r="G32" s="734"/>
      <c r="H32" s="734"/>
      <c r="I32" s="1756">
        <f>((E32+F32)-H32)+G32</f>
        <v>0</v>
      </c>
      <c r="J32" s="734"/>
      <c r="K32" s="736"/>
    </row>
    <row r="33" spans="1:11" ht="12" customHeight="1" x14ac:dyDescent="0.2">
      <c r="A33" s="732"/>
      <c r="B33" s="733"/>
      <c r="C33" s="734"/>
      <c r="D33" s="735"/>
      <c r="E33" s="734"/>
      <c r="F33" s="734"/>
      <c r="G33" s="734"/>
      <c r="H33" s="734"/>
      <c r="I33" s="1756">
        <f t="shared" ref="I33:I48" si="1">((E33+F33)-H33)+G33</f>
        <v>0</v>
      </c>
      <c r="J33" s="734"/>
      <c r="K33" s="736"/>
    </row>
    <row r="34" spans="1:11" ht="12" customHeight="1" x14ac:dyDescent="0.2">
      <c r="A34" s="732"/>
      <c r="B34" s="733"/>
      <c r="C34" s="734"/>
      <c r="D34" s="735"/>
      <c r="E34" s="734"/>
      <c r="F34" s="734"/>
      <c r="G34" s="734"/>
      <c r="H34" s="734"/>
      <c r="I34" s="1756">
        <f t="shared" si="1"/>
        <v>0</v>
      </c>
      <c r="J34" s="734"/>
      <c r="K34" s="737"/>
    </row>
    <row r="35" spans="1:11" ht="12" customHeight="1" x14ac:dyDescent="0.2">
      <c r="A35" s="732"/>
      <c r="B35" s="733"/>
      <c r="C35" s="738"/>
      <c r="D35" s="735"/>
      <c r="E35" s="738"/>
      <c r="F35" s="738"/>
      <c r="G35" s="738"/>
      <c r="H35" s="738"/>
      <c r="I35" s="1756">
        <f t="shared" si="1"/>
        <v>0</v>
      </c>
      <c r="J35" s="738"/>
      <c r="K35" s="737"/>
    </row>
    <row r="36" spans="1:11" ht="12" customHeight="1" x14ac:dyDescent="0.2">
      <c r="A36" s="732"/>
      <c r="B36" s="733"/>
      <c r="C36" s="734"/>
      <c r="D36" s="735"/>
      <c r="E36" s="734"/>
      <c r="F36" s="734"/>
      <c r="G36" s="734"/>
      <c r="H36" s="734"/>
      <c r="I36" s="1756">
        <f t="shared" si="1"/>
        <v>0</v>
      </c>
      <c r="J36" s="734"/>
      <c r="K36" s="739"/>
    </row>
    <row r="37" spans="1:11" ht="12" customHeight="1" x14ac:dyDescent="0.2">
      <c r="A37" s="732"/>
      <c r="B37" s="733"/>
      <c r="C37" s="467"/>
      <c r="D37" s="740"/>
      <c r="E37" s="467"/>
      <c r="F37" s="467"/>
      <c r="G37" s="467"/>
      <c r="H37" s="467"/>
      <c r="I37" s="1756">
        <f t="shared" si="1"/>
        <v>0</v>
      </c>
      <c r="J37" s="467"/>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8450000</v>
      </c>
      <c r="D49" s="745"/>
      <c r="E49" s="1756">
        <f t="shared" ref="E49:J49" si="2">SUM(E31:E48)</f>
        <v>7415000</v>
      </c>
      <c r="F49" s="1756">
        <f t="shared" si="2"/>
        <v>0</v>
      </c>
      <c r="G49" s="1756">
        <f t="shared" si="2"/>
        <v>0</v>
      </c>
      <c r="H49" s="1756">
        <f t="shared" si="2"/>
        <v>700000</v>
      </c>
      <c r="I49" s="1756">
        <f t="shared" si="2"/>
        <v>6715000</v>
      </c>
      <c r="J49" s="1756">
        <f t="shared" si="2"/>
        <v>5765018</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206" t="s">
        <v>584</v>
      </c>
      <c r="C52" s="2207"/>
      <c r="D52" s="2207"/>
      <c r="E52" s="749" t="s">
        <v>845</v>
      </c>
      <c r="F52" s="2208"/>
      <c r="G52" s="2209"/>
      <c r="H52" s="736"/>
      <c r="I52" s="736"/>
      <c r="J52" s="746"/>
    </row>
    <row r="53" spans="1:11" ht="11.25" customHeight="1" x14ac:dyDescent="0.2">
      <c r="A53" s="750" t="s">
        <v>913</v>
      </c>
      <c r="B53" s="751" t="s">
        <v>951</v>
      </c>
      <c r="C53" s="746"/>
      <c r="D53" s="737"/>
      <c r="E53" s="749" t="s">
        <v>497</v>
      </c>
      <c r="F53" s="2210"/>
      <c r="G53" s="2211"/>
      <c r="H53" s="736"/>
      <c r="I53" s="736"/>
      <c r="J53" s="746"/>
    </row>
    <row r="54" spans="1:11" ht="11.25" customHeight="1" x14ac:dyDescent="0.2">
      <c r="A54" s="752" t="s">
        <v>914</v>
      </c>
      <c r="B54" s="747" t="s">
        <v>952</v>
      </c>
      <c r="C54" s="746"/>
      <c r="D54" s="737"/>
      <c r="E54" s="749" t="s">
        <v>498</v>
      </c>
      <c r="F54" s="2210"/>
      <c r="G54" s="2211"/>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2"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tabColor rgb="FF92D050"/>
  </sheetPr>
  <dimension ref="A1:K48"/>
  <sheetViews>
    <sheetView showGridLines="0" defaultGridColor="0" colorId="8" zoomScale="110" zoomScaleNormal="110" workbookViewId="0">
      <selection activeCell="H15" sqref="H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40" t="s">
        <v>856</v>
      </c>
      <c r="B1" s="2241"/>
      <c r="C1" s="2241"/>
      <c r="D1" s="2241"/>
      <c r="E1" s="2241"/>
      <c r="F1" s="2241"/>
      <c r="G1" s="2242"/>
      <c r="H1" s="1530"/>
      <c r="I1" s="760"/>
      <c r="J1" s="433"/>
    </row>
    <row r="2" spans="1:11" ht="26.25" x14ac:dyDescent="0.2">
      <c r="A2" s="2219" t="s">
        <v>1677</v>
      </c>
      <c r="B2" s="2220"/>
      <c r="C2" s="2220"/>
      <c r="D2" s="2220"/>
      <c r="E2" s="2221"/>
      <c r="F2" s="761" t="s">
        <v>904</v>
      </c>
      <c r="G2" s="762" t="s">
        <v>1674</v>
      </c>
      <c r="H2" s="762" t="s">
        <v>410</v>
      </c>
      <c r="I2" s="762" t="s">
        <v>1158</v>
      </c>
      <c r="J2" s="762" t="s">
        <v>1812</v>
      </c>
      <c r="K2" s="762" t="s">
        <v>138</v>
      </c>
    </row>
    <row r="3" spans="1:11" x14ac:dyDescent="0.2">
      <c r="A3" s="2222" t="s">
        <v>1962</v>
      </c>
      <c r="B3" s="2223"/>
      <c r="C3" s="2223"/>
      <c r="D3" s="2223"/>
      <c r="E3" s="2224"/>
      <c r="F3" s="763"/>
      <c r="G3" s="764"/>
      <c r="H3" s="764"/>
      <c r="I3" s="764"/>
      <c r="J3" s="765"/>
      <c r="K3" s="765"/>
    </row>
    <row r="4" spans="1:11" x14ac:dyDescent="0.2">
      <c r="A4" s="2225" t="s">
        <v>369</v>
      </c>
      <c r="B4" s="2226"/>
      <c r="C4" s="2226"/>
      <c r="D4" s="2226"/>
      <c r="E4" s="2207"/>
      <c r="F4" s="766"/>
      <c r="G4" s="767"/>
      <c r="H4" s="768"/>
      <c r="I4" s="767"/>
      <c r="J4" s="769"/>
      <c r="K4" s="769"/>
    </row>
    <row r="5" spans="1:11" x14ac:dyDescent="0.2">
      <c r="A5" s="2243" t="s">
        <v>1069</v>
      </c>
      <c r="B5" s="2216"/>
      <c r="C5" s="2216"/>
      <c r="D5" s="2216"/>
      <c r="E5" s="2244"/>
      <c r="F5" s="770" t="s">
        <v>848</v>
      </c>
      <c r="G5" s="771"/>
      <c r="H5" s="764">
        <v>37692</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row>
    <row r="8" spans="1:11" x14ac:dyDescent="0.2">
      <c r="A8" s="778" t="s">
        <v>345</v>
      </c>
      <c r="B8" s="779"/>
      <c r="C8" s="779"/>
      <c r="D8" s="779"/>
      <c r="E8" s="780"/>
      <c r="F8" s="770" t="s">
        <v>851</v>
      </c>
      <c r="G8" s="782"/>
      <c r="H8" s="782"/>
      <c r="I8" s="782"/>
      <c r="J8" s="765"/>
      <c r="K8" s="769"/>
    </row>
    <row r="9" spans="1:11" x14ac:dyDescent="0.2">
      <c r="A9" s="778" t="s">
        <v>138</v>
      </c>
      <c r="B9" s="779"/>
      <c r="C9" s="779"/>
      <c r="D9" s="779"/>
      <c r="E9" s="780"/>
      <c r="F9" s="777" t="s">
        <v>853</v>
      </c>
      <c r="G9" s="782"/>
      <c r="H9" s="771"/>
      <c r="I9" s="771"/>
      <c r="J9" s="781"/>
      <c r="K9" s="765"/>
    </row>
    <row r="10" spans="1:11" x14ac:dyDescent="0.2">
      <c r="A10" s="2243" t="s">
        <v>1813</v>
      </c>
      <c r="B10" s="2216"/>
      <c r="C10" s="2216"/>
      <c r="D10" s="2216"/>
      <c r="E10" s="2245"/>
      <c r="F10" s="783" t="s">
        <v>862</v>
      </c>
      <c r="G10" s="782"/>
      <c r="H10" s="784"/>
      <c r="I10" s="764"/>
      <c r="J10" s="765"/>
      <c r="K10" s="765"/>
    </row>
    <row r="11" spans="1:11" x14ac:dyDescent="0.2">
      <c r="A11" s="2243" t="s">
        <v>160</v>
      </c>
      <c r="B11" s="2216"/>
      <c r="C11" s="2216"/>
      <c r="D11" s="2216"/>
      <c r="E11" s="2244"/>
      <c r="F11" s="770" t="s">
        <v>852</v>
      </c>
      <c r="G11" s="771"/>
      <c r="H11" s="764"/>
      <c r="I11" s="764"/>
      <c r="J11" s="765"/>
      <c r="K11" s="773"/>
    </row>
    <row r="12" spans="1:11" ht="13.5" thickBot="1" x14ac:dyDescent="0.25">
      <c r="A12" s="2233" t="s">
        <v>905</v>
      </c>
      <c r="B12" s="2234"/>
      <c r="C12" s="2234"/>
      <c r="D12" s="2234"/>
      <c r="E12" s="2235"/>
      <c r="F12" s="1757"/>
      <c r="G12" s="1758">
        <f>SUM(G5:G11)</f>
        <v>0</v>
      </c>
      <c r="H12" s="1758">
        <f>SUM(H5:H11)</f>
        <v>37692</v>
      </c>
      <c r="I12" s="1758">
        <f>SUM(I5:I11)</f>
        <v>0</v>
      </c>
      <c r="J12" s="1758">
        <f>SUM(J5:J11)</f>
        <v>0</v>
      </c>
      <c r="K12" s="1758">
        <f>SUM(K5:K11)</f>
        <v>0</v>
      </c>
    </row>
    <row r="13" spans="1:11" ht="13.5" thickTop="1" x14ac:dyDescent="0.2">
      <c r="A13" s="2227" t="s">
        <v>370</v>
      </c>
      <c r="B13" s="2228"/>
      <c r="C13" s="2228"/>
      <c r="D13" s="2228"/>
      <c r="E13" s="2229"/>
      <c r="F13" s="785"/>
      <c r="G13" s="786"/>
      <c r="H13" s="787"/>
      <c r="I13" s="788"/>
      <c r="J13" s="788"/>
      <c r="K13" s="788"/>
    </row>
    <row r="14" spans="1:11" x14ac:dyDescent="0.2">
      <c r="A14" s="2249" t="s">
        <v>456</v>
      </c>
      <c r="B14" s="2249"/>
      <c r="C14" s="2249"/>
      <c r="D14" s="2249"/>
      <c r="E14" s="2250"/>
      <c r="F14" s="789" t="s">
        <v>854</v>
      </c>
      <c r="G14" s="782"/>
      <c r="H14" s="764">
        <v>37692</v>
      </c>
      <c r="I14" s="771"/>
      <c r="J14" s="773"/>
      <c r="K14" s="765"/>
    </row>
    <row r="15" spans="1:11" x14ac:dyDescent="0.2">
      <c r="A15" s="2216" t="s">
        <v>4</v>
      </c>
      <c r="B15" s="2216"/>
      <c r="C15" s="2216"/>
      <c r="D15" s="2216"/>
      <c r="E15" s="2244"/>
      <c r="F15" s="789" t="s">
        <v>855</v>
      </c>
      <c r="G15" s="771"/>
      <c r="H15" s="764"/>
      <c r="I15" s="764"/>
      <c r="J15" s="765"/>
      <c r="K15" s="765"/>
    </row>
    <row r="16" spans="1:11" x14ac:dyDescent="0.2">
      <c r="A16" s="2216" t="s">
        <v>298</v>
      </c>
      <c r="B16" s="2216"/>
      <c r="C16" s="2216"/>
      <c r="D16" s="2216"/>
      <c r="E16" s="2244"/>
      <c r="F16" s="789" t="s">
        <v>923</v>
      </c>
      <c r="G16" s="772"/>
      <c r="H16" s="767"/>
      <c r="I16" s="767"/>
      <c r="J16" s="769"/>
      <c r="K16" s="769"/>
    </row>
    <row r="17" spans="1:11" x14ac:dyDescent="0.2">
      <c r="A17" s="2238" t="s">
        <v>935</v>
      </c>
      <c r="B17" s="2238"/>
      <c r="C17" s="2238"/>
      <c r="D17" s="2238"/>
      <c r="E17" s="2239"/>
      <c r="F17" s="790"/>
      <c r="G17" s="791"/>
      <c r="H17" s="792"/>
      <c r="I17" s="792"/>
      <c r="J17" s="793"/>
      <c r="K17" s="794"/>
    </row>
    <row r="18" spans="1:11" x14ac:dyDescent="0.2">
      <c r="A18" s="2230" t="s">
        <v>368</v>
      </c>
      <c r="B18" s="2231"/>
      <c r="C18" s="2231"/>
      <c r="D18" s="2231"/>
      <c r="E18" s="2232"/>
      <c r="F18" s="789" t="s">
        <v>932</v>
      </c>
      <c r="G18" s="782"/>
      <c r="H18" s="782"/>
      <c r="I18" s="782"/>
      <c r="J18" s="765"/>
      <c r="K18" s="795"/>
    </row>
    <row r="19" spans="1:11" ht="21.75" customHeight="1" x14ac:dyDescent="0.2">
      <c r="A19" s="2251" t="s">
        <v>1809</v>
      </c>
      <c r="B19" s="2251"/>
      <c r="C19" s="2251"/>
      <c r="D19" s="2251"/>
      <c r="E19" s="2252"/>
      <c r="F19" s="789" t="s">
        <v>933</v>
      </c>
      <c r="G19" s="782"/>
      <c r="H19" s="782"/>
      <c r="I19" s="782"/>
      <c r="J19" s="765"/>
      <c r="K19" s="795"/>
    </row>
    <row r="20" spans="1:11" x14ac:dyDescent="0.2">
      <c r="A20" s="2230" t="s">
        <v>1814</v>
      </c>
      <c r="B20" s="2231"/>
      <c r="C20" s="2231"/>
      <c r="D20" s="2231"/>
      <c r="E20" s="2232"/>
      <c r="F20" s="789" t="s">
        <v>934</v>
      </c>
      <c r="G20" s="782"/>
      <c r="H20" s="782"/>
      <c r="I20" s="782"/>
      <c r="J20" s="765"/>
      <c r="K20" s="795"/>
    </row>
    <row r="21" spans="1:11" ht="13.5" thickBot="1" x14ac:dyDescent="0.25">
      <c r="A21" s="2236" t="s">
        <v>638</v>
      </c>
      <c r="B21" s="2236"/>
      <c r="C21" s="2236"/>
      <c r="D21" s="2236"/>
      <c r="E21" s="2236"/>
      <c r="F21" s="1759"/>
      <c r="G21" s="792"/>
      <c r="H21" s="796"/>
      <c r="I21" s="796"/>
      <c r="J21" s="1760">
        <f>SUM(J18:J20)</f>
        <v>0</v>
      </c>
      <c r="K21" s="793"/>
    </row>
    <row r="22" spans="1:11" ht="13.5" thickTop="1" x14ac:dyDescent="0.2">
      <c r="A22" s="2216" t="s">
        <v>1815</v>
      </c>
      <c r="B22" s="2216"/>
      <c r="C22" s="2216"/>
      <c r="D22" s="2216"/>
      <c r="E22" s="2244"/>
      <c r="F22" s="789" t="s">
        <v>862</v>
      </c>
      <c r="G22" s="782"/>
      <c r="H22" s="764"/>
      <c r="I22" s="764"/>
      <c r="J22" s="797"/>
      <c r="K22" s="765"/>
    </row>
    <row r="23" spans="1:11" ht="13.5" thickBot="1" x14ac:dyDescent="0.25">
      <c r="A23" s="2237" t="s">
        <v>906</v>
      </c>
      <c r="B23" s="2236"/>
      <c r="C23" s="2236"/>
      <c r="D23" s="2236"/>
      <c r="E23" s="2236"/>
      <c r="F23" s="1761"/>
      <c r="G23" s="1758">
        <f>SUM(G14:G16,G21,G22)</f>
        <v>0</v>
      </c>
      <c r="H23" s="1758">
        <f>SUM(H14:H16,H21,H22)</f>
        <v>37692</v>
      </c>
      <c r="I23" s="1758">
        <f>SUM(I14:I16,I21,I22)</f>
        <v>0</v>
      </c>
      <c r="J23" s="1758">
        <f>SUM(J14:J16,J21,J22)</f>
        <v>0</v>
      </c>
      <c r="K23" s="1758">
        <f>SUM(K14:K16,K21,K22)</f>
        <v>0</v>
      </c>
    </row>
    <row r="24" spans="1:11" ht="14.25" thickTop="1" thickBot="1" x14ac:dyDescent="0.25">
      <c r="A24" s="2237" t="s">
        <v>1963</v>
      </c>
      <c r="B24" s="2236"/>
      <c r="C24" s="2236"/>
      <c r="D24" s="2236"/>
      <c r="E24" s="2236"/>
      <c r="F24" s="1762"/>
      <c r="G24" s="1763">
        <f>SUM(G3,G12)-G23</f>
        <v>0</v>
      </c>
      <c r="H24" s="1763">
        <f>SUM(H3,H12)-H23</f>
        <v>0</v>
      </c>
      <c r="I24" s="1763">
        <f>SUM(I3,I12)-I23</f>
        <v>0</v>
      </c>
      <c r="J24" s="1763">
        <f>SUM(J3,J12)-J23</f>
        <v>0</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0</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46"/>
      <c r="I31" s="2247"/>
      <c r="J31" s="2247"/>
      <c r="K31" s="2247"/>
    </row>
    <row r="32" spans="1:11" x14ac:dyDescent="0.2">
      <c r="A32" s="809"/>
      <c r="B32" s="237"/>
      <c r="C32" s="237"/>
      <c r="D32" s="237"/>
      <c r="E32" s="805"/>
      <c r="F32" s="811" t="s">
        <v>540</v>
      </c>
      <c r="G32" s="764"/>
      <c r="H32" s="2248"/>
      <c r="I32" s="2247"/>
      <c r="J32" s="2247"/>
      <c r="K32" s="2247"/>
    </row>
    <row r="33" spans="1:11" ht="1.5" customHeight="1" x14ac:dyDescent="0.2">
      <c r="A33" s="812" t="s">
        <v>1169</v>
      </c>
      <c r="B33" s="364"/>
      <c r="C33" s="364"/>
      <c r="D33" s="364"/>
      <c r="E33" s="364"/>
      <c r="F33" s="364"/>
      <c r="G33" s="813"/>
      <c r="H33" s="2248"/>
      <c r="I33" s="2247"/>
      <c r="J33" s="2247"/>
      <c r="K33" s="2247"/>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16" t="s">
        <v>541</v>
      </c>
      <c r="B41" s="2217"/>
      <c r="C41" s="2217"/>
      <c r="D41" s="2217"/>
      <c r="E41" s="2217"/>
      <c r="F41" s="2218"/>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rgb="FF92D050"/>
  </sheetPr>
  <dimension ref="A1:N27"/>
  <sheetViews>
    <sheetView showGridLines="0" defaultGridColor="0" colorId="8" zoomScale="110" zoomScaleNormal="110" workbookViewId="0">
      <selection activeCell="E12" sqref="E12"/>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5" t="s">
        <v>1908</v>
      </c>
      <c r="B1" s="2256"/>
      <c r="C1" s="2257"/>
      <c r="D1" s="826"/>
      <c r="E1" s="827"/>
      <c r="F1" s="827"/>
      <c r="G1" s="828"/>
      <c r="H1" s="829"/>
      <c r="I1" s="830"/>
      <c r="J1" s="2253"/>
      <c r="K1" s="2254"/>
      <c r="L1" s="2254"/>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510156</v>
      </c>
      <c r="D5" s="841"/>
      <c r="E5" s="841"/>
      <c r="F5" s="1760">
        <f>(C5+D5)-E5</f>
        <v>510156</v>
      </c>
      <c r="G5" s="837"/>
      <c r="H5" s="842"/>
      <c r="I5" s="842"/>
      <c r="J5" s="842"/>
      <c r="K5" s="793"/>
      <c r="L5" s="1769">
        <f>F5-K5</f>
        <v>510156</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17904524</v>
      </c>
      <c r="D8" s="844">
        <v>12612</v>
      </c>
      <c r="E8" s="844"/>
      <c r="F8" s="1760">
        <f>(C8+D8)-E8</f>
        <v>17917136</v>
      </c>
      <c r="G8" s="843">
        <v>50</v>
      </c>
      <c r="H8" s="765">
        <v>5663169</v>
      </c>
      <c r="I8" s="765">
        <v>349068</v>
      </c>
      <c r="J8" s="765"/>
      <c r="K8" s="1769">
        <f>(H8+I8)-J8</f>
        <v>6012237</v>
      </c>
      <c r="L8" s="1769">
        <f>F8-K8</f>
        <v>11904899</v>
      </c>
    </row>
    <row r="9" spans="1:14" ht="14.25" thickTop="1" thickBot="1" x14ac:dyDescent="0.25">
      <c r="A9" s="778" t="s">
        <v>1119</v>
      </c>
      <c r="B9" s="840">
        <v>232</v>
      </c>
      <c r="C9" s="765">
        <v>1535247</v>
      </c>
      <c r="D9" s="765">
        <f>22465+10585+56565</f>
        <v>89615</v>
      </c>
      <c r="E9" s="765"/>
      <c r="F9" s="1760">
        <f>(C9+D9)-E9</f>
        <v>1624862</v>
      </c>
      <c r="G9" s="843">
        <v>20</v>
      </c>
      <c r="H9" s="765">
        <v>433629</v>
      </c>
      <c r="I9" s="765">
        <v>124761</v>
      </c>
      <c r="J9" s="765"/>
      <c r="K9" s="1769">
        <f>(H9+I9)-J9</f>
        <v>558390</v>
      </c>
      <c r="L9" s="1769">
        <f>F9-K9</f>
        <v>1066472</v>
      </c>
    </row>
    <row r="10" spans="1:14" ht="24" thickTop="1" thickBot="1" x14ac:dyDescent="0.25">
      <c r="A10" s="845" t="s">
        <v>1120</v>
      </c>
      <c r="B10" s="840">
        <v>240</v>
      </c>
      <c r="C10" s="846">
        <v>116608</v>
      </c>
      <c r="D10" s="846"/>
      <c r="E10" s="846"/>
      <c r="F10" s="1764">
        <f>(C10+D10)-E10</f>
        <v>116608</v>
      </c>
      <c r="G10" s="843">
        <v>20</v>
      </c>
      <c r="H10" s="847">
        <v>58437</v>
      </c>
      <c r="I10" s="847">
        <v>2629</v>
      </c>
      <c r="J10" s="847"/>
      <c r="K10" s="1769">
        <f>(H10+I10)-J10</f>
        <v>61066</v>
      </c>
      <c r="L10" s="1769">
        <f>F10-K10</f>
        <v>55542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f>327006+4338</f>
        <v>331344</v>
      </c>
      <c r="D12" s="844">
        <v>30062</v>
      </c>
      <c r="E12" s="844"/>
      <c r="F12" s="1760">
        <f>(C12+D12)-E12</f>
        <v>361406</v>
      </c>
      <c r="G12" s="843">
        <v>10</v>
      </c>
      <c r="H12" s="765">
        <f>251257+4338</f>
        <v>255595</v>
      </c>
      <c r="I12" s="765">
        <v>26993</v>
      </c>
      <c r="J12" s="765"/>
      <c r="K12" s="1769">
        <f>(H12+I12)-J12</f>
        <v>282588</v>
      </c>
      <c r="L12" s="1769">
        <f>F12-K12</f>
        <v>78818</v>
      </c>
    </row>
    <row r="13" spans="1:14" ht="14.25" thickTop="1" thickBot="1" x14ac:dyDescent="0.25">
      <c r="A13" s="848" t="s">
        <v>1122</v>
      </c>
      <c r="B13" s="840">
        <v>252</v>
      </c>
      <c r="C13" s="844">
        <v>1415470</v>
      </c>
      <c r="D13" s="844">
        <v>4449</v>
      </c>
      <c r="E13" s="844"/>
      <c r="F13" s="1760">
        <f>(C13+D13)-E13</f>
        <v>1419919</v>
      </c>
      <c r="G13" s="843">
        <v>5</v>
      </c>
      <c r="H13" s="765">
        <v>1314496</v>
      </c>
      <c r="I13" s="765">
        <v>39922</v>
      </c>
      <c r="J13" s="765"/>
      <c r="K13" s="1769">
        <f>(H13+I13)-J13</f>
        <v>1354418</v>
      </c>
      <c r="L13" s="1769">
        <f>F13-K13</f>
        <v>65501</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v>250498</v>
      </c>
      <c r="E15" s="844"/>
      <c r="F15" s="1760">
        <f>(C15+D15)-E15</f>
        <v>250498</v>
      </c>
      <c r="G15" s="849" t="s">
        <v>862</v>
      </c>
      <c r="H15" s="781"/>
      <c r="I15" s="781"/>
      <c r="J15" s="781"/>
      <c r="K15" s="781"/>
      <c r="L15" s="1769">
        <f>F15-K15</f>
        <v>250498</v>
      </c>
    </row>
    <row r="16" spans="1:14" ht="15" customHeight="1" thickTop="1" thickBot="1" x14ac:dyDescent="0.25">
      <c r="A16" s="1765" t="s">
        <v>643</v>
      </c>
      <c r="B16" s="1766">
        <v>200</v>
      </c>
      <c r="C16" s="1760">
        <f>SUM(C3,C5:C6,C8:C10,C12:C15)</f>
        <v>21813349</v>
      </c>
      <c r="D16" s="1760">
        <f>SUM(D3,D5:D6,D8:D10,D12:D15)</f>
        <v>387236</v>
      </c>
      <c r="E16" s="1760">
        <f>SUM(E3,E5:E6,E8:E10,E12:E15)</f>
        <v>0</v>
      </c>
      <c r="F16" s="1760">
        <f>SUM(F3,F5:F6,F8:F10,F12:F15)</f>
        <v>22200585</v>
      </c>
      <c r="G16" s="843"/>
      <c r="H16" s="1760">
        <f>SUM(H3,H6,H8:H10,H12:H14,)</f>
        <v>7725326</v>
      </c>
      <c r="I16" s="1760">
        <f>SUM(I3,I6,I8:I10,I12:I14,)</f>
        <v>543373</v>
      </c>
      <c r="J16" s="1760">
        <f>SUM(J3,J6,J8:J10,J12:J14,)</f>
        <v>0</v>
      </c>
      <c r="K16" s="1760">
        <f>(H16+I16)-J16</f>
        <v>8268699</v>
      </c>
      <c r="L16" s="1760">
        <f>F16-K16</f>
        <v>13931886</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153724</v>
      </c>
      <c r="G17" s="837">
        <v>10</v>
      </c>
      <c r="H17" s="769"/>
      <c r="I17" s="1769">
        <f>F17/G17</f>
        <v>15372.4</v>
      </c>
      <c r="J17" s="769"/>
      <c r="K17" s="795"/>
      <c r="L17" s="795"/>
    </row>
    <row r="18" spans="1:12" ht="14.25" thickTop="1" thickBot="1" x14ac:dyDescent="0.25">
      <c r="A18" s="1767" t="s">
        <v>685</v>
      </c>
      <c r="B18" s="1768"/>
      <c r="C18" s="771"/>
      <c r="D18" s="771"/>
      <c r="E18" s="771"/>
      <c r="F18" s="850"/>
      <c r="G18" s="851"/>
      <c r="H18" s="773"/>
      <c r="I18" s="1760">
        <f>SUM(I16,I17)</f>
        <v>558745.4</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4"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tabColor rgb="FF92D050"/>
  </sheetPr>
  <dimension ref="A1:H202"/>
  <sheetViews>
    <sheetView showGridLines="0" defaultGridColor="0" colorId="8" zoomScale="110" zoomScaleNormal="110" workbookViewId="0">
      <pane ySplit="5" topLeftCell="A60" activePane="bottomLeft" state="frozen"/>
      <selection activeCell="A47" sqref="A47"/>
      <selection pane="bottomLeft" activeCell="I77" sqref="I77"/>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1" t="s">
        <v>1973</v>
      </c>
      <c r="B1" s="2262"/>
      <c r="C1" s="2262"/>
      <c r="D1" s="2262"/>
      <c r="E1" s="2262"/>
      <c r="F1" s="2263"/>
      <c r="G1" s="855"/>
    </row>
    <row r="2" spans="1:7" ht="15" customHeight="1" thickBot="1" x14ac:dyDescent="0.25">
      <c r="A2" s="2264" t="s">
        <v>477</v>
      </c>
      <c r="B2" s="2265"/>
      <c r="C2" s="2265"/>
      <c r="D2" s="2265"/>
      <c r="E2" s="2265"/>
      <c r="F2" s="2266"/>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7"/>
      <c r="B5" s="2268"/>
      <c r="C5" s="2268"/>
      <c r="D5" s="2268"/>
      <c r="E5" s="2268"/>
      <c r="F5" s="2268"/>
    </row>
    <row r="6" spans="1:7" ht="13.5" customHeight="1" thickBot="1" x14ac:dyDescent="0.25">
      <c r="A6" s="2258" t="s">
        <v>1104</v>
      </c>
      <c r="B6" s="2259"/>
      <c r="C6" s="2259"/>
      <c r="D6" s="2259"/>
      <c r="E6" s="2259"/>
      <c r="F6" s="2260"/>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5790573</v>
      </c>
      <c r="G8" s="865"/>
    </row>
    <row r="9" spans="1:7" x14ac:dyDescent="0.2">
      <c r="A9" s="869" t="s">
        <v>460</v>
      </c>
      <c r="B9" s="870" t="s">
        <v>1876</v>
      </c>
      <c r="C9" s="871"/>
      <c r="D9" s="869" t="s">
        <v>501</v>
      </c>
      <c r="E9" s="868"/>
      <c r="F9" s="1909">
        <f>'Expenditures 15-22'!K151</f>
        <v>439235</v>
      </c>
      <c r="G9" s="872"/>
    </row>
    <row r="10" spans="1:7" x14ac:dyDescent="0.2">
      <c r="A10" s="869" t="s">
        <v>499</v>
      </c>
      <c r="B10" s="870" t="s">
        <v>1877</v>
      </c>
      <c r="C10" s="871"/>
      <c r="D10" s="869" t="s">
        <v>501</v>
      </c>
      <c r="E10" s="868"/>
      <c r="F10" s="1909">
        <f>'Expenditures 15-22'!K174</f>
        <v>997050</v>
      </c>
      <c r="G10" s="872"/>
    </row>
    <row r="11" spans="1:7" x14ac:dyDescent="0.2">
      <c r="A11" s="869" t="s">
        <v>461</v>
      </c>
      <c r="B11" s="870" t="s">
        <v>1878</v>
      </c>
      <c r="C11" s="871"/>
      <c r="D11" s="869" t="s">
        <v>501</v>
      </c>
      <c r="E11" s="868"/>
      <c r="F11" s="1909">
        <f>'Expenditures 15-22'!K210</f>
        <v>1575592</v>
      </c>
      <c r="G11" s="872"/>
    </row>
    <row r="12" spans="1:7" x14ac:dyDescent="0.2">
      <c r="A12" s="869" t="s">
        <v>462</v>
      </c>
      <c r="B12" s="870" t="s">
        <v>1879</v>
      </c>
      <c r="C12" s="871"/>
      <c r="D12" s="869" t="s">
        <v>501</v>
      </c>
      <c r="E12" s="868"/>
      <c r="F12" s="1909">
        <f>'Expenditures 15-22'!K295</f>
        <v>311579</v>
      </c>
      <c r="G12" s="872"/>
    </row>
    <row r="13" spans="1:7" x14ac:dyDescent="0.2">
      <c r="A13" s="869" t="s">
        <v>106</v>
      </c>
      <c r="B13" s="870" t="s">
        <v>1880</v>
      </c>
      <c r="C13" s="871"/>
      <c r="D13" s="869" t="s">
        <v>501</v>
      </c>
      <c r="E13" s="868"/>
      <c r="F13" s="1909">
        <f>'Expenditures 15-22'!K342</f>
        <v>320998</v>
      </c>
      <c r="G13" s="873"/>
    </row>
    <row r="14" spans="1:7" ht="12" customHeight="1" thickBot="1" x14ac:dyDescent="0.25">
      <c r="A14" s="1770"/>
      <c r="B14" s="1771"/>
      <c r="C14" s="1772"/>
      <c r="D14" s="1773" t="s">
        <v>501</v>
      </c>
      <c r="E14" s="1774" t="s">
        <v>958</v>
      </c>
      <c r="F14" s="1775">
        <f>SUM(F8:F13)</f>
        <v>9435027</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435664</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642614</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113300</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45455</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0</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187100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6584</v>
      </c>
      <c r="G52" s="865"/>
    </row>
    <row r="53" spans="1:7" x14ac:dyDescent="0.2">
      <c r="A53" s="869" t="s">
        <v>459</v>
      </c>
      <c r="B53" s="869" t="s">
        <v>1475</v>
      </c>
      <c r="C53" s="889">
        <f>'Expenditures 15-22'!B102</f>
        <v>4000</v>
      </c>
      <c r="D53" s="888" t="str">
        <f>'Expenditures 15-22'!A102</f>
        <v>Total Payments to Other Govt Units</v>
      </c>
      <c r="E53" s="868"/>
      <c r="F53" s="1913">
        <f>'Expenditures 15-22'!K102</f>
        <v>421960</v>
      </c>
      <c r="G53" s="865"/>
    </row>
    <row r="54" spans="1:7" x14ac:dyDescent="0.2">
      <c r="A54" s="869" t="s">
        <v>459</v>
      </c>
      <c r="B54" s="869" t="s">
        <v>1476</v>
      </c>
      <c r="C54" s="889" t="s">
        <v>982</v>
      </c>
      <c r="D54" s="885" t="s">
        <v>1095</v>
      </c>
      <c r="E54" s="868"/>
      <c r="F54" s="1913">
        <f>'Expenditures 15-22'!G114</f>
        <v>315</v>
      </c>
      <c r="G54" s="865"/>
    </row>
    <row r="55" spans="1:7" x14ac:dyDescent="0.2">
      <c r="A55" s="869" t="s">
        <v>459</v>
      </c>
      <c r="B55" s="869" t="s">
        <v>1477</v>
      </c>
      <c r="C55" s="889" t="s">
        <v>982</v>
      </c>
      <c r="D55" s="885" t="s">
        <v>291</v>
      </c>
      <c r="E55" s="868"/>
      <c r="F55" s="1913">
        <f>'Expenditures 15-22'!I114</f>
        <v>115100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4449</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700000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414175</v>
      </c>
      <c r="G65" s="865"/>
    </row>
    <row r="66" spans="1:8" x14ac:dyDescent="0.2">
      <c r="A66" s="869" t="s">
        <v>461</v>
      </c>
      <c r="B66" s="869" t="s">
        <v>1890</v>
      </c>
      <c r="C66" s="886" t="s">
        <v>982</v>
      </c>
      <c r="D66" s="885" t="s">
        <v>291</v>
      </c>
      <c r="E66" s="868"/>
      <c r="F66" s="1913">
        <f>'Expenditures 15-22'!I210</f>
        <v>957</v>
      </c>
      <c r="G66" s="865"/>
    </row>
    <row r="67" spans="1:8" x14ac:dyDescent="0.2">
      <c r="A67" s="869" t="s">
        <v>462</v>
      </c>
      <c r="B67" s="869" t="s">
        <v>1891</v>
      </c>
      <c r="C67" s="886" t="str">
        <f>'Expenditures 15-22'!B216</f>
        <v>1125</v>
      </c>
      <c r="D67" s="892" t="str">
        <f>'Expenditures 15-22'!A216</f>
        <v>Pre-K Programs</v>
      </c>
      <c r="E67" s="868"/>
      <c r="F67" s="1913">
        <f>'Expenditures 15-22'!K216</f>
        <v>6189</v>
      </c>
      <c r="G67" s="865"/>
    </row>
    <row r="68" spans="1:8" x14ac:dyDescent="0.2">
      <c r="A68" s="869" t="s">
        <v>462</v>
      </c>
      <c r="B68" s="869" t="s">
        <v>1479</v>
      </c>
      <c r="C68" s="886" t="str">
        <f>'Expenditures 15-22'!B218</f>
        <v>1225</v>
      </c>
      <c r="D68" s="892" t="str">
        <f>'Expenditures 15-22'!A218</f>
        <v>Special Education Programs - Pre-K</v>
      </c>
      <c r="E68" s="868"/>
      <c r="F68" s="1913">
        <f>'Expenditures 15-22'!K218</f>
        <v>2595</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0</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3096457</v>
      </c>
      <c r="G76" s="865"/>
    </row>
    <row r="77" spans="1:8" s="893" customFormat="1" ht="12" customHeight="1" thickTop="1" thickBot="1" x14ac:dyDescent="0.25">
      <c r="A77" s="1779"/>
      <c r="B77" s="1776"/>
      <c r="C77" s="1772"/>
      <c r="D77" s="1777" t="s">
        <v>1899</v>
      </c>
      <c r="E77" s="1774"/>
      <c r="F77" s="1780">
        <f>(F14-F76)</f>
        <v>6338570</v>
      </c>
      <c r="G77" s="869"/>
    </row>
    <row r="78" spans="1:8" s="893" customFormat="1" ht="12" customHeight="1" thickTop="1" x14ac:dyDescent="0.2">
      <c r="A78" s="1781"/>
      <c r="B78" s="1776"/>
      <c r="C78" s="1772"/>
      <c r="D78" s="1777" t="s">
        <v>2060</v>
      </c>
      <c r="E78" s="1774"/>
      <c r="F78" s="898">
        <v>716.2</v>
      </c>
      <c r="G78" s="899"/>
      <c r="H78" s="869"/>
    </row>
    <row r="79" spans="1:8" s="893" customFormat="1" ht="12" customHeight="1" thickBot="1" x14ac:dyDescent="0.25">
      <c r="A79" s="1782"/>
      <c r="B79" s="1776"/>
      <c r="C79" s="1772"/>
      <c r="D79" s="1777" t="s">
        <v>1900</v>
      </c>
      <c r="E79" s="1774" t="s">
        <v>958</v>
      </c>
      <c r="F79" s="1783">
        <f>IF(F78&gt;0,F77/F78," Complete Line 78")</f>
        <v>8850.2792516056961</v>
      </c>
      <c r="G79" s="869"/>
    </row>
    <row r="80" spans="1:8" s="893" customFormat="1" ht="8.25" customHeight="1" thickTop="1" x14ac:dyDescent="0.2">
      <c r="A80" s="900"/>
      <c r="B80" s="869"/>
      <c r="C80" s="871"/>
      <c r="D80" s="901"/>
      <c r="E80" s="868"/>
      <c r="F80" s="902"/>
      <c r="G80" s="869"/>
    </row>
    <row r="81" spans="1:7" s="893" customFormat="1" ht="12" thickBot="1" x14ac:dyDescent="0.25">
      <c r="A81" s="2258" t="s">
        <v>1105</v>
      </c>
      <c r="B81" s="2259"/>
      <c r="C81" s="2259"/>
      <c r="D81" s="2259"/>
      <c r="E81" s="2259"/>
      <c r="F81" s="2260"/>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24161</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57658</v>
      </c>
      <c r="G94" s="912"/>
    </row>
    <row r="95" spans="1:7" x14ac:dyDescent="0.2">
      <c r="A95" s="908" t="s">
        <v>140</v>
      </c>
      <c r="B95" s="908" t="s">
        <v>175</v>
      </c>
      <c r="C95" s="910">
        <v>1700</v>
      </c>
      <c r="D95" s="918" t="str">
        <f>'Revenues 9-14'!A82</f>
        <v>Total District/School Activity Income</v>
      </c>
      <c r="E95" s="906"/>
      <c r="F95" s="1789">
        <f>SUM('Revenues 9-14'!C82,'Revenues 9-14'!D82)</f>
        <v>41880</v>
      </c>
      <c r="G95" s="912"/>
    </row>
    <row r="96" spans="1:7" x14ac:dyDescent="0.2">
      <c r="A96" s="908" t="s">
        <v>459</v>
      </c>
      <c r="B96" s="908" t="s">
        <v>176</v>
      </c>
      <c r="C96" s="910">
        <f>'Revenues 9-14'!B84</f>
        <v>1811</v>
      </c>
      <c r="D96" s="911" t="str">
        <f>'Revenues 9-14'!A84</f>
        <v>Rentals - Regular Textbooks</v>
      </c>
      <c r="E96" s="906"/>
      <c r="F96" s="1789">
        <f>'Revenues 9-14'!C84</f>
        <v>66659</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140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4735</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47812</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104502</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79528</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1193</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0</v>
      </c>
      <c r="G109" s="912"/>
    </row>
    <row r="110" spans="1:7" x14ac:dyDescent="0.2">
      <c r="A110" s="908" t="s">
        <v>140</v>
      </c>
      <c r="B110" s="908" t="s">
        <v>2006</v>
      </c>
      <c r="C110" s="920">
        <f>'Revenues 9-14'!B148</f>
        <v>3370</v>
      </c>
      <c r="D110" s="911" t="str">
        <f>'Revenues 9-14'!A148</f>
        <v>Driver Education</v>
      </c>
      <c r="E110" s="906"/>
      <c r="F110" s="1789">
        <f>SUM('Revenues 9-14'!C148,'Revenues 9-14'!D148)</f>
        <v>0</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195951</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750</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83958</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109289</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8457</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106224</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4730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20485</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25204</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8358</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991674</v>
      </c>
    </row>
    <row r="175" spans="1:7" ht="12" customHeight="1" x14ac:dyDescent="0.2">
      <c r="A175" s="1770"/>
      <c r="B175" s="1784"/>
      <c r="C175" s="1785"/>
      <c r="D175" s="1786" t="s">
        <v>2055</v>
      </c>
      <c r="E175" s="1787"/>
      <c r="F175" s="1789">
        <f>'PCTC-OEPP 27-28'!F77-F174</f>
        <v>5346896</v>
      </c>
    </row>
    <row r="176" spans="1:7" ht="12" customHeight="1" x14ac:dyDescent="0.2">
      <c r="A176" s="1770"/>
      <c r="B176" s="1784"/>
      <c r="C176" s="1785"/>
      <c r="D176" s="1786" t="s">
        <v>1817</v>
      </c>
      <c r="E176" s="1787"/>
      <c r="F176" s="1789">
        <f>'Cap Outlay Deprec 26'!I18</f>
        <v>558745.4</v>
      </c>
    </row>
    <row r="177" spans="1:7" ht="12" customHeight="1" x14ac:dyDescent="0.2">
      <c r="A177" s="1770"/>
      <c r="B177" s="1784"/>
      <c r="C177" s="1785"/>
      <c r="D177" s="1786" t="s">
        <v>2056</v>
      </c>
      <c r="E177" s="1787"/>
      <c r="F177" s="1789">
        <f>F175+F176</f>
        <v>5905641.4000000004</v>
      </c>
    </row>
    <row r="178" spans="1:7" ht="12" customHeight="1" x14ac:dyDescent="0.2">
      <c r="A178" s="1770"/>
      <c r="B178" s="1790"/>
      <c r="C178" s="1785"/>
      <c r="D178" s="1786" t="str">
        <f>D78</f>
        <v>9 Month ADA from District Average Daily Attendance/Prior General State Aid Inquiry 2018-2019</v>
      </c>
      <c r="E178" s="1787"/>
      <c r="F178" s="1791">
        <f>'PCTC-OEPP 27-28'!F78</f>
        <v>716.2</v>
      </c>
      <c r="G178" s="930"/>
    </row>
    <row r="179" spans="1:7" ht="12" customHeight="1" thickBot="1" x14ac:dyDescent="0.25">
      <c r="A179" s="1770"/>
      <c r="B179" s="1790"/>
      <c r="C179" s="1785"/>
      <c r="D179" s="1786" t="s">
        <v>2057</v>
      </c>
      <c r="E179" s="1787" t="s">
        <v>1545</v>
      </c>
      <c r="F179" s="1792">
        <f>F177/F178</f>
        <v>8245.7992180955043</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4"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92D050"/>
    <pageSetUpPr fitToPage="1"/>
  </sheetPr>
  <dimension ref="A1:H141"/>
  <sheetViews>
    <sheetView showGridLines="0" topLeftCell="A10" zoomScaleNormal="100" workbookViewId="0">
      <selection activeCell="D23" sqref="D23"/>
    </sheetView>
  </sheetViews>
  <sheetFormatPr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2" t="s">
        <v>1818</v>
      </c>
      <c r="B4" s="2273"/>
      <c r="C4" s="2273"/>
      <c r="D4" s="2273"/>
      <c r="E4" s="2273"/>
      <c r="F4" s="2273"/>
      <c r="G4" s="2274"/>
    </row>
    <row r="5" spans="1:7" x14ac:dyDescent="0.25">
      <c r="A5" s="2275"/>
      <c r="B5" s="2276"/>
      <c r="C5" s="2276"/>
      <c r="D5" s="2276"/>
      <c r="E5" s="2276"/>
      <c r="F5" s="2276"/>
      <c r="G5" s="2277"/>
    </row>
    <row r="6" spans="1:7" ht="18.75" x14ac:dyDescent="0.25">
      <c r="A6" s="1534" t="s">
        <v>1819</v>
      </c>
      <c r="B6" s="1535"/>
      <c r="C6" s="1535"/>
      <c r="D6" s="1535"/>
      <c r="E6" s="1535"/>
      <c r="F6" s="1535"/>
      <c r="G6" s="1536"/>
    </row>
    <row r="7" spans="1:7" ht="30.75" customHeight="1" x14ac:dyDescent="0.25">
      <c r="A7" s="2278" t="s">
        <v>1931</v>
      </c>
      <c r="B7" s="2279"/>
      <c r="C7" s="2279"/>
      <c r="D7" s="2279"/>
      <c r="E7" s="2279"/>
      <c r="F7" s="2279"/>
      <c r="G7" s="2280"/>
    </row>
    <row r="8" spans="1:7" ht="15.75" customHeight="1" x14ac:dyDescent="0.25">
      <c r="A8" s="2281" t="s">
        <v>1906</v>
      </c>
      <c r="B8" s="2282"/>
      <c r="C8" s="2282"/>
      <c r="D8" s="2282"/>
      <c r="E8" s="2282"/>
      <c r="F8" s="2282"/>
      <c r="G8" s="2283"/>
    </row>
    <row r="9" spans="1:7" ht="35.25" customHeight="1" x14ac:dyDescent="0.25">
      <c r="A9" s="2278" t="s">
        <v>2063</v>
      </c>
      <c r="B9" s="2279"/>
      <c r="C9" s="2279"/>
      <c r="D9" s="2279"/>
      <c r="E9" s="2279"/>
      <c r="F9" s="2279"/>
      <c r="G9" s="2280"/>
    </row>
    <row r="10" spans="1:7" ht="15" customHeight="1" x14ac:dyDescent="0.25">
      <c r="A10" s="1537" t="s">
        <v>1820</v>
      </c>
      <c r="B10" s="1538"/>
      <c r="C10" s="1538"/>
      <c r="D10" s="1538"/>
      <c r="E10" s="1538"/>
      <c r="F10" s="1538"/>
      <c r="G10" s="1539"/>
    </row>
    <row r="11" spans="1:7" ht="17.25" customHeight="1" x14ac:dyDescent="0.25">
      <c r="A11" s="2278" t="s">
        <v>1933</v>
      </c>
      <c r="B11" s="2279"/>
      <c r="C11" s="2279"/>
      <c r="D11" s="2279"/>
      <c r="E11" s="2279"/>
      <c r="F11" s="2279"/>
      <c r="G11" s="2280"/>
    </row>
    <row r="12" spans="1:7" ht="15" customHeight="1" x14ac:dyDescent="0.25">
      <c r="A12" s="1537" t="s">
        <v>1825</v>
      </c>
      <c r="B12" s="1538"/>
      <c r="C12" s="1538"/>
      <c r="D12" s="1538"/>
      <c r="E12" s="1538"/>
      <c r="F12" s="1538"/>
      <c r="G12" s="1539"/>
    </row>
    <row r="13" spans="1:7" ht="32.25" customHeight="1" x14ac:dyDescent="0.25">
      <c r="A13" s="2269" t="s">
        <v>1974</v>
      </c>
      <c r="B13" s="2270"/>
      <c r="C13" s="2270"/>
      <c r="D13" s="2270"/>
      <c r="E13" s="2270"/>
      <c r="F13" s="2270"/>
      <c r="G13" s="2271"/>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2100</v>
      </c>
      <c r="B17" s="1940" t="s">
        <v>2101</v>
      </c>
      <c r="C17" s="1941" t="s">
        <v>2102</v>
      </c>
      <c r="D17" s="1942">
        <v>2486</v>
      </c>
      <c r="E17" s="1540">
        <f t="shared" ref="E17:E141" si="0">IF(D17&lt;=25000,D17,IF(D17&gt;25000,25000,0))</f>
        <v>2486</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2486</v>
      </c>
      <c r="G17" s="1793">
        <f>IF(F17=0,0,D17-F17)</f>
        <v>0</v>
      </c>
      <c r="H17" s="1647"/>
    </row>
    <row r="18" spans="1:8" x14ac:dyDescent="0.25">
      <c r="A18" s="1939" t="s">
        <v>2100</v>
      </c>
      <c r="B18" s="1940" t="s">
        <v>2101</v>
      </c>
      <c r="C18" s="1941" t="s">
        <v>2103</v>
      </c>
      <c r="D18" s="1942">
        <v>13589</v>
      </c>
      <c r="E18" s="1540">
        <f t="shared" ref="E18:E140" si="2">IF(D18&lt;=25000,D18,IF(D18&gt;25000,25000,0))</f>
        <v>13589</v>
      </c>
      <c r="F18" s="1932">
        <f t="shared" si="1"/>
        <v>13589</v>
      </c>
      <c r="G18" s="1793">
        <f t="shared" ref="G18:G140" si="3">IF(F18=0,0,D18-F18)</f>
        <v>0</v>
      </c>
    </row>
    <row r="19" spans="1:8" x14ac:dyDescent="0.25">
      <c r="A19" s="1939" t="s">
        <v>2100</v>
      </c>
      <c r="B19" s="1940" t="s">
        <v>2101</v>
      </c>
      <c r="C19" s="1941" t="s">
        <v>2104</v>
      </c>
      <c r="D19" s="1942">
        <v>1795</v>
      </c>
      <c r="E19" s="1540">
        <f t="shared" si="2"/>
        <v>1795</v>
      </c>
      <c r="F19" s="1932">
        <f t="shared" si="1"/>
        <v>1795</v>
      </c>
      <c r="G19" s="1793">
        <f t="shared" si="3"/>
        <v>0</v>
      </c>
    </row>
    <row r="20" spans="1:8" x14ac:dyDescent="0.25">
      <c r="A20" s="1939" t="s">
        <v>2100</v>
      </c>
      <c r="B20" s="1940" t="s">
        <v>2101</v>
      </c>
      <c r="C20" s="1941" t="s">
        <v>2105</v>
      </c>
      <c r="D20" s="1942">
        <v>8904</v>
      </c>
      <c r="E20" s="1540">
        <f t="shared" si="2"/>
        <v>8904</v>
      </c>
      <c r="F20" s="1932">
        <f t="shared" si="1"/>
        <v>8904</v>
      </c>
      <c r="G20" s="1793">
        <f t="shared" si="3"/>
        <v>0</v>
      </c>
    </row>
    <row r="21" spans="1:8" x14ac:dyDescent="0.25">
      <c r="A21" s="1939" t="s">
        <v>2106</v>
      </c>
      <c r="B21" s="1940" t="s">
        <v>2107</v>
      </c>
      <c r="C21" s="1941" t="s">
        <v>2103</v>
      </c>
      <c r="D21" s="1942">
        <v>128992</v>
      </c>
      <c r="E21" s="1540">
        <f t="shared" si="2"/>
        <v>25000</v>
      </c>
      <c r="F21" s="1932">
        <f t="shared" si="1"/>
        <v>25000</v>
      </c>
      <c r="G21" s="1793">
        <f t="shared" si="3"/>
        <v>103992</v>
      </c>
    </row>
    <row r="22" spans="1:8" x14ac:dyDescent="0.25">
      <c r="A22" s="1939" t="s">
        <v>2106</v>
      </c>
      <c r="B22" s="1940" t="s">
        <v>2107</v>
      </c>
      <c r="C22" s="1941" t="s">
        <v>2108</v>
      </c>
      <c r="D22" s="1942">
        <v>2055</v>
      </c>
      <c r="E22" s="1540">
        <f t="shared" si="2"/>
        <v>2055</v>
      </c>
      <c r="F22" s="1932">
        <f t="shared" si="1"/>
        <v>2055</v>
      </c>
      <c r="G22" s="1793">
        <f t="shared" si="3"/>
        <v>0</v>
      </c>
    </row>
    <row r="23" spans="1:8" x14ac:dyDescent="0.25">
      <c r="A23" s="1939"/>
      <c r="B23" s="1940"/>
      <c r="C23" s="1941"/>
      <c r="D23" s="1942"/>
      <c r="E23" s="1540">
        <f t="shared" si="2"/>
        <v>0</v>
      </c>
      <c r="F23" s="1932">
        <f t="shared" si="1"/>
        <v>0</v>
      </c>
      <c r="G23" s="1793">
        <f t="shared" si="3"/>
        <v>0</v>
      </c>
    </row>
    <row r="24" spans="1:8" x14ac:dyDescent="0.25">
      <c r="A24" s="1939"/>
      <c r="B24" s="1940"/>
      <c r="C24" s="1941"/>
      <c r="D24" s="1942"/>
      <c r="E24" s="1540">
        <f t="shared" si="2"/>
        <v>0</v>
      </c>
      <c r="F24" s="1932">
        <f t="shared" si="1"/>
        <v>0</v>
      </c>
      <c r="G24" s="1793">
        <f t="shared" si="3"/>
        <v>0</v>
      </c>
    </row>
    <row r="25" spans="1:8" x14ac:dyDescent="0.25">
      <c r="A25" s="1939"/>
      <c r="B25" s="1940"/>
      <c r="C25" s="1941"/>
      <c r="D25" s="1942"/>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157821</v>
      </c>
      <c r="E141" s="1541">
        <f t="shared" si="0"/>
        <v>25000</v>
      </c>
      <c r="F141" s="1933">
        <f>SUM(F17:F140)</f>
        <v>53829</v>
      </c>
      <c r="G141" s="1795">
        <f>SUM(G17:G140)</f>
        <v>103992</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rgb="FF92D050"/>
  </sheetPr>
  <dimension ref="A1:I46"/>
  <sheetViews>
    <sheetView showGridLines="0" defaultGridColor="0" topLeftCell="A13" colorId="8" zoomScale="110" zoomScaleNormal="110" workbookViewId="0">
      <selection activeCell="E12" sqref="E12"/>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4" t="s">
        <v>1679</v>
      </c>
      <c r="B5" s="2285"/>
      <c r="C5" s="2285"/>
      <c r="D5" s="2285"/>
      <c r="E5" s="2285"/>
      <c r="F5" s="2285"/>
      <c r="G5" s="2286"/>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v>82835</v>
      </c>
      <c r="F10" s="974"/>
      <c r="G10" s="975"/>
      <c r="H10" s="162"/>
      <c r="I10" s="162"/>
    </row>
    <row r="11" spans="1:9" s="668" customFormat="1" ht="22.5" customHeight="1" x14ac:dyDescent="0.2">
      <c r="A11" s="2289" t="s">
        <v>1975</v>
      </c>
      <c r="B11" s="2290"/>
      <c r="C11" s="2290"/>
      <c r="D11" s="2291"/>
      <c r="E11" s="977">
        <v>14312</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3997366</v>
      </c>
      <c r="F19" s="1799"/>
      <c r="G19" s="1801">
        <f>'Expenditures 15-22'!K33-SUM('Expenditures 15-22'!G33,'Expenditures 15-22'!I33)+'Expenditures 15-22'!D229</f>
        <v>3997366</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382762</v>
      </c>
      <c r="F21" s="1802"/>
      <c r="G21" s="1805">
        <f>'Expenditures 15-22'!K42-SUM('Expenditures 15-22'!G42,'Expenditures 15-22'!I42)+'Expenditures 15-22'!K120-SUM('Expenditures 15-22'!G120,'Expenditures 15-22'!I120)+'Expenditures 15-22'!K180-SUM('Expenditures 15-22'!G180,'Expenditures 15-22'!I180)+'Expenditures 15-22'!D238</f>
        <v>382762</v>
      </c>
      <c r="H21" s="987"/>
      <c r="I21" s="162"/>
    </row>
    <row r="22" spans="1:9" s="668" customFormat="1" ht="12" customHeight="1" x14ac:dyDescent="0.2">
      <c r="A22" s="994" t="s">
        <v>564</v>
      </c>
      <c r="B22" s="995"/>
      <c r="C22" s="993">
        <v>2200</v>
      </c>
      <c r="D22" s="1802"/>
      <c r="E22" s="1804">
        <f>'Expenditures 15-22'!K47-SUM('Expenditures 15-22'!G47,'Expenditures 15-22'!I47)+'Expenditures 15-22'!D243</f>
        <v>279891</v>
      </c>
      <c r="F22" s="1802"/>
      <c r="G22" s="1805">
        <f>'Expenditures 15-22'!K47-SUM('Expenditures 15-22'!G47,'Expenditures 15-22'!I47)+'Expenditures 15-22'!D243</f>
        <v>279891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470173</v>
      </c>
      <c r="F23" s="1802"/>
      <c r="G23" s="1804">
        <f>'Expenditures 15-22'!K53-SUM('Expenditures 15-22'!G53,'Expenditures 15-22'!I53)+'Expenditures 15-22'!D257+'Expenditures 15-22'!K330-SUM('Expenditures 15-22'!G330,'Expenditures 15-22'!I330)</f>
        <v>470173</v>
      </c>
      <c r="H23" s="987"/>
      <c r="I23" s="162"/>
    </row>
    <row r="24" spans="1:9" s="668" customFormat="1" ht="12" customHeight="1" x14ac:dyDescent="0.2">
      <c r="A24" s="994" t="s">
        <v>566</v>
      </c>
      <c r="B24" s="995"/>
      <c r="C24" s="993">
        <v>2400</v>
      </c>
      <c r="D24" s="1802"/>
      <c r="E24" s="1804">
        <f>'Expenditures 15-22'!K57-SUM('Expenditures 15-22'!G57,'Expenditures 15-22'!I57)+'Expenditures 15-22'!D261</f>
        <v>211193</v>
      </c>
      <c r="F24" s="1802"/>
      <c r="G24" s="1805">
        <f>'Expenditures 15-22'!K57-SUM('Expenditures 15-22'!G57,'Expenditures 15-22'!I57)+'Expenditures 15-22'!D261</f>
        <v>211193</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329</v>
      </c>
      <c r="E26" s="1804">
        <f>'Expenditures 15-22'!K122-SUM('Expenditures 15-22'!G122,'Expenditures 15-22'!I122)+E7</f>
        <v>27452</v>
      </c>
      <c r="F26" s="1804">
        <f>'Expenditures 15-22'!K59-SUM('Expenditures 15-22'!G59,'Expenditures 15-22'!I59)+'Expenditures 15-22'!D263-E7</f>
        <v>329</v>
      </c>
      <c r="G26" s="1805">
        <f>'Expenditures 15-22'!K122-SUM('Expenditures 15-22'!G122,'Expenditures 15-22'!I122)+E7</f>
        <v>27452</v>
      </c>
      <c r="H26" s="987"/>
      <c r="I26" s="162"/>
    </row>
    <row r="27" spans="1:9" s="668" customFormat="1" ht="12" customHeight="1" x14ac:dyDescent="0.2">
      <c r="A27" s="994" t="s">
        <v>463</v>
      </c>
      <c r="B27" s="997"/>
      <c r="C27" s="993">
        <v>2520</v>
      </c>
      <c r="D27" s="1804">
        <f>'Expenditures 15-22'!K60-SUM('Expenditures 15-22'!G60,'Expenditures 15-22'!I60)+'Expenditures 15-22'!D264-E8</f>
        <v>90757</v>
      </c>
      <c r="E27" s="1804">
        <f>E8</f>
        <v>0</v>
      </c>
      <c r="F27" s="1804">
        <f>'Expenditures 15-22'!K60-SUM('Expenditures 15-22'!G60,'Expenditures 15-22'!I60)+'Expenditures 15-22'!D264-E8</f>
        <v>90757</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435354</v>
      </c>
      <c r="F28" s="1806">
        <f>'Expenditures 15-22'!K61-SUM('Expenditures 15-22'!G61,'Expenditures 15-22'!I61)+'Expenditures 15-22'!K124-SUM('Expenditures 15-22'!G124,'Expenditures 15-22'!I124)+'Expenditures 15-22'!D266-E9</f>
        <v>435354</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1284062</v>
      </c>
      <c r="F29" s="1802"/>
      <c r="G29" s="1805">
        <f>'Expenditures 15-22'!K62-SUM('Expenditures 15-22'!G62,'Expenditures 15-22'!I62)+'Expenditures 15-22'!K125-SUM('Expenditures 15-22'!G125,'Expenditures 15-22'!I125)+'Expenditures 15-22'!K182-SUM('Expenditures 15-22'!G182,'Expenditures 15-22'!I182)+'Expenditures 15-22'!D267</f>
        <v>1284062</v>
      </c>
      <c r="H29" s="985"/>
    </row>
    <row r="30" spans="1:9" ht="12" customHeight="1" x14ac:dyDescent="0.2">
      <c r="A30" s="994" t="s">
        <v>100</v>
      </c>
      <c r="B30" s="997"/>
      <c r="C30" s="993">
        <v>2560</v>
      </c>
      <c r="D30" s="1802"/>
      <c r="E30" s="1804">
        <f>'Expenditures 15-22'!K63-SUM('Expenditures 15-22'!G63,'Expenditures 15-22'!I63)+'Expenditures 15-22'!D268-E10</f>
        <v>113330</v>
      </c>
      <c r="F30" s="1802"/>
      <c r="G30" s="1804">
        <f>'Expenditures 15-22'!K63-SUM('Expenditures 15-22'!G63,'Expenditures 15-22'!I63)+'Expenditures 15-22'!D268-E10</f>
        <v>113330</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664</v>
      </c>
      <c r="E37" s="1804">
        <f>E14</f>
        <v>0</v>
      </c>
      <c r="F37" s="1804">
        <f>'Expenditures 15-22'!K71-SUM('Expenditures 15-22'!G71,'Expenditures 15-22'!I71)+'Expenditures 15-22'!D276-E14</f>
        <v>664</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139</v>
      </c>
      <c r="F38" s="1802"/>
      <c r="G38" s="1804">
        <f>'Expenditures 15-22'!K73-SUM('Expenditures 15-22'!G73,'Expenditures 15-22'!I73)+'Expenditures 15-22'!K128-SUM('Expenditures 15-22'!G128,'Expenditures 15-22'!I128)+'Expenditures 15-22'!K183-SUM('Expenditures 15-22'!G183,'Expenditures 15-22'!I183)+'Expenditures 15-22'!D278</f>
        <v>139</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6584</v>
      </c>
      <c r="F39" s="1802"/>
      <c r="G39" s="1804">
        <f>'Expenditures 15-22'!K75-SUM('Expenditures 15-22'!G75,'Expenditures 15-22'!I75)+'Expenditures 15-22'!K130-SUM('Expenditures 15-22'!G130,'Expenditures 15-22'!I130)+'Expenditures 15-22'!K185-SUM('Expenditures 15-22'!G185,'Expenditures 15-22'!I185)+'Expenditures 15-22'!D280</f>
        <v>6584</v>
      </c>
    </row>
    <row r="40" spans="1:7" ht="12" customHeight="1" x14ac:dyDescent="0.2">
      <c r="A40" s="990" t="s">
        <v>1823</v>
      </c>
      <c r="B40" s="991"/>
      <c r="C40" s="993"/>
      <c r="D40" s="1802"/>
      <c r="E40" s="1806">
        <f>-'Contracts Paid in CY 29'!G141</f>
        <v>-103992</v>
      </c>
      <c r="F40" s="1802"/>
      <c r="G40" s="1806">
        <f>-'Contracts Paid in CY 29'!G141</f>
        <v>-103992</v>
      </c>
    </row>
    <row r="41" spans="1:7" ht="12" customHeight="1" x14ac:dyDescent="0.2">
      <c r="A41" s="998" t="s">
        <v>156</v>
      </c>
      <c r="B41" s="999"/>
      <c r="C41" s="1000"/>
      <c r="D41" s="1806">
        <f>SUM(D19:D39)</f>
        <v>91750</v>
      </c>
      <c r="E41" s="1806">
        <f>SUM(E19:E40)</f>
        <v>7104314</v>
      </c>
      <c r="F41" s="1806">
        <f>SUM(F19:F39)</f>
        <v>527104</v>
      </c>
      <c r="G41" s="1806">
        <f>SUM(G19:G40)</f>
        <v>6668960</v>
      </c>
    </row>
    <row r="42" spans="1:7" x14ac:dyDescent="0.2">
      <c r="A42" s="987"/>
      <c r="B42" s="162"/>
      <c r="C42" s="1001"/>
      <c r="D42" s="2287" t="s">
        <v>522</v>
      </c>
      <c r="E42" s="2288"/>
      <c r="F42" s="1002" t="s">
        <v>523</v>
      </c>
      <c r="G42" s="1003"/>
    </row>
    <row r="43" spans="1:7" ht="12" customHeight="1" x14ac:dyDescent="0.2">
      <c r="A43" s="987"/>
      <c r="B43" s="162"/>
      <c r="C43" s="1001"/>
      <c r="D43" s="1807" t="s">
        <v>473</v>
      </c>
      <c r="E43" s="1808">
        <f>D41</f>
        <v>91750</v>
      </c>
      <c r="F43" s="1807" t="s">
        <v>473</v>
      </c>
      <c r="G43" s="1808">
        <f>F41</f>
        <v>527104</v>
      </c>
    </row>
    <row r="44" spans="1:7" ht="12" customHeight="1" x14ac:dyDescent="0.2">
      <c r="A44" s="987"/>
      <c r="B44" s="162"/>
      <c r="C44" s="1001"/>
      <c r="D44" s="1807" t="s">
        <v>474</v>
      </c>
      <c r="E44" s="1808">
        <f>E41</f>
        <v>7104314</v>
      </c>
      <c r="F44" s="1807" t="s">
        <v>474</v>
      </c>
      <c r="G44" s="1808">
        <f>G41</f>
        <v>6668960</v>
      </c>
    </row>
    <row r="45" spans="1:7" ht="12" customHeight="1" x14ac:dyDescent="0.2">
      <c r="A45" s="987"/>
      <c r="B45" s="162"/>
      <c r="C45" s="162"/>
      <c r="D45" s="1809" t="s">
        <v>1006</v>
      </c>
      <c r="E45" s="1810">
        <f>(E43/E44)</f>
        <v>1.2914688173974292E-2</v>
      </c>
      <c r="F45" s="1809" t="s">
        <v>1006</v>
      </c>
      <c r="G45" s="1810">
        <f>(G43/G44)</f>
        <v>7.9038410786689384E-2</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tabColor rgb="FF92D050"/>
  </sheetPr>
  <dimension ref="A1:L97"/>
  <sheetViews>
    <sheetView showGridLines="0" zoomScale="110" zoomScaleNormal="110" workbookViewId="0">
      <pane ySplit="4" topLeftCell="A10" activePane="bottomLeft" state="frozen"/>
      <selection activeCell="A47" sqref="A47"/>
      <selection pane="bottomLeft" activeCell="A42" sqref="A42:F42"/>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295" t="s">
        <v>1379</v>
      </c>
      <c r="B1" s="2295"/>
      <c r="C1" s="2295"/>
      <c r="D1" s="2295"/>
      <c r="E1" s="2295"/>
      <c r="F1" s="2295"/>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296" t="s">
        <v>1546</v>
      </c>
      <c r="B5" s="2297"/>
      <c r="C5" s="2298"/>
      <c r="D5" s="2298"/>
      <c r="E5" s="2298"/>
      <c r="F5" s="2298"/>
    </row>
    <row r="6" spans="1:10" ht="12" customHeight="1" x14ac:dyDescent="0.25">
      <c r="A6" s="1850"/>
      <c r="B6" s="1851"/>
      <c r="C6" s="2299" t="str">
        <f>COVER!A17</f>
        <v>Saratoga CCSD 60C</v>
      </c>
      <c r="D6" s="2299"/>
      <c r="E6" s="2299"/>
      <c r="F6" s="1852"/>
    </row>
    <row r="7" spans="1:10" ht="11.25" customHeight="1" thickBot="1" x14ac:dyDescent="0.3">
      <c r="A7" s="1850"/>
      <c r="B7" s="1851"/>
      <c r="C7" s="2300" t="str">
        <f>COVER!A13</f>
        <v>24032060C04</v>
      </c>
      <c r="D7" s="2300"/>
      <c r="E7" s="2300"/>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t="s">
        <v>2073</v>
      </c>
      <c r="D16" s="1865" t="s">
        <v>2073</v>
      </c>
      <c r="E16" s="1868"/>
      <c r="F16" s="1937" t="s">
        <v>2082</v>
      </c>
      <c r="H16" s="1878">
        <f t="shared" si="0"/>
        <v>5</v>
      </c>
      <c r="I16" s="1878">
        <f t="shared" si="1"/>
        <v>5</v>
      </c>
      <c r="J16" s="1878">
        <f t="shared" si="2"/>
        <v>0</v>
      </c>
    </row>
    <row r="17" spans="1:12" ht="12" customHeight="1" x14ac:dyDescent="0.2">
      <c r="A17" s="1863" t="s">
        <v>1389</v>
      </c>
      <c r="B17" s="1864"/>
      <c r="C17" s="1865" t="s">
        <v>2073</v>
      </c>
      <c r="D17" s="1865" t="s">
        <v>2073</v>
      </c>
      <c r="E17" s="1868"/>
      <c r="F17" s="1937" t="s">
        <v>2082</v>
      </c>
      <c r="H17" s="1878">
        <f t="shared" si="0"/>
        <v>5</v>
      </c>
      <c r="I17" s="1878">
        <f t="shared" si="1"/>
        <v>5</v>
      </c>
      <c r="J17" s="1878">
        <f t="shared" si="2"/>
        <v>0</v>
      </c>
    </row>
    <row r="18" spans="1:12" ht="12" customHeight="1" x14ac:dyDescent="0.2">
      <c r="A18" s="1863" t="s">
        <v>1390</v>
      </c>
      <c r="B18" s="1864"/>
      <c r="C18" s="1865" t="s">
        <v>2073</v>
      </c>
      <c r="D18" s="1865" t="s">
        <v>2073</v>
      </c>
      <c r="E18" s="1868"/>
      <c r="F18" s="1937" t="s">
        <v>2088</v>
      </c>
      <c r="H18" s="1878">
        <f t="shared" si="0"/>
        <v>5</v>
      </c>
      <c r="I18" s="1878">
        <f t="shared" si="1"/>
        <v>5</v>
      </c>
      <c r="J18" s="1878">
        <f t="shared" si="2"/>
        <v>0</v>
      </c>
    </row>
    <row r="19" spans="1:12" ht="12" customHeight="1" x14ac:dyDescent="0.2">
      <c r="A19" s="1863" t="s">
        <v>1527</v>
      </c>
      <c r="B19" s="1864"/>
      <c r="C19" s="1865"/>
      <c r="D19" s="1865"/>
      <c r="E19" s="1868"/>
      <c r="F19" s="1937"/>
      <c r="H19" s="1878">
        <f t="shared" si="0"/>
        <v>0</v>
      </c>
      <c r="I19" s="1878">
        <f t="shared" si="1"/>
        <v>0</v>
      </c>
      <c r="J19" s="1878">
        <f t="shared" si="2"/>
        <v>0</v>
      </c>
    </row>
    <row r="20" spans="1:12" ht="12" customHeight="1" x14ac:dyDescent="0.2">
      <c r="A20" s="1863" t="s">
        <v>1528</v>
      </c>
      <c r="B20" s="1864"/>
      <c r="C20" s="1865"/>
      <c r="D20" s="1865"/>
      <c r="E20" s="1868"/>
      <c r="F20" s="1937"/>
      <c r="H20" s="1878">
        <f t="shared" si="0"/>
        <v>0</v>
      </c>
      <c r="I20" s="1878">
        <f t="shared" si="1"/>
        <v>0</v>
      </c>
      <c r="J20" s="1878">
        <f t="shared" si="2"/>
        <v>0</v>
      </c>
    </row>
    <row r="21" spans="1:12" ht="12" customHeight="1" x14ac:dyDescent="0.2">
      <c r="A21" s="1863" t="s">
        <v>1529</v>
      </c>
      <c r="B21" s="1864"/>
      <c r="C21" s="1865" t="s">
        <v>2073</v>
      </c>
      <c r="D21" s="1865" t="s">
        <v>2073</v>
      </c>
      <c r="E21" s="1868"/>
      <c r="F21" s="1937" t="s">
        <v>2083</v>
      </c>
      <c r="H21" s="1878">
        <f t="shared" si="0"/>
        <v>5</v>
      </c>
      <c r="I21" s="1878">
        <f t="shared" si="1"/>
        <v>5</v>
      </c>
      <c r="J21" s="1878">
        <f t="shared" si="2"/>
        <v>0</v>
      </c>
    </row>
    <row r="22" spans="1:12" ht="12" customHeight="1" x14ac:dyDescent="0.2">
      <c r="A22" s="1863" t="s">
        <v>1530</v>
      </c>
      <c r="B22" s="1864"/>
      <c r="C22" s="1865" t="s">
        <v>2073</v>
      </c>
      <c r="D22" s="1865" t="s">
        <v>2073</v>
      </c>
      <c r="E22" s="1868"/>
      <c r="F22" s="1937" t="s">
        <v>2083</v>
      </c>
      <c r="H22" s="1878">
        <f t="shared" si="0"/>
        <v>5</v>
      </c>
      <c r="I22" s="1878">
        <f t="shared" si="1"/>
        <v>5</v>
      </c>
      <c r="J22" s="1878">
        <f t="shared" si="2"/>
        <v>0</v>
      </c>
    </row>
    <row r="23" spans="1:12" ht="12" customHeight="1" x14ac:dyDescent="0.2">
      <c r="A23" s="1863" t="s">
        <v>1531</v>
      </c>
      <c r="B23" s="1864"/>
      <c r="C23" s="1865"/>
      <c r="D23" s="1865"/>
      <c r="E23" s="1868"/>
      <c r="F23" s="1937"/>
      <c r="H23" s="1878">
        <f t="shared" si="0"/>
        <v>0</v>
      </c>
      <c r="I23" s="1878">
        <f t="shared" si="1"/>
        <v>0</v>
      </c>
      <c r="J23" s="1878">
        <f t="shared" si="2"/>
        <v>0</v>
      </c>
    </row>
    <row r="24" spans="1:12" ht="12" customHeight="1" x14ac:dyDescent="0.2">
      <c r="A24" s="1863" t="s">
        <v>1532</v>
      </c>
      <c r="B24" s="1864"/>
      <c r="C24" s="1865" t="s">
        <v>2073</v>
      </c>
      <c r="D24" s="1865" t="s">
        <v>2073</v>
      </c>
      <c r="E24" s="1868"/>
      <c r="F24" s="1937" t="s">
        <v>2083</v>
      </c>
      <c r="H24" s="1878">
        <f t="shared" si="0"/>
        <v>5</v>
      </c>
      <c r="I24" s="1878">
        <f t="shared" si="1"/>
        <v>5</v>
      </c>
      <c r="J24" s="1878">
        <f t="shared" si="2"/>
        <v>0</v>
      </c>
    </row>
    <row r="25" spans="1:12" ht="12" customHeight="1" x14ac:dyDescent="0.2">
      <c r="A25" s="1863" t="s">
        <v>1533</v>
      </c>
      <c r="B25" s="1864"/>
      <c r="C25" s="1865" t="s">
        <v>2073</v>
      </c>
      <c r="D25" s="1865" t="s">
        <v>2073</v>
      </c>
      <c r="E25" s="1868"/>
      <c r="F25" s="1937" t="s">
        <v>2089</v>
      </c>
      <c r="H25" s="1878">
        <f t="shared" si="0"/>
        <v>5</v>
      </c>
      <c r="I25" s="1878">
        <f t="shared" si="1"/>
        <v>5</v>
      </c>
      <c r="J25" s="1878">
        <f t="shared" si="2"/>
        <v>0</v>
      </c>
    </row>
    <row r="26" spans="1:12" ht="12" customHeight="1" x14ac:dyDescent="0.2">
      <c r="A26" s="1863" t="s">
        <v>1534</v>
      </c>
      <c r="B26" s="1864"/>
      <c r="C26" s="1865" t="s">
        <v>2073</v>
      </c>
      <c r="D26" s="1865" t="s">
        <v>2073</v>
      </c>
      <c r="E26" s="1868"/>
      <c r="F26" s="1937" t="s">
        <v>2084</v>
      </c>
      <c r="H26" s="1878">
        <f t="shared" si="0"/>
        <v>5</v>
      </c>
      <c r="I26" s="1878">
        <f t="shared" si="1"/>
        <v>5</v>
      </c>
      <c r="J26" s="1878">
        <f t="shared" si="2"/>
        <v>0</v>
      </c>
    </row>
    <row r="27" spans="1:12" ht="18.75" x14ac:dyDescent="0.2">
      <c r="A27" s="1863" t="s">
        <v>1535</v>
      </c>
      <c r="B27" s="1864"/>
      <c r="C27" s="1865"/>
      <c r="D27" s="1865"/>
      <c r="E27" s="1868"/>
      <c r="F27" s="1937"/>
      <c r="H27" s="1878">
        <f t="shared" si="0"/>
        <v>0</v>
      </c>
      <c r="I27" s="1878">
        <f t="shared" si="1"/>
        <v>0</v>
      </c>
      <c r="J27" s="1878">
        <f t="shared" si="2"/>
        <v>0</v>
      </c>
    </row>
    <row r="28" spans="1:12" ht="12" customHeight="1" x14ac:dyDescent="0.2">
      <c r="A28" s="1863" t="s">
        <v>1536</v>
      </c>
      <c r="B28" s="1864"/>
      <c r="C28" s="1865" t="s">
        <v>2073</v>
      </c>
      <c r="D28" s="1865" t="s">
        <v>2073</v>
      </c>
      <c r="E28" s="1868"/>
      <c r="F28" s="1937" t="s">
        <v>2085</v>
      </c>
      <c r="H28" s="1878">
        <f t="shared" si="0"/>
        <v>5</v>
      </c>
      <c r="I28" s="1878">
        <f t="shared" si="1"/>
        <v>5</v>
      </c>
      <c r="J28" s="1878">
        <f t="shared" si="2"/>
        <v>0</v>
      </c>
    </row>
    <row r="29" spans="1:12" ht="12" customHeight="1" x14ac:dyDescent="0.2">
      <c r="A29" s="1863" t="s">
        <v>1537</v>
      </c>
      <c r="B29" s="1864"/>
      <c r="C29" s="1865" t="s">
        <v>2073</v>
      </c>
      <c r="D29" s="1865" t="s">
        <v>2073</v>
      </c>
      <c r="E29" s="1868"/>
      <c r="F29" s="1937" t="s">
        <v>2087</v>
      </c>
      <c r="H29" s="1878">
        <f t="shared" si="0"/>
        <v>5</v>
      </c>
      <c r="I29" s="1878">
        <f t="shared" si="1"/>
        <v>5</v>
      </c>
      <c r="J29" s="1878">
        <f t="shared" si="2"/>
        <v>0</v>
      </c>
    </row>
    <row r="30" spans="1:12" ht="12" customHeight="1" x14ac:dyDescent="0.2">
      <c r="A30" s="1863" t="s">
        <v>1538</v>
      </c>
      <c r="B30" s="1864"/>
      <c r="C30" s="1865" t="s">
        <v>2073</v>
      </c>
      <c r="D30" s="1865" t="s">
        <v>2073</v>
      </c>
      <c r="E30" s="1868"/>
      <c r="F30" s="1937" t="s">
        <v>2086</v>
      </c>
      <c r="H30" s="1878">
        <f t="shared" si="0"/>
        <v>5</v>
      </c>
      <c r="I30" s="1878">
        <f t="shared" si="1"/>
        <v>5</v>
      </c>
      <c r="J30" s="1878">
        <f t="shared" si="2"/>
        <v>0</v>
      </c>
    </row>
    <row r="31" spans="1:12" ht="12" customHeight="1" x14ac:dyDescent="0.2">
      <c r="A31" s="1863" t="s">
        <v>1539</v>
      </c>
      <c r="B31" s="1864"/>
      <c r="C31" s="1865"/>
      <c r="D31" s="1865"/>
      <c r="E31" s="1868"/>
      <c r="F31" s="1867"/>
      <c r="H31" s="1878">
        <f t="shared" si="0"/>
        <v>0</v>
      </c>
      <c r="I31" s="1878">
        <f t="shared" si="1"/>
        <v>0</v>
      </c>
      <c r="J31" s="1878">
        <f t="shared" si="2"/>
        <v>0</v>
      </c>
      <c r="L31" s="1869"/>
    </row>
    <row r="32" spans="1:12" ht="12" customHeight="1" x14ac:dyDescent="0.2">
      <c r="A32" s="1863" t="s">
        <v>1540</v>
      </c>
      <c r="B32" s="1864"/>
      <c r="C32" s="1865"/>
      <c r="D32" s="1865"/>
      <c r="E32" s="1868"/>
      <c r="F32" s="1867"/>
      <c r="H32" s="1878">
        <f t="shared" si="0"/>
        <v>0</v>
      </c>
      <c r="I32" s="1878">
        <f t="shared" si="1"/>
        <v>0</v>
      </c>
      <c r="J32" s="1878">
        <f t="shared" si="2"/>
        <v>0</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55</v>
      </c>
      <c r="I34" s="1878">
        <f>SUM(I11:I32)</f>
        <v>55</v>
      </c>
      <c r="J34" s="1878">
        <f>SUM(J11:J32)</f>
        <v>0</v>
      </c>
      <c r="K34" s="1878">
        <f>SUM(H34:J34)</f>
        <v>110</v>
      </c>
    </row>
    <row r="35" spans="1:11" ht="12" customHeight="1" x14ac:dyDescent="0.2">
      <c r="A35" s="1871" t="s">
        <v>1392</v>
      </c>
      <c r="B35" s="1872"/>
      <c r="C35" s="2301"/>
      <c r="D35" s="2301"/>
      <c r="E35" s="2301"/>
      <c r="F35" s="2302"/>
    </row>
    <row r="36" spans="1:11" ht="12" customHeight="1" x14ac:dyDescent="0.2">
      <c r="A36" s="2292"/>
      <c r="B36" s="2293"/>
      <c r="C36" s="2293"/>
      <c r="D36" s="2293"/>
      <c r="E36" s="2293"/>
      <c r="F36" s="2294"/>
    </row>
    <row r="37" spans="1:11" ht="12" customHeight="1" x14ac:dyDescent="0.2">
      <c r="A37" s="2292"/>
      <c r="B37" s="2293"/>
      <c r="C37" s="2293"/>
      <c r="D37" s="2293"/>
      <c r="E37" s="2293"/>
      <c r="F37" s="2294"/>
    </row>
    <row r="38" spans="1:11" ht="12" customHeight="1" x14ac:dyDescent="0.2">
      <c r="A38" s="2306"/>
      <c r="B38" s="2307"/>
      <c r="C38" s="2307"/>
      <c r="D38" s="2307"/>
      <c r="E38" s="2307"/>
      <c r="F38" s="2308"/>
    </row>
    <row r="39" spans="1:11" ht="4.5" hidden="1" customHeight="1" x14ac:dyDescent="0.2">
      <c r="A39" s="1873"/>
      <c r="B39" s="1873"/>
      <c r="C39" s="1873"/>
      <c r="D39" s="1873"/>
      <c r="E39" s="1873"/>
      <c r="F39" s="1873"/>
    </row>
    <row r="40" spans="1:11" s="1870" customFormat="1" ht="12" customHeight="1" x14ac:dyDescent="0.25">
      <c r="A40" s="1874" t="s">
        <v>1391</v>
      </c>
      <c r="B40" s="1875"/>
      <c r="C40" s="2309"/>
      <c r="D40" s="2309"/>
      <c r="E40" s="2309"/>
      <c r="F40" s="2310"/>
      <c r="H40" s="1879"/>
      <c r="I40" s="1879"/>
      <c r="J40" s="1879"/>
      <c r="K40" s="1879"/>
    </row>
    <row r="41" spans="1:11" s="1870" customFormat="1" ht="12" customHeight="1" x14ac:dyDescent="0.25">
      <c r="A41" s="2314" t="s">
        <v>2090</v>
      </c>
      <c r="B41" s="2315"/>
      <c r="C41" s="2315"/>
      <c r="D41" s="2315"/>
      <c r="E41" s="2315"/>
      <c r="F41" s="2316"/>
      <c r="H41" s="1879"/>
      <c r="I41" s="1879"/>
      <c r="J41" s="1879"/>
      <c r="K41" s="1879"/>
    </row>
    <row r="42" spans="1:11" s="1870" customFormat="1" ht="12" customHeight="1" x14ac:dyDescent="0.25">
      <c r="A42" s="2311"/>
      <c r="B42" s="2312"/>
      <c r="C42" s="2312"/>
      <c r="D42" s="2312"/>
      <c r="E42" s="2312"/>
      <c r="F42" s="2313"/>
      <c r="H42" s="1879"/>
      <c r="I42" s="1879"/>
      <c r="J42" s="1879"/>
      <c r="K42" s="1879"/>
    </row>
    <row r="43" spans="1:11" s="1870" customFormat="1" ht="15" x14ac:dyDescent="0.25">
      <c r="A43" s="2303"/>
      <c r="B43" s="2304"/>
      <c r="C43" s="2304"/>
      <c r="D43" s="2304"/>
      <c r="E43" s="2304"/>
      <c r="F43" s="2305"/>
      <c r="H43" s="1879"/>
      <c r="I43" s="1879"/>
      <c r="J43" s="1879"/>
      <c r="K43" s="1879"/>
    </row>
    <row r="44" spans="1:11" s="1870" customFormat="1" ht="12" hidden="1" customHeight="1" x14ac:dyDescent="0.25">
      <c r="A44" s="2303"/>
      <c r="B44" s="2304"/>
      <c r="C44" s="2304"/>
      <c r="D44" s="2304"/>
      <c r="E44" s="2304"/>
      <c r="F44" s="2305"/>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44:F44"/>
    <mergeCell ref="A37:F37"/>
    <mergeCell ref="A38:F38"/>
    <mergeCell ref="C40:F40"/>
    <mergeCell ref="A42:F42"/>
    <mergeCell ref="A43:F43"/>
    <mergeCell ref="A41:F41"/>
    <mergeCell ref="A36:F36"/>
    <mergeCell ref="A1:F1"/>
    <mergeCell ref="A5:F5"/>
    <mergeCell ref="C6:E6"/>
    <mergeCell ref="C7:E7"/>
    <mergeCell ref="C35:F35"/>
  </mergeCells>
  <printOptions headings="1"/>
  <pageMargins left="0.3" right="0.2" top="0.68" bottom="0.37" header="0.17" footer="0.17"/>
  <pageSetup scale="85"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92D050"/>
  </sheetPr>
  <dimension ref="A2:B65"/>
  <sheetViews>
    <sheetView showGridLines="0" zoomScale="110" zoomScaleNormal="110" workbookViewId="0">
      <selection activeCell="A15" sqref="A15"/>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258</v>
      </c>
    </row>
    <row r="3" spans="1:2" x14ac:dyDescent="0.2">
      <c r="A3" s="329" t="s">
        <v>259</v>
      </c>
    </row>
    <row r="5" spans="1:2" x14ac:dyDescent="0.2">
      <c r="A5" s="1068">
        <v>1</v>
      </c>
      <c r="B5" s="1938" t="s">
        <v>2094</v>
      </c>
    </row>
    <row r="6" spans="1:2" x14ac:dyDescent="0.2">
      <c r="A6" s="1068">
        <v>2</v>
      </c>
      <c r="B6" s="1938" t="s">
        <v>2091</v>
      </c>
    </row>
    <row r="7" spans="1:2" x14ac:dyDescent="0.2">
      <c r="A7" s="1068">
        <v>3</v>
      </c>
      <c r="B7" s="1938" t="s">
        <v>2099</v>
      </c>
    </row>
    <row r="8" spans="1:2" x14ac:dyDescent="0.2">
      <c r="A8" s="1068">
        <v>4</v>
      </c>
      <c r="B8" s="1938" t="s">
        <v>2095</v>
      </c>
    </row>
    <row r="9" spans="1:2" x14ac:dyDescent="0.2">
      <c r="A9" s="1068">
        <v>5</v>
      </c>
      <c r="B9" s="1938" t="s">
        <v>2096</v>
      </c>
    </row>
    <row r="10" spans="1:2" x14ac:dyDescent="0.2">
      <c r="A10" s="1068"/>
      <c r="B10" s="1938" t="s">
        <v>2092</v>
      </c>
    </row>
    <row r="11" spans="1:2" x14ac:dyDescent="0.2">
      <c r="A11" s="1068">
        <v>6</v>
      </c>
      <c r="B11" s="1938" t="s">
        <v>2093</v>
      </c>
    </row>
    <row r="12" spans="1:2" x14ac:dyDescent="0.2">
      <c r="A12" s="1068">
        <v>7</v>
      </c>
      <c r="B12" s="1938" t="s">
        <v>2097</v>
      </c>
    </row>
    <row r="13" spans="1:2" x14ac:dyDescent="0.2">
      <c r="A13" s="1068">
        <v>8</v>
      </c>
      <c r="B13" s="1938" t="s">
        <v>2098</v>
      </c>
    </row>
    <row r="14" spans="1:2" x14ac:dyDescent="0.2">
      <c r="A14" s="1068"/>
      <c r="B14" s="1938"/>
    </row>
    <row r="15" spans="1:2" x14ac:dyDescent="0.2">
      <c r="A15" s="1068"/>
      <c r="B15" s="1938"/>
    </row>
    <row r="16" spans="1:2" x14ac:dyDescent="0.2">
      <c r="A16" s="1069"/>
      <c r="B16" s="1938"/>
    </row>
    <row r="17" spans="1:2" x14ac:dyDescent="0.2">
      <c r="A17" s="1069"/>
      <c r="B17" s="1938"/>
    </row>
    <row r="18" spans="1:2" x14ac:dyDescent="0.2">
      <c r="A18" s="1069"/>
    </row>
    <row r="19" spans="1:2" x14ac:dyDescent="0.2">
      <c r="A19" s="1069"/>
    </row>
    <row r="20" spans="1:2" x14ac:dyDescent="0.2">
      <c r="A20" s="1069"/>
    </row>
    <row r="21" spans="1:2" x14ac:dyDescent="0.2">
      <c r="A21" s="1069"/>
    </row>
    <row r="22" spans="1:2" x14ac:dyDescent="0.2">
      <c r="A22" s="1069"/>
    </row>
    <row r="23" spans="1:2" x14ac:dyDescent="0.2">
      <c r="A23" s="1069"/>
    </row>
    <row r="24" spans="1:2" x14ac:dyDescent="0.2">
      <c r="A24" s="1069"/>
    </row>
    <row r="25" spans="1:2" x14ac:dyDescent="0.2">
      <c r="A25" s="1069"/>
    </row>
    <row r="26" spans="1:2" x14ac:dyDescent="0.2">
      <c r="A26" s="1069"/>
    </row>
    <row r="27" spans="1:2" x14ac:dyDescent="0.2">
      <c r="A27" s="1069"/>
    </row>
    <row r="28" spans="1:2" x14ac:dyDescent="0.2">
      <c r="A28" s="1069"/>
    </row>
    <row r="29" spans="1:2" x14ac:dyDescent="0.2">
      <c r="A29" s="1069"/>
    </row>
    <row r="30" spans="1:2" x14ac:dyDescent="0.2">
      <c r="A30" s="1069"/>
    </row>
    <row r="31" spans="1:2" x14ac:dyDescent="0.2">
      <c r="A31" s="1069"/>
    </row>
    <row r="32" spans="1:2" x14ac:dyDescent="0.2">
      <c r="A32" s="1069"/>
    </row>
    <row r="33" spans="1:1" x14ac:dyDescent="0.2">
      <c r="A33" s="1069"/>
    </row>
    <row r="34" spans="1:1" x14ac:dyDescent="0.2">
      <c r="A34" s="1069"/>
    </row>
    <row r="35" spans="1:1" x14ac:dyDescent="0.2">
      <c r="A35" s="1069"/>
    </row>
    <row r="36" spans="1:1" x14ac:dyDescent="0.2">
      <c r="A36" s="1069"/>
    </row>
    <row r="37" spans="1:1" x14ac:dyDescent="0.2">
      <c r="A37" s="1069"/>
    </row>
    <row r="38" spans="1:1" x14ac:dyDescent="0.2">
      <c r="A38" s="1069"/>
    </row>
    <row r="39" spans="1:1" x14ac:dyDescent="0.2">
      <c r="A39" s="1069"/>
    </row>
    <row r="40" spans="1:1" x14ac:dyDescent="0.2">
      <c r="A40" s="1069"/>
    </row>
    <row r="41" spans="1:1" x14ac:dyDescent="0.2">
      <c r="A41" s="1069"/>
    </row>
    <row r="42" spans="1:1" x14ac:dyDescent="0.2">
      <c r="A42" s="1069"/>
    </row>
    <row r="43" spans="1:1" x14ac:dyDescent="0.2">
      <c r="A43" s="1069"/>
    </row>
    <row r="44" spans="1:1" x14ac:dyDescent="0.2">
      <c r="A44" s="1069"/>
    </row>
    <row r="45" spans="1:1" x14ac:dyDescent="0.2">
      <c r="A45" s="1069"/>
    </row>
    <row r="46" spans="1:1" x14ac:dyDescent="0.2">
      <c r="A46" s="1069"/>
    </row>
    <row r="47" spans="1:1" x14ac:dyDescent="0.2">
      <c r="A47" s="1069"/>
    </row>
    <row r="48" spans="1:1"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Saratoga CCSD 60C</v>
      </c>
    </row>
    <row r="65" spans="2:2" x14ac:dyDescent="0.2">
      <c r="B65" s="1070" t="str">
        <f>COVER!A13</f>
        <v>24032060C04</v>
      </c>
    </row>
  </sheetData>
  <phoneticPr fontId="14"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92D050"/>
  </sheetPr>
  <dimension ref="A1:Q40"/>
  <sheetViews>
    <sheetView showGridLines="0" defaultGridColor="0" topLeftCell="A4" colorId="8" zoomScale="110" zoomScaleNormal="110" workbookViewId="0">
      <selection activeCell="M14" sqref="M14"/>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2" t="str">
        <f>COVER!A17</f>
        <v>Saratoga CCSD 60C</v>
      </c>
      <c r="J6" s="2323"/>
      <c r="Q6" s="1664"/>
    </row>
    <row r="7" spans="1:17" x14ac:dyDescent="0.2">
      <c r="A7" s="2324" t="s">
        <v>869</v>
      </c>
      <c r="B7" s="2325"/>
      <c r="C7" s="2325"/>
      <c r="D7" s="2325"/>
      <c r="E7" s="2326"/>
      <c r="F7" s="1017"/>
      <c r="G7" s="1009"/>
      <c r="H7" s="1016" t="s">
        <v>372</v>
      </c>
      <c r="I7" s="2327" t="str">
        <f>COVER!A13</f>
        <v>24032060C04</v>
      </c>
      <c r="J7" s="2327"/>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8" t="s">
        <v>481</v>
      </c>
      <c r="B11" s="2329"/>
      <c r="C11" s="2330"/>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133061</v>
      </c>
      <c r="F12" s="1039"/>
      <c r="G12" s="1811">
        <f t="shared" ref="G12:G18" si="0">SUM(E12:F12)</f>
        <v>133061</v>
      </c>
      <c r="H12" s="1040">
        <v>134250</v>
      </c>
      <c r="I12" s="1039"/>
      <c r="J12" s="1811">
        <f t="shared" ref="J12:J18" si="1">SUM(H12:I12)</f>
        <v>134250</v>
      </c>
    </row>
    <row r="13" spans="1:17" ht="15" customHeight="1" x14ac:dyDescent="0.2">
      <c r="A13" s="1035">
        <v>2</v>
      </c>
      <c r="B13" s="1036" t="s">
        <v>42</v>
      </c>
      <c r="C13" s="1037"/>
      <c r="D13" s="1038">
        <v>2330</v>
      </c>
      <c r="E13" s="1811">
        <f>'Expenditures 15-22'!K51</f>
        <v>43254</v>
      </c>
      <c r="F13" s="1039"/>
      <c r="G13" s="1811">
        <f t="shared" si="0"/>
        <v>43254</v>
      </c>
      <c r="H13" s="1040">
        <v>49520</v>
      </c>
      <c r="I13" s="1039"/>
      <c r="J13" s="1811">
        <f t="shared" si="1"/>
        <v>49520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27452</v>
      </c>
      <c r="G15" s="1811">
        <f t="shared" si="0"/>
        <v>27452</v>
      </c>
      <c r="H15" s="1040"/>
      <c r="I15" s="1040">
        <v>28575</v>
      </c>
      <c r="J15" s="1811">
        <f t="shared" si="1"/>
        <v>28575</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1" t="s">
        <v>7</v>
      </c>
      <c r="C18" s="2332"/>
      <c r="D18" s="2333"/>
      <c r="E18" s="1043">
        <v>13343</v>
      </c>
      <c r="F18" s="1043">
        <v>2920</v>
      </c>
      <c r="G18" s="1812">
        <f t="shared" si="0"/>
        <v>16263</v>
      </c>
      <c r="H18" s="1040">
        <v>13415</v>
      </c>
      <c r="I18" s="1040">
        <v>3045</v>
      </c>
      <c r="J18" s="1811">
        <f t="shared" si="1"/>
        <v>16460</v>
      </c>
    </row>
    <row r="19" spans="1:10" ht="12.75" customHeight="1" thickBot="1" x14ac:dyDescent="0.25">
      <c r="A19" s="1035">
        <v>8</v>
      </c>
      <c r="B19" s="1044" t="s">
        <v>1161</v>
      </c>
      <c r="D19" s="1045"/>
      <c r="E19" s="1813">
        <f t="shared" ref="E19:J19" si="2">SUM(E12:E17)-E18</f>
        <v>162972</v>
      </c>
      <c r="F19" s="1813">
        <f t="shared" si="2"/>
        <v>24532</v>
      </c>
      <c r="G19" s="1813">
        <f t="shared" si="2"/>
        <v>187504</v>
      </c>
      <c r="H19" s="1813">
        <f t="shared" si="2"/>
        <v>170355</v>
      </c>
      <c r="I19" s="1813">
        <f t="shared" si="2"/>
        <v>25530</v>
      </c>
      <c r="J19" s="1813">
        <f t="shared" si="2"/>
        <v>195885</v>
      </c>
    </row>
    <row r="20" spans="1:10" ht="13.5" thickTop="1" x14ac:dyDescent="0.2">
      <c r="A20" s="1035">
        <v>9</v>
      </c>
      <c r="B20" s="2334" t="s">
        <v>1979</v>
      </c>
      <c r="C20" s="2334"/>
      <c r="D20" s="2335"/>
      <c r="E20" s="1046"/>
      <c r="F20" s="1046"/>
      <c r="G20" s="1046"/>
      <c r="H20" s="1046"/>
      <c r="I20" s="1046"/>
      <c r="J20" s="1814">
        <f>IF(AND(G19&gt;0,J19&gt;0),(((J19-G19)/G19)),"Enter Budget Data")</f>
        <v>4.4697713115453536E-2</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40"/>
      <c r="D26" s="2340"/>
      <c r="E26" s="1050"/>
      <c r="F26" s="2339"/>
      <c r="G26" s="2339"/>
    </row>
    <row r="27" spans="1:10" x14ac:dyDescent="0.2">
      <c r="B27" s="1047"/>
      <c r="C27" s="1051" t="s">
        <v>1033</v>
      </c>
      <c r="D27" s="1052"/>
      <c r="E27" s="1053"/>
      <c r="F27" s="2336" t="s">
        <v>1509</v>
      </c>
      <c r="G27" s="2336"/>
    </row>
    <row r="28" spans="1:10" ht="28.5" customHeight="1" x14ac:dyDescent="0.2">
      <c r="B28" s="1047"/>
      <c r="C28" s="2338"/>
      <c r="D28" s="2338"/>
      <c r="E28" s="1054"/>
      <c r="F28" s="2338"/>
      <c r="G28" s="2338"/>
    </row>
    <row r="29" spans="1:10" x14ac:dyDescent="0.2">
      <c r="B29" s="1047"/>
      <c r="C29" s="1055" t="s">
        <v>1561</v>
      </c>
      <c r="E29" s="1056"/>
      <c r="F29" s="2337" t="s">
        <v>1510</v>
      </c>
      <c r="G29" s="2337"/>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2"/>
    </row>
    <row r="36" spans="1:10" ht="13.5" customHeight="1" x14ac:dyDescent="0.2">
      <c r="B36" s="1061"/>
      <c r="C36" s="2321" t="s">
        <v>1981</v>
      </c>
      <c r="D36" s="2320"/>
      <c r="E36" s="2320"/>
      <c r="F36" s="2320"/>
      <c r="G36" s="2320"/>
      <c r="H36" s="2320"/>
      <c r="I36" s="2320"/>
      <c r="J36" s="1063"/>
    </row>
    <row r="37" spans="1:10" ht="22.5" customHeight="1" x14ac:dyDescent="0.2">
      <c r="C37" s="2320"/>
      <c r="D37" s="2320"/>
      <c r="E37" s="2320"/>
      <c r="F37" s="2320"/>
      <c r="G37" s="2320"/>
      <c r="H37" s="2320"/>
      <c r="I37" s="2320"/>
      <c r="J37" s="1063"/>
    </row>
    <row r="38" spans="1:10" ht="7.5" customHeight="1" x14ac:dyDescent="0.2">
      <c r="C38" s="1062"/>
      <c r="D38" s="1064"/>
      <c r="E38" s="1065"/>
      <c r="F38" s="1066"/>
      <c r="G38" s="1065"/>
    </row>
    <row r="39" spans="1:10" ht="13.5" customHeight="1" x14ac:dyDescent="0.2">
      <c r="B39" s="1061"/>
      <c r="C39" s="2317" t="s">
        <v>882</v>
      </c>
      <c r="D39" s="2318"/>
      <c r="E39" s="2318"/>
      <c r="F39" s="2318"/>
      <c r="G39" s="2318"/>
      <c r="H39" s="2318"/>
      <c r="I39" s="2318"/>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5" t="s">
        <v>1065</v>
      </c>
      <c r="B35" s="2055"/>
      <c r="C35" s="2055"/>
      <c r="D35" s="2055"/>
      <c r="E35" s="2055"/>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2" t="s">
        <v>691</v>
      </c>
      <c r="B40" s="2052"/>
      <c r="C40" s="2052"/>
      <c r="D40" s="2052"/>
      <c r="E40" s="2052"/>
    </row>
    <row r="41" spans="1:5" x14ac:dyDescent="0.2">
      <c r="A41" s="2053" t="s">
        <v>1608</v>
      </c>
      <c r="B41" s="2053"/>
      <c r="C41" s="2053"/>
      <c r="D41" s="2053"/>
      <c r="E41" s="2053"/>
    </row>
    <row r="42" spans="1:5" ht="12.75" customHeight="1" x14ac:dyDescent="0.2">
      <c r="A42" s="2054" t="s">
        <v>1022</v>
      </c>
      <c r="B42" s="2054"/>
      <c r="C42" s="2054"/>
      <c r="D42" s="2054"/>
      <c r="E42" s="2054"/>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tabColor rgb="FF92D050"/>
  </sheetPr>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tabColor rgb="FF92D050"/>
  </sheetPr>
  <dimension ref="A20:F27"/>
  <sheetViews>
    <sheetView showGridLines="0" zoomScale="110" zoomScaleNormal="110" workbookViewId="0">
      <selection activeCell="B2" sqref="B2"/>
    </sheetView>
  </sheetViews>
  <sheetFormatPr defaultRowHeight="12.75" x14ac:dyDescent="0.2"/>
  <cols>
    <col min="1" max="1" width="1.85546875" style="329" customWidth="1"/>
    <col min="2" max="2" width="59.7109375" style="329" customWidth="1"/>
    <col min="3" max="16384" width="9.140625" style="329"/>
  </cols>
  <sheetData>
    <row r="20" spans="1:6" x14ac:dyDescent="0.2">
      <c r="B20" s="1071"/>
      <c r="C20" s="1071"/>
      <c r="D20" s="1071"/>
      <c r="E20" s="1071"/>
      <c r="F20" s="1071"/>
    </row>
    <row r="22" spans="1:6" x14ac:dyDescent="0.2">
      <c r="A22" s="1072" t="s">
        <v>1493</v>
      </c>
    </row>
    <row r="24" spans="1:6" x14ac:dyDescent="0.2">
      <c r="A24" s="389" t="s">
        <v>857</v>
      </c>
    </row>
    <row r="25" spans="1:6" s="1071" customFormat="1" ht="45" customHeight="1" x14ac:dyDescent="0.2">
      <c r="A25" s="1073"/>
      <c r="B25" s="1073" t="s">
        <v>1684</v>
      </c>
    </row>
    <row r="26" spans="1:6" ht="6" customHeight="1" x14ac:dyDescent="0.2"/>
    <row r="27" spans="1:6" ht="24.75" customHeight="1" x14ac:dyDescent="0.2">
      <c r="A27" s="2341" t="s">
        <v>1685</v>
      </c>
      <c r="B27" s="2341"/>
    </row>
  </sheetData>
  <sheetProtection selectLockedCells="1"/>
  <mergeCells count="1">
    <mergeCell ref="A27:B27"/>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Exch.Document.DC" dvAspect="DVASPECT_ICON" shapeId="50178"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Exch.Document.DC" dvAspect="DVASPECT_ICON" shapeId="50178" r:id="rId4"/>
      </mc:Fallback>
    </mc:AlternateContent>
    <mc:AlternateContent xmlns:mc="http://schemas.openxmlformats.org/markup-compatibility/2006">
      <mc:Choice Requires="x14">
        <oleObject progId="AcroExch.Document.DC" dvAspect="DVASPECT_ICON" shapeId="50179" r:id="rId6">
          <objectPr defaultSize="0" r:id="rId5">
            <anchor moveWithCells="1">
              <from>
                <xdr:col>1</xdr:col>
                <xdr:colOff>0</xdr:colOff>
                <xdr:row>11</xdr:row>
                <xdr:rowOff>0</xdr:rowOff>
              </from>
              <to>
                <xdr:col>1</xdr:col>
                <xdr:colOff>914400</xdr:colOff>
                <xdr:row>15</xdr:row>
                <xdr:rowOff>38100</xdr:rowOff>
              </to>
            </anchor>
          </objectPr>
        </oleObject>
      </mc:Choice>
      <mc:Fallback>
        <oleObject progId="AcroExch.Document.DC" dvAspect="DVASPECT_ICON" shapeId="50179" r:id="rId6"/>
      </mc:Fallback>
    </mc:AlternateContent>
    <mc:AlternateContent xmlns:mc="http://schemas.openxmlformats.org/markup-compatibility/2006">
      <mc:Choice Requires="x14">
        <oleObject progId="AcroExch.Document.DC" dvAspect="DVASPECT_ICON" shapeId="50180" r:id="rId7">
          <objectPr defaultSize="0" r:id="rId8">
            <anchor moveWithCells="1">
              <from>
                <xdr:col>0</xdr:col>
                <xdr:colOff>114300</xdr:colOff>
                <xdr:row>15</xdr:row>
                <xdr:rowOff>152400</xdr:rowOff>
              </from>
              <to>
                <xdr:col>1</xdr:col>
                <xdr:colOff>904875</xdr:colOff>
                <xdr:row>20</xdr:row>
                <xdr:rowOff>28575</xdr:rowOff>
              </to>
            </anchor>
          </objectPr>
        </oleObject>
      </mc:Choice>
      <mc:Fallback>
        <oleObject progId="AcroExch.Document.DC" dvAspect="DVASPECT_ICON" shapeId="50180" r:id="rId7"/>
      </mc:Fallback>
    </mc:AlternateContent>
    <mc:AlternateContent xmlns:mc="http://schemas.openxmlformats.org/markup-compatibility/2006">
      <mc:Choice Requires="x14">
        <oleObject progId="AcroExch.Document.DC" dvAspect="DVASPECT_ICON" shapeId="50181" r:id="rId9">
          <objectPr defaultSize="0" r:id="rId10">
            <anchor moveWithCells="1">
              <from>
                <xdr:col>1</xdr:col>
                <xdr:colOff>0</xdr:colOff>
                <xdr:row>1</xdr:row>
                <xdr:rowOff>0</xdr:rowOff>
              </from>
              <to>
                <xdr:col>1</xdr:col>
                <xdr:colOff>914400</xdr:colOff>
                <xdr:row>5</xdr:row>
                <xdr:rowOff>38100</xdr:rowOff>
              </to>
            </anchor>
          </objectPr>
        </oleObject>
      </mc:Choice>
      <mc:Fallback>
        <oleObject progId="AcroExch.Document.DC" dvAspect="DVASPECT_ICON" shapeId="50181" r:id="rId9"/>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tabColor rgb="FF92D050"/>
    <pageSetUpPr fitToPage="1"/>
  </sheetPr>
  <dimension ref="A1:H48"/>
  <sheetViews>
    <sheetView showGridLines="0" showZeros="0" topLeftCell="A7"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2" t="s">
        <v>1690</v>
      </c>
      <c r="B1" s="2343"/>
      <c r="C1" s="2343"/>
      <c r="D1" s="2343"/>
      <c r="E1" s="2343"/>
      <c r="F1" s="2344"/>
    </row>
    <row r="2" spans="1:8" ht="45" customHeight="1" x14ac:dyDescent="0.2">
      <c r="A2" s="2352" t="s">
        <v>1985</v>
      </c>
      <c r="B2" s="2353"/>
      <c r="C2" s="2353"/>
      <c r="D2" s="2353"/>
      <c r="E2" s="2353"/>
      <c r="F2" s="2354"/>
      <c r="G2" s="1074"/>
      <c r="H2" s="1074"/>
    </row>
    <row r="3" spans="1:8" ht="57" customHeight="1" x14ac:dyDescent="0.2">
      <c r="A3" s="2355" t="s">
        <v>1686</v>
      </c>
      <c r="B3" s="2356"/>
      <c r="C3" s="2356"/>
      <c r="D3" s="2356"/>
      <c r="E3" s="2356"/>
      <c r="F3" s="2357"/>
      <c r="G3" s="1074"/>
      <c r="H3" s="1074"/>
    </row>
    <row r="4" spans="1:8" ht="14.25" customHeight="1" x14ac:dyDescent="0.2">
      <c r="A4" s="2361" t="s">
        <v>1986</v>
      </c>
      <c r="B4" s="2362"/>
      <c r="C4" s="2362"/>
      <c r="D4" s="2362"/>
      <c r="E4" s="2362"/>
      <c r="F4" s="2363"/>
      <c r="G4" s="1074"/>
      <c r="H4" s="1074"/>
    </row>
    <row r="5" spans="1:8" ht="14.25" customHeight="1" x14ac:dyDescent="0.2">
      <c r="A5" s="2364" t="s">
        <v>1982</v>
      </c>
      <c r="B5" s="2365"/>
      <c r="C5" s="2365"/>
      <c r="D5" s="2365"/>
      <c r="E5" s="2365"/>
      <c r="F5" s="2366"/>
      <c r="G5" s="1074"/>
      <c r="H5" s="1074"/>
    </row>
    <row r="6" spans="1:8" s="1075" customFormat="1" ht="41.25" customHeight="1" x14ac:dyDescent="0.2">
      <c r="A6" s="2358" t="s">
        <v>1691</v>
      </c>
      <c r="B6" s="2359"/>
      <c r="C6" s="2359"/>
      <c r="D6" s="2359"/>
      <c r="E6" s="2359"/>
      <c r="F6" s="2360"/>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5747439</v>
      </c>
      <c r="C8" s="1815">
        <f>'Acct Summary 7-8'!D8</f>
        <v>525725</v>
      </c>
      <c r="D8" s="1815">
        <f>'Acct Summary 7-8'!F8</f>
        <v>1550592</v>
      </c>
      <c r="E8" s="1815">
        <f>'Acct Summary 7-8'!I8</f>
        <v>104693</v>
      </c>
      <c r="F8" s="1815">
        <f>SUM(B8:E8)</f>
        <v>7928449</v>
      </c>
    </row>
    <row r="9" spans="1:8" s="1079" customFormat="1" ht="14.25" customHeight="1" thickBot="1" x14ac:dyDescent="0.25">
      <c r="A9" s="1078" t="s">
        <v>1369</v>
      </c>
      <c r="B9" s="1816">
        <f>'Acct Summary 7-8'!C17</f>
        <v>5790573</v>
      </c>
      <c r="C9" s="1816">
        <f>'Acct Summary 7-8'!D17</f>
        <v>439235</v>
      </c>
      <c r="D9" s="1816">
        <f>'Acct Summary 7-8'!F17</f>
        <v>1575592</v>
      </c>
      <c r="E9" s="1815"/>
      <c r="F9" s="1815">
        <f>SUM(B9:E9)</f>
        <v>7805400</v>
      </c>
    </row>
    <row r="10" spans="1:8" s="1079" customFormat="1" ht="14.25" thickTop="1" thickBot="1" x14ac:dyDescent="0.25">
      <c r="A10" s="1080" t="s">
        <v>1370</v>
      </c>
      <c r="B10" s="1817">
        <f>(B8-B9)</f>
        <v>-43134</v>
      </c>
      <c r="C10" s="1817">
        <f>(C8-C9)</f>
        <v>86490</v>
      </c>
      <c r="D10" s="1817">
        <f>(D8-D9)</f>
        <v>-25000</v>
      </c>
      <c r="E10" s="1816">
        <f>(E8-E9)</f>
        <v>104693</v>
      </c>
      <c r="F10" s="1818">
        <f>SUM(F8-F9)</f>
        <v>123049</v>
      </c>
    </row>
    <row r="11" spans="1:8" s="1079" customFormat="1" ht="14.25" thickTop="1" thickBot="1" x14ac:dyDescent="0.25">
      <c r="A11" s="1081" t="s">
        <v>1983</v>
      </c>
      <c r="B11" s="1819">
        <f>'Acct Summary 7-8'!C81</f>
        <v>2637173</v>
      </c>
      <c r="C11" s="1819">
        <f>'Acct Summary 7-8'!D81</f>
        <v>699058</v>
      </c>
      <c r="D11" s="1819">
        <f>'Acct Summary 7-8'!F81</f>
        <v>696240</v>
      </c>
      <c r="E11" s="1819">
        <f>'Acct Summary 7-8'!I81</f>
        <v>530527</v>
      </c>
      <c r="F11" s="1820">
        <f>SUM(B11:E11)</f>
        <v>4562998</v>
      </c>
    </row>
    <row r="12" spans="1:8" ht="16.5" customHeight="1" thickTop="1" x14ac:dyDescent="0.2">
      <c r="A12" s="1082"/>
      <c r="B12" s="1083"/>
      <c r="C12" s="2346" t="str">
        <f>IF(AND(F10&lt;0,F11&gt;=0,ABS(F10*3)&gt;ABS(F11)),A16,IF(AND(F10&lt;0,F11&gt;0,ABS(F10*3)&lt;=ABS(F11)),A17,IF(AND(F10&lt;0,F11&lt;0),A16,IF(F11=0,A19,A18))))</f>
        <v>Balanced - no deficit reduction plan is required.</v>
      </c>
      <c r="D12" s="2347"/>
      <c r="E12" s="2347"/>
      <c r="F12" s="2348"/>
    </row>
    <row r="13" spans="1:8" ht="19.5" customHeight="1" x14ac:dyDescent="0.2">
      <c r="A13" s="1084"/>
      <c r="B13" s="1085"/>
      <c r="C13" s="2346"/>
      <c r="D13" s="2347"/>
      <c r="E13" s="2347"/>
      <c r="F13" s="2348"/>
      <c r="H13" s="1074"/>
    </row>
    <row r="14" spans="1:8" ht="19.5" customHeight="1" x14ac:dyDescent="0.2">
      <c r="A14" s="1084"/>
      <c r="B14" s="1085"/>
      <c r="C14" s="2346"/>
      <c r="D14" s="2347"/>
      <c r="E14" s="2347"/>
      <c r="F14" s="2348"/>
      <c r="H14" s="1074"/>
    </row>
    <row r="15" spans="1:8" ht="17.25" customHeight="1" x14ac:dyDescent="0.2">
      <c r="A15" s="1084"/>
      <c r="B15" s="1085"/>
      <c r="C15" s="2349"/>
      <c r="D15" s="2350"/>
      <c r="E15" s="2350"/>
      <c r="F15" s="2351"/>
      <c r="H15" s="1074"/>
    </row>
    <row r="16" spans="1:8" s="310" customFormat="1" ht="51.75" hidden="1" customHeight="1" x14ac:dyDescent="0.2">
      <c r="A16" s="2345" t="s">
        <v>1687</v>
      </c>
      <c r="B16" s="2345"/>
      <c r="C16" s="2345"/>
      <c r="D16" s="2345"/>
      <c r="E16" s="2345"/>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2"/>
  <sheetViews>
    <sheetView showGridLines="0" defaultGridColor="0" topLeftCell="A35" colorId="8" zoomScale="110" zoomScaleNormal="110" workbookViewId="0">
      <selection activeCell="G8" sqref="G8"/>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7" t="s">
        <v>665</v>
      </c>
      <c r="B3" s="2368"/>
      <c r="C3" s="2368"/>
      <c r="D3" s="2369"/>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8" t="s">
        <v>1504</v>
      </c>
      <c r="D7" s="2379"/>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70" t="s">
        <v>1008</v>
      </c>
      <c r="B15" s="2371"/>
      <c r="C15" s="2371"/>
      <c r="D15" s="2372"/>
    </row>
    <row r="16" spans="1:4" s="668" customFormat="1" ht="24" customHeight="1" x14ac:dyDescent="0.2">
      <c r="A16" s="2373" t="s">
        <v>663</v>
      </c>
      <c r="B16" s="2374"/>
      <c r="C16" s="2374"/>
      <c r="D16" s="2375"/>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2" t="s">
        <v>314</v>
      </c>
      <c r="D21" s="2383"/>
    </row>
    <row r="22" spans="1:10" ht="12.75" x14ac:dyDescent="0.2">
      <c r="A22" s="1139"/>
      <c r="B22" s="1140">
        <v>2</v>
      </c>
      <c r="C22" s="2380" t="s">
        <v>1524</v>
      </c>
      <c r="D22" s="2381"/>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4" t="s">
        <v>536</v>
      </c>
      <c r="D43" s="2385"/>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6" t="s">
        <v>784</v>
      </c>
      <c r="D56" s="2377"/>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6" t="s">
        <v>1696</v>
      </c>
      <c r="D70" s="2377"/>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1" right="0.2" top="0.55000000000000004" bottom="0.5" header="0.25" footer="0.25"/>
  <pageSetup scale="69"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t="str">
        <f>COVER!A13</f>
        <v>24032060C04</v>
      </c>
    </row>
    <row r="3" spans="1:2" x14ac:dyDescent="0.2">
      <c r="A3" t="s">
        <v>956</v>
      </c>
      <c r="B3" s="138" t="str">
        <f>COVER!A15</f>
        <v>Grundy</v>
      </c>
    </row>
    <row r="4" spans="1:2" x14ac:dyDescent="0.2">
      <c r="A4" t="s">
        <v>1007</v>
      </c>
      <c r="B4" s="138" t="str">
        <f>COVER!A17</f>
        <v>Saratoga CCSD 60C</v>
      </c>
    </row>
    <row r="5" spans="1:2" x14ac:dyDescent="0.2">
      <c r="A5" t="s">
        <v>704</v>
      </c>
      <c r="B5" s="138" t="str">
        <f>COVER!A38</f>
        <v>Kathy Perry</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066-005100</v>
      </c>
    </row>
    <row r="16" spans="1:2" x14ac:dyDescent="0.2">
      <c r="A16" t="s">
        <v>422</v>
      </c>
      <c r="B16" s="138" t="str">
        <f>COVER!T13</f>
        <v>Mack &amp; Associates, P.C.</v>
      </c>
    </row>
    <row r="17" spans="1:2" x14ac:dyDescent="0.2">
      <c r="A17" t="s">
        <v>884</v>
      </c>
      <c r="B17" s="138" t="str">
        <f>COVER!T15</f>
        <v>Tawnya Mack, CPA</v>
      </c>
    </row>
    <row r="18" spans="1:2" x14ac:dyDescent="0.2">
      <c r="A18" t="s">
        <v>1150</v>
      </c>
      <c r="B18" s="138" t="str">
        <f>COVER!T17</f>
        <v>116 E. Washington St., Suite One</v>
      </c>
    </row>
    <row r="19" spans="1:2" x14ac:dyDescent="0.2">
      <c r="A19" t="s">
        <v>886</v>
      </c>
      <c r="B19" s="138" t="str">
        <f>COVER!T25</f>
        <v>tmack@mackcpas.com</v>
      </c>
    </row>
    <row r="20" spans="1:2" x14ac:dyDescent="0.2">
      <c r="A20" t="s">
        <v>887</v>
      </c>
      <c r="B20" s="138" t="str">
        <f>COVER!T19</f>
        <v>Morris</v>
      </c>
    </row>
    <row r="21" spans="1:2" x14ac:dyDescent="0.2">
      <c r="A21" t="s">
        <v>479</v>
      </c>
      <c r="B21" s="138" t="str">
        <f>COVER!X19</f>
        <v>IL</v>
      </c>
    </row>
    <row r="22" spans="1:2" x14ac:dyDescent="0.2">
      <c r="A22" t="s">
        <v>888</v>
      </c>
      <c r="B22" s="138">
        <f>COVER!Z19</f>
        <v>60450</v>
      </c>
    </row>
    <row r="23" spans="1:2" x14ac:dyDescent="0.2">
      <c r="A23" t="s">
        <v>1152</v>
      </c>
      <c r="B23" s="138" t="str">
        <f>COVER!T21</f>
        <v>815-942-3306</v>
      </c>
    </row>
    <row r="24" spans="1:2" x14ac:dyDescent="0.2">
      <c r="A24" t="s">
        <v>1151</v>
      </c>
      <c r="B24" s="138">
        <f>COVER!Y21</f>
        <v>0</v>
      </c>
    </row>
    <row r="25" spans="1:2" x14ac:dyDescent="0.2">
      <c r="A25" t="s">
        <v>761</v>
      </c>
      <c r="B25" s="138" t="str">
        <f>COVER!B34</f>
        <v>x</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0</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1754935</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2637173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2136629</v>
      </c>
      <c r="D92" s="2" t="str">
        <f t="shared" si="0"/>
        <v>Error?</v>
      </c>
    </row>
    <row r="93" spans="1:4" x14ac:dyDescent="0.2">
      <c r="A93" s="5">
        <v>32</v>
      </c>
      <c r="B93" s="138">
        <f>'Assets-Liab 5-6'!C41</f>
        <v>2637173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341567</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699058</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699058</v>
      </c>
      <c r="D123" s="2" t="str">
        <f t="shared" si="0"/>
        <v>Error?</v>
      </c>
    </row>
    <row r="124" spans="1:4" x14ac:dyDescent="0.2">
      <c r="A124" s="5">
        <v>63</v>
      </c>
      <c r="B124" s="138">
        <f>'Assets-Liab 5-6'!D41</f>
        <v>699058</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273040</v>
      </c>
      <c r="D129" s="2" t="str">
        <f t="shared" si="1"/>
        <v>Error?</v>
      </c>
    </row>
    <row r="130" spans="1:4" x14ac:dyDescent="0.2">
      <c r="A130" s="5">
        <v>69</v>
      </c>
      <c r="B130" s="138">
        <f>'Assets-Liab 5-6'!E12</f>
        <v>0</v>
      </c>
      <c r="D130" s="2" t="str">
        <f t="shared" si="1"/>
        <v>Error?</v>
      </c>
    </row>
    <row r="131" spans="1:4" x14ac:dyDescent="0.2">
      <c r="A131" s="5">
        <v>70</v>
      </c>
      <c r="B131" s="138">
        <f>'Assets-Liab 5-6'!E13</f>
        <v>949982</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949982</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225876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696240</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696240</v>
      </c>
      <c r="D170" s="2" t="str">
        <f t="shared" si="1"/>
        <v>Error?</v>
      </c>
    </row>
    <row r="171" spans="1:4" x14ac:dyDescent="0.2">
      <c r="A171" s="5">
        <v>110</v>
      </c>
      <c r="B171" s="138">
        <f>'Assets-Liab 5-6'!F41</f>
        <v>696240</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47104</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156858</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0</v>
      </c>
      <c r="D189" s="2" t="str">
        <f t="shared" si="1"/>
        <v>Error?</v>
      </c>
    </row>
    <row r="190" spans="1:4" x14ac:dyDescent="0.2">
      <c r="A190" s="5">
        <v>129</v>
      </c>
      <c r="B190" s="138">
        <f>'Assets-Liab 5-6'!G41</f>
        <v>156858</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60101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159118</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159118</v>
      </c>
      <c r="D212" s="2" t="str">
        <f t="shared" si="2"/>
        <v>Error?</v>
      </c>
    </row>
    <row r="213" spans="1:4" x14ac:dyDescent="0.2">
      <c r="A213" s="12">
        <v>152</v>
      </c>
      <c r="B213" s="138">
        <f>'Assets-Liab 5-6'!H41</f>
        <v>159118</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510156</v>
      </c>
      <c r="D273" s="2" t="str">
        <f t="shared" si="3"/>
        <v>Error?</v>
      </c>
    </row>
    <row r="274" spans="1:4" x14ac:dyDescent="0.2">
      <c r="A274" s="5">
        <v>213</v>
      </c>
      <c r="B274" s="138">
        <f>'Assets-Liab 5-6'!M17</f>
        <v>12971371</v>
      </c>
      <c r="D274" s="2" t="str">
        <f t="shared" si="3"/>
        <v>Error?</v>
      </c>
    </row>
    <row r="275" spans="1:4" x14ac:dyDescent="0.2">
      <c r="A275" s="5">
        <v>214</v>
      </c>
      <c r="B275" s="138">
        <f>'Assets-Liab 5-6'!M18</f>
        <v>55542</v>
      </c>
      <c r="D275" s="2" t="str">
        <f t="shared" si="3"/>
        <v>Error?</v>
      </c>
    </row>
    <row r="276" spans="1:4" x14ac:dyDescent="0.2">
      <c r="A276" s="5">
        <v>215</v>
      </c>
      <c r="B276" s="138">
        <f>'Assets-Liab 5-6'!M19</f>
        <v>144319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13931886</v>
      </c>
      <c r="C279" s="2" t="s">
        <v>573</v>
      </c>
      <c r="D279" s="2" t="str">
        <f t="shared" si="3"/>
        <v>Error?</v>
      </c>
    </row>
    <row r="280" spans="1:4" x14ac:dyDescent="0.2">
      <c r="A280" s="5">
        <v>219</v>
      </c>
      <c r="B280" s="138">
        <f>'Assets-Liab 5-6'!M40</f>
        <v>13931886</v>
      </c>
      <c r="D280" s="2" t="str">
        <f t="shared" si="3"/>
        <v>Error?</v>
      </c>
    </row>
    <row r="281" spans="1:4" x14ac:dyDescent="0.2">
      <c r="A281" s="5">
        <v>220</v>
      </c>
      <c r="B281" s="138">
        <f>'Assets-Liab 5-6'!M41</f>
        <v>13931886</v>
      </c>
      <c r="C281" s="2" t="s">
        <v>573</v>
      </c>
      <c r="D281" s="2" t="str">
        <f t="shared" si="3"/>
        <v>Error?</v>
      </c>
    </row>
    <row r="282" spans="1:4" x14ac:dyDescent="0.2">
      <c r="A282" s="5">
        <v>221</v>
      </c>
      <c r="B282" s="138">
        <f>'Assets-Liab 5-6'!N21</f>
        <v>949982</v>
      </c>
      <c r="D282" s="2" t="str">
        <f t="shared" si="3"/>
        <v>Error?</v>
      </c>
    </row>
    <row r="283" spans="1:4" x14ac:dyDescent="0.2">
      <c r="A283" s="5">
        <v>222</v>
      </c>
      <c r="B283" s="138">
        <f>'Assets-Liab 5-6'!N22</f>
        <v>5765018</v>
      </c>
      <c r="D283" s="2" t="str">
        <f t="shared" si="3"/>
        <v>Error?</v>
      </c>
    </row>
    <row r="284" spans="1:4" x14ac:dyDescent="0.2">
      <c r="A284" s="5">
        <v>223</v>
      </c>
      <c r="B284" s="138">
        <f>'Assets-Liab 5-6'!N23</f>
        <v>6715000</v>
      </c>
      <c r="C284" s="2" t="s">
        <v>573</v>
      </c>
      <c r="D284" s="2" t="str">
        <f t="shared" si="3"/>
        <v>Error?</v>
      </c>
    </row>
    <row r="285" spans="1:4" x14ac:dyDescent="0.2">
      <c r="A285" s="5">
        <v>224</v>
      </c>
      <c r="B285" s="138">
        <f>'Assets-Liab 5-6'!N36</f>
        <v>6715000</v>
      </c>
      <c r="D285" s="2" t="str">
        <f t="shared" si="3"/>
        <v>Error?</v>
      </c>
    </row>
    <row r="286" spans="1:4" x14ac:dyDescent="0.2">
      <c r="A286" s="10">
        <v>225</v>
      </c>
      <c r="D286" s="2" t="str">
        <f t="shared" si="3"/>
        <v>OK</v>
      </c>
    </row>
    <row r="287" spans="1:4" x14ac:dyDescent="0.2">
      <c r="A287" s="5">
        <v>226</v>
      </c>
      <c r="B287" s="138">
        <f>'Assets-Liab 5-6'!N37</f>
        <v>6715000</v>
      </c>
      <c r="C287" s="2" t="s">
        <v>573</v>
      </c>
      <c r="D287" s="2" t="str">
        <f t="shared" si="3"/>
        <v>Error?</v>
      </c>
    </row>
    <row r="288" spans="1:4" x14ac:dyDescent="0.2">
      <c r="A288" s="5">
        <v>227</v>
      </c>
      <c r="B288" s="138">
        <f>'Assets-Liab 5-6'!N41</f>
        <v>6715000</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2138821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43692</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69422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2985855</v>
      </c>
      <c r="C720" s="2" t="s">
        <v>573</v>
      </c>
      <c r="D720" s="2" t="str">
        <f t="shared" si="10"/>
        <v>Error?</v>
      </c>
    </row>
    <row r="721" spans="1:4" x14ac:dyDescent="0.2">
      <c r="A721" s="5">
        <v>660</v>
      </c>
      <c r="B721" s="138">
        <f>'Expenditures 15-22'!C36</f>
        <v>115167</v>
      </c>
      <c r="D721" s="2" t="str">
        <f t="shared" si="10"/>
        <v>Error?</v>
      </c>
    </row>
    <row r="722" spans="1:4" x14ac:dyDescent="0.2">
      <c r="A722" s="5">
        <v>661</v>
      </c>
      <c r="B722" s="138">
        <f>'Expenditures 15-22'!C37</f>
        <v>0</v>
      </c>
      <c r="D722" s="2" t="str">
        <f t="shared" si="10"/>
        <v>Error?</v>
      </c>
    </row>
    <row r="723" spans="1:4" x14ac:dyDescent="0.2">
      <c r="A723" s="5">
        <v>662</v>
      </c>
      <c r="B723" s="138">
        <f>'Expenditures 15-22'!C38</f>
        <v>53568</v>
      </c>
      <c r="D723" s="2" t="str">
        <f t="shared" si="10"/>
        <v>Error?</v>
      </c>
    </row>
    <row r="724" spans="1:4" x14ac:dyDescent="0.2">
      <c r="A724" s="5">
        <v>663</v>
      </c>
      <c r="B724" s="138">
        <f>'Expenditures 15-22'!C39</f>
        <v>52402</v>
      </c>
      <c r="D724" s="2" t="str">
        <f t="shared" si="10"/>
        <v>Error?</v>
      </c>
    </row>
    <row r="725" spans="1:4" x14ac:dyDescent="0.2">
      <c r="A725" s="5">
        <v>664</v>
      </c>
      <c r="B725" s="138">
        <f>'Expenditures 15-22'!C40</f>
        <v>93380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314517</v>
      </c>
      <c r="C727" s="2" t="s">
        <v>573</v>
      </c>
      <c r="D727" s="2" t="str">
        <f t="shared" si="10"/>
        <v>Error?</v>
      </c>
    </row>
    <row r="728" spans="1:4" x14ac:dyDescent="0.2">
      <c r="A728" s="5">
        <v>667</v>
      </c>
      <c r="B728" s="138">
        <f>'Expenditures 15-22'!C44</f>
        <v>23377</v>
      </c>
      <c r="D728" s="2" t="str">
        <f t="shared" si="10"/>
        <v>Error?</v>
      </c>
    </row>
    <row r="729" spans="1:4" x14ac:dyDescent="0.2">
      <c r="A729" s="5">
        <v>668</v>
      </c>
      <c r="B729" s="138">
        <f>'Expenditures 15-22'!C45</f>
        <v>162888</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186265</v>
      </c>
      <c r="C731" s="2" t="s">
        <v>573</v>
      </c>
      <c r="D731" s="2" t="str">
        <f t="shared" si="10"/>
        <v>Error?</v>
      </c>
    </row>
    <row r="732" spans="1:4" x14ac:dyDescent="0.2">
      <c r="A732" s="5">
        <v>671</v>
      </c>
      <c r="B732" s="138">
        <f>'Expenditures 15-22'!C49</f>
        <v>3376</v>
      </c>
      <c r="D732" s="2" t="str">
        <f t="shared" si="10"/>
        <v>Error?</v>
      </c>
    </row>
    <row r="733" spans="1:4" x14ac:dyDescent="0.2">
      <c r="A733" s="5">
        <v>672</v>
      </c>
      <c r="B733" s="138">
        <f>'Expenditures 15-22'!C50</f>
        <v>113129</v>
      </c>
      <c r="D733" s="2" t="str">
        <f t="shared" si="10"/>
        <v>Error?</v>
      </c>
    </row>
    <row r="734" spans="1:4" x14ac:dyDescent="0.2">
      <c r="A734" s="5">
        <v>673</v>
      </c>
      <c r="B734" s="138">
        <f>'Expenditures 15-22'!C53</f>
        <v>152019</v>
      </c>
      <c r="C734" s="2" t="s">
        <v>573</v>
      </c>
      <c r="D734" s="2" t="str">
        <f t="shared" si="10"/>
        <v>Error?</v>
      </c>
    </row>
    <row r="735" spans="1:4" x14ac:dyDescent="0.2">
      <c r="A735" s="5">
        <v>674</v>
      </c>
      <c r="B735" s="138">
        <f>'Expenditures 15-22'!C55</f>
        <v>182094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182094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58520</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56095</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114615</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949510</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3935365</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456025</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5870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5947</v>
      </c>
      <c r="D776" s="2" t="str">
        <f t="shared" si="11"/>
        <v>Error?</v>
      </c>
    </row>
    <row r="777" spans="1:4" x14ac:dyDescent="0.2">
      <c r="A777" s="5">
        <v>716</v>
      </c>
      <c r="B777" s="138">
        <f>'Expenditures 15-22'!D15</f>
        <v>0</v>
      </c>
      <c r="D777" s="2" t="str">
        <f t="shared" si="11"/>
        <v>Error?</v>
      </c>
    </row>
    <row r="778" spans="1:4" x14ac:dyDescent="0.2">
      <c r="A778" s="5">
        <v>717</v>
      </c>
      <c r="B778" s="138">
        <f>'Expenditures 15-22'!D33</f>
        <v>543219</v>
      </c>
      <c r="C778" s="2" t="s">
        <v>573</v>
      </c>
      <c r="D778" s="2" t="str">
        <f t="shared" si="11"/>
        <v>Error?</v>
      </c>
    </row>
    <row r="779" spans="1:4" x14ac:dyDescent="0.2">
      <c r="A779" s="5">
        <v>718</v>
      </c>
      <c r="B779" s="138">
        <f>'Expenditures 15-22'!D36</f>
        <v>14846</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12596</v>
      </c>
      <c r="D782" s="2" t="str">
        <f t="shared" si="11"/>
        <v>Error?</v>
      </c>
    </row>
    <row r="783" spans="1:4" x14ac:dyDescent="0.2">
      <c r="A783" s="5">
        <v>722</v>
      </c>
      <c r="B783" s="138">
        <f>'Expenditures 15-22'!D40</f>
        <v>18986</v>
      </c>
      <c r="D783" s="2" t="str">
        <f t="shared" si="11"/>
        <v>Error?</v>
      </c>
    </row>
    <row r="784" spans="1:4" x14ac:dyDescent="0.2">
      <c r="A784" s="5">
        <v>723</v>
      </c>
      <c r="B784" s="138">
        <f>'Expenditures 15-22'!D41</f>
        <v>0</v>
      </c>
      <c r="D784" s="2" t="str">
        <f t="shared" si="11"/>
        <v>Error?</v>
      </c>
    </row>
    <row r="785" spans="1:4" x14ac:dyDescent="0.2">
      <c r="A785" s="5">
        <v>724</v>
      </c>
      <c r="B785" s="138">
        <f>'Expenditures 15-22'!D42</f>
        <v>46428</v>
      </c>
      <c r="C785" s="2" t="s">
        <v>573</v>
      </c>
      <c r="D785" s="2" t="str">
        <f t="shared" si="11"/>
        <v>Error?</v>
      </c>
    </row>
    <row r="786" spans="1:4" x14ac:dyDescent="0.2">
      <c r="A786" s="5">
        <v>725</v>
      </c>
      <c r="B786" s="138">
        <f>'Expenditures 15-22'!D44</f>
        <v>2911</v>
      </c>
      <c r="D786" s="2" t="str">
        <f t="shared" si="11"/>
        <v>Error?</v>
      </c>
    </row>
    <row r="787" spans="1:4" x14ac:dyDescent="0.2">
      <c r="A787" s="5">
        <v>726</v>
      </c>
      <c r="B787" s="138">
        <f>'Expenditures 15-22'!D45</f>
        <v>20490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23401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17421</v>
      </c>
      <c r="D791" s="2" t="str">
        <f t="shared" si="11"/>
        <v>Error?</v>
      </c>
    </row>
    <row r="792" spans="1:4" x14ac:dyDescent="0.2">
      <c r="A792" s="5">
        <v>731</v>
      </c>
      <c r="B792" s="138">
        <f>'Expenditures 15-22'!D53</f>
        <v>24981</v>
      </c>
      <c r="C792" s="2" t="s">
        <v>573</v>
      </c>
      <c r="D792" s="2" t="str">
        <f t="shared" si="11"/>
        <v>Error?</v>
      </c>
    </row>
    <row r="793" spans="1:4" x14ac:dyDescent="0.2">
      <c r="A793" s="5">
        <v>732</v>
      </c>
      <c r="B793" s="138">
        <f>'Expenditures 15-22'!D55</f>
        <v>13386</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13386</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5566</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5566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113762</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656981</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19975</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15615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40020</v>
      </c>
      <c r="C836" s="2" t="s">
        <v>573</v>
      </c>
      <c r="D836" s="2" t="str">
        <f t="shared" si="12"/>
        <v>Error?</v>
      </c>
    </row>
    <row r="837" spans="1:4" x14ac:dyDescent="0.2">
      <c r="A837" s="5">
        <v>776</v>
      </c>
      <c r="B837" s="138">
        <f>'Expenditures 15-22'!E36</f>
        <v>398</v>
      </c>
      <c r="D837" s="2" t="str">
        <f t="shared" si="12"/>
        <v>Error?</v>
      </c>
    </row>
    <row r="838" spans="1:4" x14ac:dyDescent="0.2">
      <c r="A838" s="5">
        <v>777</v>
      </c>
      <c r="B838" s="138">
        <f>'Expenditures 15-22'!E37</f>
        <v>0</v>
      </c>
      <c r="D838" s="2" t="str">
        <f t="shared" si="12"/>
        <v>Error?</v>
      </c>
    </row>
    <row r="839" spans="1:4" x14ac:dyDescent="0.2">
      <c r="A839" s="5">
        <v>778</v>
      </c>
      <c r="B839" s="138">
        <f>'Expenditures 15-22'!E38</f>
        <v>338</v>
      </c>
      <c r="D839" s="2" t="str">
        <f t="shared" si="12"/>
        <v>Error?</v>
      </c>
    </row>
    <row r="840" spans="1:4" x14ac:dyDescent="0.2">
      <c r="A840" s="5">
        <v>779</v>
      </c>
      <c r="B840" s="138">
        <f>'Expenditures 15-22'!E39</f>
        <v>231</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967</v>
      </c>
      <c r="C843" s="2" t="s">
        <v>573</v>
      </c>
      <c r="D843" s="2" t="str">
        <f t="shared" si="12"/>
        <v>Error?</v>
      </c>
    </row>
    <row r="844" spans="1:4" x14ac:dyDescent="0.2">
      <c r="A844" s="5">
        <v>783</v>
      </c>
      <c r="B844" s="138">
        <f>'Expenditures 15-22'!E44</f>
        <v>33674</v>
      </c>
      <c r="D844" s="2" t="str">
        <f t="shared" si="12"/>
        <v>Error?</v>
      </c>
    </row>
    <row r="845" spans="1:4" x14ac:dyDescent="0.2">
      <c r="A845" s="5">
        <v>784</v>
      </c>
      <c r="B845" s="138">
        <f>'Expenditures 15-22'!E45</f>
        <v>11107</v>
      </c>
      <c r="D845" s="2" t="str">
        <f t="shared" si="12"/>
        <v>Error?</v>
      </c>
    </row>
    <row r="846" spans="1:4" x14ac:dyDescent="0.2">
      <c r="A846" s="5">
        <v>785</v>
      </c>
      <c r="B846" s="138">
        <f>'Expenditures 15-22'!E46</f>
        <v>1099</v>
      </c>
      <c r="D846" s="2" t="str">
        <f t="shared" si="12"/>
        <v>Error?</v>
      </c>
    </row>
    <row r="847" spans="1:4" x14ac:dyDescent="0.2">
      <c r="A847" s="5">
        <v>786</v>
      </c>
      <c r="B847" s="138">
        <f>'Expenditures 15-22'!E47</f>
        <v>45880</v>
      </c>
      <c r="C847" s="2" t="s">
        <v>573</v>
      </c>
      <c r="D847" s="2" t="str">
        <f t="shared" si="12"/>
        <v>Error?</v>
      </c>
    </row>
    <row r="848" spans="1:4" x14ac:dyDescent="0.2">
      <c r="A848" s="5">
        <v>787</v>
      </c>
      <c r="B848" s="138">
        <f>'Expenditures 15-22'!E49</f>
        <v>37263</v>
      </c>
      <c r="D848" s="2" t="str">
        <f t="shared" si="12"/>
        <v>Error?</v>
      </c>
    </row>
    <row r="849" spans="1:4" x14ac:dyDescent="0.2">
      <c r="A849" s="5">
        <v>788</v>
      </c>
      <c r="B849" s="138">
        <f>'Expenditures 15-22'!E50</f>
        <v>197</v>
      </c>
      <c r="D849" s="2" t="str">
        <f t="shared" si="12"/>
        <v>Error?</v>
      </c>
    </row>
    <row r="850" spans="1:4" x14ac:dyDescent="0.2">
      <c r="A850" s="5">
        <v>789</v>
      </c>
      <c r="B850" s="138">
        <f>'Expenditures 15-22'!E53</f>
        <v>37640</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16799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131047</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147846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664</v>
      </c>
      <c r="D867" s="2" t="str">
        <f t="shared" si="12"/>
        <v>Error?</v>
      </c>
    </row>
    <row r="868" spans="1:4" x14ac:dyDescent="0.2">
      <c r="A868" s="10">
        <v>807</v>
      </c>
      <c r="D868" s="2" t="str">
        <f t="shared" si="12"/>
        <v>OK</v>
      </c>
    </row>
    <row r="869" spans="1:4" x14ac:dyDescent="0.2">
      <c r="A869" s="5">
        <v>808</v>
      </c>
      <c r="B869" s="138">
        <f>'Expenditures 15-22'!E72</f>
        <v>664</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232997</v>
      </c>
      <c r="C871" s="2" t="s">
        <v>573</v>
      </c>
      <c r="D871" s="2" t="str">
        <f t="shared" si="12"/>
        <v>Error?</v>
      </c>
    </row>
    <row r="872" spans="1:4" x14ac:dyDescent="0.2">
      <c r="A872" s="5">
        <v>811</v>
      </c>
      <c r="B872" s="138">
        <f>'Expenditures 15-22'!E75</f>
        <v>5541</v>
      </c>
      <c r="D872" s="2" t="str">
        <f t="shared" si="12"/>
        <v>Error?</v>
      </c>
    </row>
    <row r="873" spans="1:4" x14ac:dyDescent="0.2">
      <c r="A873" s="5">
        <v>812</v>
      </c>
      <c r="B873" s="138">
        <f>'Expenditures 15-22'!E114</f>
        <v>278558</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129147</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142</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4774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147950</v>
      </c>
      <c r="C894" s="2" t="s">
        <v>573</v>
      </c>
      <c r="D894" s="2" t="str">
        <f t="shared" si="12"/>
        <v>Error?</v>
      </c>
    </row>
    <row r="895" spans="1:4" x14ac:dyDescent="0.2">
      <c r="A895" s="5">
        <v>834</v>
      </c>
      <c r="B895" s="138">
        <f>'Expenditures 15-22'!F36</f>
        <v>4448</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1457</v>
      </c>
      <c r="D897" s="2" t="str">
        <f t="shared" si="13"/>
        <v>Error?</v>
      </c>
    </row>
    <row r="898" spans="1:4" x14ac:dyDescent="0.2">
      <c r="A898" s="5">
        <v>837</v>
      </c>
      <c r="B898" s="138">
        <f>'Expenditures 15-22'!F39</f>
        <v>136</v>
      </c>
      <c r="D898" s="2" t="str">
        <f t="shared" si="13"/>
        <v>Error?</v>
      </c>
    </row>
    <row r="899" spans="1:4" x14ac:dyDescent="0.2">
      <c r="A899" s="5">
        <v>838</v>
      </c>
      <c r="B899" s="138">
        <f>'Expenditures 15-22'!F40</f>
        <v>769</v>
      </c>
      <c r="D899" s="2" t="str">
        <f t="shared" si="13"/>
        <v>Error?</v>
      </c>
    </row>
    <row r="900" spans="1:4" x14ac:dyDescent="0.2">
      <c r="A900" s="5">
        <v>839</v>
      </c>
      <c r="B900" s="138">
        <f>'Expenditures 15-22'!F41</f>
        <v>0</v>
      </c>
      <c r="D900" s="2" t="str">
        <f t="shared" si="13"/>
        <v>Error?</v>
      </c>
    </row>
    <row r="901" spans="1:4" x14ac:dyDescent="0.2">
      <c r="A901" s="5">
        <v>840</v>
      </c>
      <c r="B901" s="138">
        <f>'Expenditures 15-22'!F42</f>
        <v>6810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14121</v>
      </c>
      <c r="D903" s="2" t="str">
        <f t="shared" si="13"/>
        <v>Error?</v>
      </c>
    </row>
    <row r="904" spans="1:4" x14ac:dyDescent="0.2">
      <c r="A904" s="5">
        <v>843</v>
      </c>
      <c r="B904" s="138">
        <f>'Expenditures 15-22'!F46</f>
        <v>0</v>
      </c>
      <c r="D904" s="2" t="str">
        <f t="shared" si="13"/>
        <v>Error?</v>
      </c>
    </row>
    <row r="905" spans="1:4" x14ac:dyDescent="0.2">
      <c r="A905" s="5">
        <v>844</v>
      </c>
      <c r="B905" s="138">
        <f>'Expenditures 15-22'!F47</f>
        <v>14121</v>
      </c>
      <c r="C905" s="2" t="s">
        <v>573</v>
      </c>
      <c r="D905" s="2" t="str">
        <f t="shared" si="13"/>
        <v>Error?</v>
      </c>
    </row>
    <row r="906" spans="1:4" x14ac:dyDescent="0.2">
      <c r="A906" s="5">
        <v>845</v>
      </c>
      <c r="B906" s="138">
        <f>'Expenditures 15-22'!F49</f>
        <v>10529</v>
      </c>
      <c r="D906" s="2" t="str">
        <f t="shared" si="13"/>
        <v>Error?</v>
      </c>
    </row>
    <row r="907" spans="1:4" x14ac:dyDescent="0.2">
      <c r="A907" s="5">
        <v>846</v>
      </c>
      <c r="B907" s="138">
        <f>'Expenditures 15-22'!F50</f>
        <v>275</v>
      </c>
      <c r="D907" s="2" t="str">
        <f t="shared" si="13"/>
        <v>Error?</v>
      </c>
    </row>
    <row r="908" spans="1:4" x14ac:dyDescent="0.2">
      <c r="A908" s="5">
        <v>847</v>
      </c>
      <c r="B908" s="138">
        <f>'Expenditures 15-22'!F53</f>
        <v>10804</v>
      </c>
      <c r="C908" s="2" t="s">
        <v>573</v>
      </c>
      <c r="D908" s="2" t="str">
        <f t="shared" si="13"/>
        <v>Error?</v>
      </c>
    </row>
    <row r="909" spans="1:4" x14ac:dyDescent="0.2">
      <c r="A909" s="5">
        <v>848</v>
      </c>
      <c r="B909" s="138">
        <f>'Expenditures 15-22'!F55</f>
        <v>1283</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1283</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0</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2267</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2267</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139</v>
      </c>
      <c r="D928" s="2" t="str">
        <f t="shared" si="13"/>
        <v>Error?</v>
      </c>
    </row>
    <row r="929" spans="1:4" x14ac:dyDescent="0.2">
      <c r="A929" s="5">
        <v>868</v>
      </c>
      <c r="B929" s="138">
        <f>'Expenditures 15-22'!F74</f>
        <v>35424</v>
      </c>
      <c r="C929" s="2" t="s">
        <v>573</v>
      </c>
      <c r="D929" s="2" t="str">
        <f t="shared" si="13"/>
        <v>Error?</v>
      </c>
    </row>
    <row r="930" spans="1:4" x14ac:dyDescent="0.2">
      <c r="A930" s="5">
        <v>869</v>
      </c>
      <c r="B930" s="138">
        <f>'Expenditures 15-22'!F75</f>
        <v>1043</v>
      </c>
      <c r="D930" s="2" t="str">
        <f t="shared" si="13"/>
        <v>Error?</v>
      </c>
    </row>
    <row r="931" spans="1:4" x14ac:dyDescent="0.2">
      <c r="A931" s="5">
        <v>870</v>
      </c>
      <c r="B931" s="138">
        <f>'Expenditures 15-22'!F114</f>
        <v>184417</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0</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0</v>
      </c>
      <c r="C987" s="2" t="s">
        <v>573</v>
      </c>
      <c r="D987" s="2" t="str">
        <f t="shared" si="14"/>
        <v>Error?</v>
      </c>
    </row>
    <row r="988" spans="1:4" x14ac:dyDescent="0.2">
      <c r="A988" s="5">
        <v>927</v>
      </c>
      <c r="B988" s="138">
        <f>'Expenditures 15-22'!G75</f>
        <v>315</v>
      </c>
      <c r="D988" s="2" t="str">
        <f t="shared" si="14"/>
        <v>Error?</v>
      </c>
    </row>
    <row r="989" spans="1:4" x14ac:dyDescent="0.2">
      <c r="A989" s="5">
        <v>928</v>
      </c>
      <c r="B989" s="138">
        <f>'Expenditures 15-22'!G114</f>
        <v>315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90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0</v>
      </c>
      <c r="D1007" s="2" t="str">
        <f t="shared" si="14"/>
        <v>Error?</v>
      </c>
    </row>
    <row r="1008" spans="1:4" x14ac:dyDescent="0.2">
      <c r="A1008" s="5">
        <v>947</v>
      </c>
      <c r="B1008" s="138">
        <f>'Expenditures 15-22'!H14</f>
        <v>4241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191431</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764</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764</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3275</v>
      </c>
      <c r="D1022" s="2" t="str">
        <f t="shared" si="14"/>
        <v>Error?</v>
      </c>
    </row>
    <row r="1023" spans="1:4" x14ac:dyDescent="0.2">
      <c r="A1023" s="5">
        <v>962</v>
      </c>
      <c r="B1023" s="138">
        <f>'Expenditures 15-22'!H50</f>
        <v>2039</v>
      </c>
      <c r="D1023" s="2" t="str">
        <f t="shared" ref="D1023:D1086" si="15">IF(ISBLANK(B1023),"OK",IF(A1023-B1023=0,"OK","Error?"))</f>
        <v>Error?</v>
      </c>
    </row>
    <row r="1024" spans="1:4" x14ac:dyDescent="0.2">
      <c r="A1024" s="5">
        <v>963</v>
      </c>
      <c r="B1024" s="138">
        <f>'Expenditures 15-22'!H53</f>
        <v>5314</v>
      </c>
      <c r="C1024" s="2" t="s">
        <v>573</v>
      </c>
      <c r="D1024" s="2" t="str">
        <f t="shared" si="15"/>
        <v>Error?</v>
      </c>
    </row>
    <row r="1025" spans="1:4" x14ac:dyDescent="0.2">
      <c r="A1025" s="5">
        <v>964</v>
      </c>
      <c r="B1025" s="138">
        <f>'Expenditures 15-22'!H55</f>
        <v>368</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368</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6446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421960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619837</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2744058</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49704</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0</v>
      </c>
      <c r="C1105" s="2" t="s">
        <v>573</v>
      </c>
      <c r="D1105" s="2" t="str">
        <f t="shared" si="16"/>
        <v>Error?</v>
      </c>
    </row>
    <row r="1106" spans="1:4" x14ac:dyDescent="0.2">
      <c r="A1106" s="5">
        <v>1045</v>
      </c>
      <c r="B1106" s="138">
        <f>'Expenditures 15-22'!K14</f>
        <v>99999</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3908475</v>
      </c>
      <c r="C1108" s="2" t="s">
        <v>573</v>
      </c>
      <c r="D1108" s="2" t="str">
        <f t="shared" si="16"/>
        <v>Error?</v>
      </c>
    </row>
    <row r="1109" spans="1:4" x14ac:dyDescent="0.2">
      <c r="A1109" s="5">
        <v>1048</v>
      </c>
      <c r="B1109" s="138">
        <f>'Expenditures 15-22'!K36</f>
        <v>134859</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55363</v>
      </c>
      <c r="C1111" s="2" t="s">
        <v>573</v>
      </c>
      <c r="D1111" s="2" t="str">
        <f t="shared" si="16"/>
        <v>Error?</v>
      </c>
    </row>
    <row r="1112" spans="1:4" x14ac:dyDescent="0.2">
      <c r="A1112" s="5">
        <v>1051</v>
      </c>
      <c r="B1112" s="138">
        <f>'Expenditures 15-22'!K39</f>
        <v>65365</v>
      </c>
      <c r="C1112" s="2" t="s">
        <v>573</v>
      </c>
      <c r="D1112" s="2" t="str">
        <f t="shared" si="16"/>
        <v>Error?</v>
      </c>
    </row>
    <row r="1113" spans="1:4" x14ac:dyDescent="0.2">
      <c r="A1113" s="5">
        <v>1052</v>
      </c>
      <c r="B1113" s="138">
        <f>'Expenditures 15-22'!K40</f>
        <v>113899</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369486</v>
      </c>
      <c r="C1115" s="2" t="s">
        <v>573</v>
      </c>
      <c r="D1115" s="2" t="str">
        <f t="shared" si="16"/>
        <v>Error?</v>
      </c>
    </row>
    <row r="1116" spans="1:4" x14ac:dyDescent="0.2">
      <c r="A1116" s="5">
        <v>1055</v>
      </c>
      <c r="B1116" s="138">
        <f>'Expenditures 15-22'!K44</f>
        <v>59962</v>
      </c>
      <c r="C1116" s="2" t="s">
        <v>573</v>
      </c>
      <c r="D1116" s="2" t="str">
        <f t="shared" si="16"/>
        <v>Error?</v>
      </c>
    </row>
    <row r="1117" spans="1:4" x14ac:dyDescent="0.2">
      <c r="A1117" s="5">
        <v>1056</v>
      </c>
      <c r="B1117" s="138">
        <f>'Expenditures 15-22'!K45</f>
        <v>323706</v>
      </c>
      <c r="C1117" s="2" t="s">
        <v>573</v>
      </c>
      <c r="D1117" s="2" t="str">
        <f t="shared" si="16"/>
        <v>Error?</v>
      </c>
    </row>
    <row r="1118" spans="1:4" x14ac:dyDescent="0.2">
      <c r="A1118" s="5">
        <v>1057</v>
      </c>
      <c r="B1118" s="138">
        <f>'Expenditures 15-22'!K46</f>
        <v>1099</v>
      </c>
      <c r="C1118" s="2" t="s">
        <v>573</v>
      </c>
      <c r="D1118" s="2" t="str">
        <f t="shared" si="16"/>
        <v>Error?</v>
      </c>
    </row>
    <row r="1119" spans="1:4" x14ac:dyDescent="0.2">
      <c r="A1119" s="5">
        <v>1058</v>
      </c>
      <c r="B1119" s="138">
        <f>'Expenditures 15-22'!K47</f>
        <v>384767</v>
      </c>
      <c r="C1119" s="2" t="s">
        <v>573</v>
      </c>
      <c r="D1119" s="2" t="str">
        <f t="shared" si="16"/>
        <v>Error?</v>
      </c>
    </row>
    <row r="1120" spans="1:4" x14ac:dyDescent="0.2">
      <c r="A1120" s="5">
        <v>1059</v>
      </c>
      <c r="B1120" s="138">
        <f>'Expenditures 15-22'!K49</f>
        <v>54443</v>
      </c>
      <c r="C1120" s="2" t="s">
        <v>573</v>
      </c>
      <c r="D1120" s="2" t="str">
        <f t="shared" si="16"/>
        <v>Error?</v>
      </c>
    </row>
    <row r="1121" spans="1:4" x14ac:dyDescent="0.2">
      <c r="A1121" s="5">
        <v>1060</v>
      </c>
      <c r="B1121" s="138">
        <f>'Expenditures 15-22'!K50</f>
        <v>133061</v>
      </c>
      <c r="C1121" s="2" t="s">
        <v>573</v>
      </c>
      <c r="D1121" s="2" t="str">
        <f t="shared" si="16"/>
        <v>Error?</v>
      </c>
    </row>
    <row r="1122" spans="1:4" x14ac:dyDescent="0.2">
      <c r="A1122" s="5">
        <v>1061</v>
      </c>
      <c r="B1122" s="138">
        <f>'Expenditures 15-22'!K53</f>
        <v>230758</v>
      </c>
      <c r="C1122" s="2" t="s">
        <v>573</v>
      </c>
      <c r="D1122" s="2" t="str">
        <f t="shared" si="16"/>
        <v>Error?</v>
      </c>
    </row>
    <row r="1123" spans="1:4" x14ac:dyDescent="0.2">
      <c r="A1123" s="5">
        <v>1062</v>
      </c>
      <c r="B1123" s="138">
        <f>'Expenditures 15-22'!K55</f>
        <v>197131</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197131</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80885</v>
      </c>
      <c r="C1127" s="2" t="s">
        <v>573</v>
      </c>
      <c r="D1127" s="2" t="str">
        <f t="shared" si="16"/>
        <v>Error?</v>
      </c>
    </row>
    <row r="1128" spans="1:4" x14ac:dyDescent="0.2">
      <c r="A1128" s="5">
        <v>1067</v>
      </c>
      <c r="B1128" s="138">
        <f>'Expenditures 15-22'!K61</f>
        <v>0</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189409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270294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664</v>
      </c>
      <c r="C1139" s="2" t="s">
        <v>573</v>
      </c>
      <c r="D1139" s="2" t="str">
        <f t="shared" si="16"/>
        <v>Error?</v>
      </c>
    </row>
    <row r="1140" spans="1:4" x14ac:dyDescent="0.2">
      <c r="A1140" s="10">
        <v>1079</v>
      </c>
      <c r="D1140" s="2" t="str">
        <f t="shared" si="16"/>
        <v>OK</v>
      </c>
    </row>
    <row r="1141" spans="1:4" x14ac:dyDescent="0.2">
      <c r="A1141" s="5">
        <v>1080</v>
      </c>
      <c r="B1141" s="138">
        <f>'Expenditures 15-22'!K72</f>
        <v>664</v>
      </c>
      <c r="C1141" s="2" t="s">
        <v>573</v>
      </c>
      <c r="D1141" s="2" t="str">
        <f t="shared" si="16"/>
        <v>Error?</v>
      </c>
    </row>
    <row r="1142" spans="1:4" x14ac:dyDescent="0.2">
      <c r="A1142" s="5">
        <v>1081</v>
      </c>
      <c r="B1142" s="138">
        <f>'Expenditures 15-22'!K73</f>
        <v>139</v>
      </c>
      <c r="C1142" s="2" t="s">
        <v>573</v>
      </c>
      <c r="D1142" s="2" t="str">
        <f t="shared" si="16"/>
        <v>Error?</v>
      </c>
    </row>
    <row r="1143" spans="1:4" x14ac:dyDescent="0.2">
      <c r="A1143" s="5">
        <v>1082</v>
      </c>
      <c r="B1143" s="138">
        <f>'Expenditures 15-22'!K74</f>
        <v>1453239</v>
      </c>
      <c r="C1143" s="2" t="s">
        <v>573</v>
      </c>
      <c r="D1143" s="2" t="str">
        <f t="shared" si="16"/>
        <v>Error?</v>
      </c>
    </row>
    <row r="1144" spans="1:4" x14ac:dyDescent="0.2">
      <c r="A1144" s="5">
        <v>1083</v>
      </c>
      <c r="B1144" s="138">
        <f>'Expenditures 15-22'!K75</f>
        <v>6899</v>
      </c>
      <c r="C1144" s="2" t="s">
        <v>573</v>
      </c>
      <c r="D1144" s="2" t="str">
        <f t="shared" si="16"/>
        <v>Error?</v>
      </c>
    </row>
    <row r="1145" spans="1:4" x14ac:dyDescent="0.2">
      <c r="A1145" s="5">
        <v>1084</v>
      </c>
      <c r="B1145" s="138">
        <f>'Expenditures 15-22'!K102</f>
        <v>421960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5790573</v>
      </c>
      <c r="C1152" s="2" t="s">
        <v>573</v>
      </c>
      <c r="D1152" s="2" t="str">
        <f t="shared" si="17"/>
        <v>Error?</v>
      </c>
    </row>
    <row r="1153" spans="1:4" x14ac:dyDescent="0.2">
      <c r="A1153" s="5">
        <v>1092</v>
      </c>
      <c r="B1153" s="138">
        <f>'Expenditures 15-22'!K115</f>
        <v>-43134</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23450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177354</v>
      </c>
      <c r="D1221" s="2" t="str">
        <f t="shared" si="18"/>
        <v>Error?</v>
      </c>
    </row>
    <row r="1222" spans="1:4" x14ac:dyDescent="0.2">
      <c r="A1222" s="10">
        <v>1161</v>
      </c>
      <c r="D1222" s="2" t="str">
        <f t="shared" si="18"/>
        <v>OK</v>
      </c>
    </row>
    <row r="1223" spans="1:4" x14ac:dyDescent="0.2">
      <c r="A1223" s="5">
        <v>1162</v>
      </c>
      <c r="B1223" s="138">
        <f>'Expenditures 15-22'!C127</f>
        <v>200804</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200804</v>
      </c>
      <c r="C1225" s="2" t="s">
        <v>573</v>
      </c>
      <c r="D1225" s="2" t="str">
        <f t="shared" si="18"/>
        <v>Error?</v>
      </c>
    </row>
    <row r="1226" spans="1:4" x14ac:dyDescent="0.2">
      <c r="A1226" s="5">
        <v>1165</v>
      </c>
      <c r="B1226" s="138">
        <f>'Expenditures 15-22'!C151</f>
        <v>200804</v>
      </c>
      <c r="C1226" s="2" t="s">
        <v>573</v>
      </c>
      <c r="D1226" s="2" t="str">
        <f t="shared" si="18"/>
        <v>Error?</v>
      </c>
    </row>
    <row r="1227" spans="1:4" x14ac:dyDescent="0.2">
      <c r="A1227" s="5">
        <v>1166</v>
      </c>
      <c r="B1227" s="138">
        <f>'Expenditures 15-22'!D122</f>
        <v>4002</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18107</v>
      </c>
      <c r="D1229" s="2" t="str">
        <f t="shared" si="18"/>
        <v>Error?</v>
      </c>
    </row>
    <row r="1230" spans="1:4" x14ac:dyDescent="0.2">
      <c r="A1230" s="10">
        <v>1169</v>
      </c>
      <c r="D1230" s="2" t="str">
        <f t="shared" si="18"/>
        <v>OK</v>
      </c>
    </row>
    <row r="1231" spans="1:4" x14ac:dyDescent="0.2">
      <c r="A1231" s="5">
        <v>1170</v>
      </c>
      <c r="B1231" s="138">
        <f>'Expenditures 15-22'!D127</f>
        <v>22109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22109</v>
      </c>
      <c r="C1233" s="2" t="s">
        <v>573</v>
      </c>
      <c r="D1233" s="2" t="str">
        <f t="shared" si="18"/>
        <v>Error?</v>
      </c>
    </row>
    <row r="1234" spans="1:4" x14ac:dyDescent="0.2">
      <c r="A1234" s="5">
        <v>1173</v>
      </c>
      <c r="B1234" s="138">
        <f>'Expenditures 15-22'!D151</f>
        <v>22109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66629</v>
      </c>
      <c r="D1237" s="2" t="str">
        <f t="shared" si="18"/>
        <v>Error?</v>
      </c>
    </row>
    <row r="1238" spans="1:4" x14ac:dyDescent="0.2">
      <c r="A1238" s="10">
        <v>1177</v>
      </c>
      <c r="D1238" s="2" t="str">
        <f t="shared" si="18"/>
        <v>OK</v>
      </c>
    </row>
    <row r="1239" spans="1:4" x14ac:dyDescent="0.2">
      <c r="A1239" s="5">
        <v>1178</v>
      </c>
      <c r="B1239" s="138">
        <f>'Expenditures 15-22'!E127</f>
        <v>66629</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66629</v>
      </c>
      <c r="C1241" s="2" t="s">
        <v>573</v>
      </c>
      <c r="D1241" s="2" t="str">
        <f t="shared" si="18"/>
        <v>Error?</v>
      </c>
    </row>
    <row r="1242" spans="1:4" x14ac:dyDescent="0.2">
      <c r="A1242" s="5">
        <v>1181</v>
      </c>
      <c r="B1242" s="138">
        <f>'Expenditures 15-22'!E151</f>
        <v>66629</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145244</v>
      </c>
      <c r="D1245" s="2" t="str">
        <f t="shared" si="18"/>
        <v>Error?</v>
      </c>
    </row>
    <row r="1246" spans="1:4" x14ac:dyDescent="0.2">
      <c r="A1246" s="10">
        <v>1185</v>
      </c>
      <c r="D1246" s="2" t="str">
        <f t="shared" si="18"/>
        <v>OK</v>
      </c>
    </row>
    <row r="1247" spans="1:4" x14ac:dyDescent="0.2">
      <c r="A1247" s="5">
        <v>1186</v>
      </c>
      <c r="B1247" s="138">
        <f>'Expenditures 15-22'!F127</f>
        <v>145244</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145244</v>
      </c>
      <c r="C1249" s="2" t="s">
        <v>573</v>
      </c>
      <c r="D1249" s="2" t="str">
        <f t="shared" si="18"/>
        <v>Error?</v>
      </c>
    </row>
    <row r="1250" spans="1:4" x14ac:dyDescent="0.2">
      <c r="A1250" s="5">
        <v>1189</v>
      </c>
      <c r="B1250" s="138">
        <f>'Expenditures 15-22'!F151</f>
        <v>145244</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4449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4449</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4449</v>
      </c>
      <c r="C1258" s="2" t="s">
        <v>573</v>
      </c>
      <c r="D1258" s="2" t="str">
        <f t="shared" si="18"/>
        <v>Error?</v>
      </c>
    </row>
    <row r="1259" spans="1:4" x14ac:dyDescent="0.2">
      <c r="A1259" s="5">
        <v>1198</v>
      </c>
      <c r="B1259" s="138">
        <f>'Expenditures 15-22'!G151</f>
        <v>4449</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27452</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411783</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439235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439235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439235</v>
      </c>
      <c r="C1288" s="2" t="s">
        <v>573</v>
      </c>
      <c r="D1288" s="2" t="str">
        <f t="shared" si="19"/>
        <v>Error?</v>
      </c>
    </row>
    <row r="1289" spans="1:4" x14ac:dyDescent="0.2">
      <c r="A1289" s="5">
        <v>1228</v>
      </c>
      <c r="B1289" s="138">
        <f>'Expenditures 15-22'!K152</f>
        <v>86490</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296600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700000</v>
      </c>
      <c r="D1315" s="2" t="str">
        <f t="shared" si="19"/>
        <v>Error?</v>
      </c>
    </row>
    <row r="1316" spans="1:4" x14ac:dyDescent="0.2">
      <c r="A1316" s="5">
        <v>1255</v>
      </c>
      <c r="B1316" s="138">
        <f>'Expenditures 15-22'!H171</f>
        <v>450</v>
      </c>
      <c r="D1316" s="2" t="str">
        <f t="shared" si="19"/>
        <v>Error?</v>
      </c>
    </row>
    <row r="1317" spans="1:4" x14ac:dyDescent="0.2">
      <c r="A1317" s="5">
        <v>1256</v>
      </c>
      <c r="B1317" s="138">
        <f>'Expenditures 15-22'!H172</f>
        <v>997050</v>
      </c>
      <c r="C1317" s="2" t="s">
        <v>573</v>
      </c>
      <c r="D1317" s="2" t="str">
        <f t="shared" si="19"/>
        <v>Error?</v>
      </c>
    </row>
    <row r="1318" spans="1:4" x14ac:dyDescent="0.2">
      <c r="A1318" s="5">
        <v>1257</v>
      </c>
      <c r="B1318" s="138">
        <f>'Expenditures 15-22'!H174</f>
        <v>997050</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296600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700000</v>
      </c>
      <c r="C1329" s="2" t="s">
        <v>573</v>
      </c>
      <c r="D1329" s="2" t="str">
        <f t="shared" si="19"/>
        <v>Error?</v>
      </c>
    </row>
    <row r="1330" spans="1:4" x14ac:dyDescent="0.2">
      <c r="A1330" s="5">
        <v>1269</v>
      </c>
      <c r="B1330" s="138">
        <f>'Expenditures 15-22'!K171</f>
        <v>450</v>
      </c>
      <c r="C1330" s="2" t="s">
        <v>573</v>
      </c>
      <c r="D1330" s="2" t="str">
        <f t="shared" si="19"/>
        <v>Error?</v>
      </c>
    </row>
    <row r="1331" spans="1:4" x14ac:dyDescent="0.2">
      <c r="A1331" s="5">
        <v>1270</v>
      </c>
      <c r="B1331" s="138">
        <f>'Expenditures 15-22'!K172</f>
        <v>997050</v>
      </c>
      <c r="C1331" s="2" t="s">
        <v>573</v>
      </c>
      <c r="D1331" s="2" t="str">
        <f t="shared" si="19"/>
        <v>Error?</v>
      </c>
    </row>
    <row r="1332" spans="1:4" x14ac:dyDescent="0.2">
      <c r="A1332" s="5">
        <v>1271</v>
      </c>
      <c r="B1332" s="138">
        <f>'Expenditures 15-22'!K174</f>
        <v>997050</v>
      </c>
      <c r="C1332" s="2" t="s">
        <v>573</v>
      </c>
      <c r="D1332" s="2" t="str">
        <f t="shared" si="19"/>
        <v>Error?</v>
      </c>
    </row>
    <row r="1333" spans="1:4" x14ac:dyDescent="0.2">
      <c r="A1333" s="5">
        <v>1272</v>
      </c>
      <c r="B1333" s="138">
        <f>'Expenditures 15-22'!K175</f>
        <v>316807</v>
      </c>
      <c r="C1333" s="2" t="s">
        <v>573</v>
      </c>
      <c r="D1333" s="2" t="str">
        <f t="shared" si="19"/>
        <v>Error?</v>
      </c>
    </row>
    <row r="1334" spans="1:4" x14ac:dyDescent="0.2">
      <c r="A1334" s="10">
        <v>1273</v>
      </c>
      <c r="D1334" s="2" t="str">
        <f t="shared" si="19"/>
        <v>OK</v>
      </c>
    </row>
    <row r="1335" spans="1:4" x14ac:dyDescent="0.2">
      <c r="A1335" s="5">
        <v>1274</v>
      </c>
      <c r="B1335" s="138">
        <f>'Expenditures 15-22'!C182</f>
        <v>791848</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791848</v>
      </c>
      <c r="C1339" s="2" t="s">
        <v>573</v>
      </c>
      <c r="D1339" s="2" t="str">
        <f t="shared" si="19"/>
        <v>Error?</v>
      </c>
    </row>
    <row r="1340" spans="1:4" x14ac:dyDescent="0.2">
      <c r="A1340" s="5">
        <v>1279</v>
      </c>
      <c r="B1340" s="138">
        <f>'Expenditures 15-22'!C210</f>
        <v>791848</v>
      </c>
      <c r="C1340" s="2" t="s">
        <v>573</v>
      </c>
      <c r="D1340" s="2" t="str">
        <f t="shared" si="19"/>
        <v>Error?</v>
      </c>
    </row>
    <row r="1341" spans="1:4" x14ac:dyDescent="0.2">
      <c r="A1341" s="5">
        <v>1280</v>
      </c>
      <c r="B1341" s="138">
        <f>'Expenditures 15-22'!D182</f>
        <v>18290</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18290</v>
      </c>
      <c r="C1345" s="2" t="s">
        <v>573</v>
      </c>
      <c r="D1345" s="2" t="str">
        <f t="shared" si="20"/>
        <v>Error?</v>
      </c>
    </row>
    <row r="1346" spans="1:4" x14ac:dyDescent="0.2">
      <c r="A1346" s="5">
        <v>1285</v>
      </c>
      <c r="B1346" s="138">
        <f>'Expenditures 15-22'!D210</f>
        <v>18290</v>
      </c>
      <c r="C1346" s="2" t="s">
        <v>573</v>
      </c>
      <c r="D1346" s="2" t="str">
        <f t="shared" si="20"/>
        <v>Error?</v>
      </c>
    </row>
    <row r="1347" spans="1:4" x14ac:dyDescent="0.2">
      <c r="A1347" s="5">
        <v>1286</v>
      </c>
      <c r="B1347" s="138">
        <f>'Expenditures 15-22'!E182</f>
        <v>152289</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152289</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152289</v>
      </c>
      <c r="C1353" s="2" t="s">
        <v>573</v>
      </c>
      <c r="D1353" s="2" t="str">
        <f t="shared" si="20"/>
        <v>Error?</v>
      </c>
    </row>
    <row r="1354" spans="1:4" x14ac:dyDescent="0.2">
      <c r="A1354" s="5">
        <v>1293</v>
      </c>
      <c r="B1354" s="138">
        <f>'Expenditures 15-22'!F182</f>
        <v>198033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198033</v>
      </c>
      <c r="C1358" s="2" t="s">
        <v>573</v>
      </c>
      <c r="D1358" s="2" t="str">
        <f t="shared" si="20"/>
        <v>Error?</v>
      </c>
    </row>
    <row r="1359" spans="1:4" x14ac:dyDescent="0.2">
      <c r="A1359" s="5">
        <v>1298</v>
      </c>
      <c r="B1359" s="138">
        <f>'Expenditures 15-22'!F210</f>
        <v>198033</v>
      </c>
      <c r="C1359" s="2" t="s">
        <v>573</v>
      </c>
      <c r="D1359" s="2" t="str">
        <f t="shared" si="20"/>
        <v>Error?</v>
      </c>
    </row>
    <row r="1360" spans="1:4" x14ac:dyDescent="0.2">
      <c r="A1360" s="5">
        <v>1299</v>
      </c>
      <c r="B1360" s="138">
        <f>'Expenditures 15-22'!G182</f>
        <v>414175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414175</v>
      </c>
      <c r="C1364" s="2" t="s">
        <v>573</v>
      </c>
      <c r="D1364" s="2" t="str">
        <f t="shared" si="20"/>
        <v>Error?</v>
      </c>
    </row>
    <row r="1365" spans="1:4" x14ac:dyDescent="0.2">
      <c r="A1365" s="5">
        <v>1304</v>
      </c>
      <c r="B1365" s="138">
        <f>'Expenditures 15-22'!G210</f>
        <v>414175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1575592</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1575592</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1575592</v>
      </c>
      <c r="C1388" s="2" t="s">
        <v>573</v>
      </c>
      <c r="D1388" s="2" t="str">
        <f t="shared" si="20"/>
        <v>Error?</v>
      </c>
    </row>
    <row r="1389" spans="1:4" x14ac:dyDescent="0.2">
      <c r="A1389" s="5">
        <v>1328</v>
      </c>
      <c r="B1389" s="138">
        <f>'Expenditures 15-22'!K211</f>
        <v>-25000</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1309</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1885</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88891</v>
      </c>
      <c r="C1410" s="2" t="s">
        <v>573</v>
      </c>
      <c r="D1410" s="2" t="str">
        <f t="shared" si="21"/>
        <v>Error?</v>
      </c>
    </row>
    <row r="1411" spans="1:4" x14ac:dyDescent="0.2">
      <c r="A1411" s="5">
        <v>1350</v>
      </c>
      <c r="B1411" s="138">
        <f>'Expenditures 15-22'!D232</f>
        <v>1643</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8895</v>
      </c>
      <c r="D1413" s="2" t="str">
        <f t="shared" si="21"/>
        <v>Error?</v>
      </c>
    </row>
    <row r="1414" spans="1:4" x14ac:dyDescent="0.2">
      <c r="A1414" s="5">
        <v>1353</v>
      </c>
      <c r="B1414" s="138">
        <f>'Expenditures 15-22'!D235</f>
        <v>1415</v>
      </c>
      <c r="D1414" s="2" t="str">
        <f t="shared" si="21"/>
        <v>Error?</v>
      </c>
    </row>
    <row r="1415" spans="1:4" x14ac:dyDescent="0.2">
      <c r="A1415" s="5">
        <v>1354</v>
      </c>
      <c r="B1415" s="138">
        <f>'Expenditures 15-22'!D236</f>
        <v>1323</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13276</v>
      </c>
      <c r="C1417" s="2" t="s">
        <v>573</v>
      </c>
      <c r="D1417" s="2" t="str">
        <f t="shared" si="21"/>
        <v>Error?</v>
      </c>
    </row>
    <row r="1418" spans="1:4" x14ac:dyDescent="0.2">
      <c r="A1418" s="5">
        <v>1357</v>
      </c>
      <c r="B1418" s="138">
        <f>'Expenditures 15-22'!D240</f>
        <v>326</v>
      </c>
      <c r="D1418" s="2" t="str">
        <f t="shared" si="21"/>
        <v>Error?</v>
      </c>
    </row>
    <row r="1419" spans="1:4" x14ac:dyDescent="0.2">
      <c r="A1419" s="5">
        <v>1358</v>
      </c>
      <c r="B1419" s="138">
        <f>'Expenditures 15-22'!D241</f>
        <v>9898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10224</v>
      </c>
      <c r="C1421" s="2" t="s">
        <v>573</v>
      </c>
      <c r="D1421" s="2" t="str">
        <f t="shared" si="21"/>
        <v>Error?</v>
      </c>
    </row>
    <row r="1422" spans="1:4" x14ac:dyDescent="0.2">
      <c r="A1422" s="5">
        <v>1361</v>
      </c>
      <c r="B1422" s="138">
        <f>'Expenditures 15-22'!D245</f>
        <v>262</v>
      </c>
      <c r="D1422" s="2" t="str">
        <f t="shared" si="21"/>
        <v>Error?</v>
      </c>
    </row>
    <row r="1423" spans="1:4" x14ac:dyDescent="0.2">
      <c r="A1423" s="5">
        <v>1362</v>
      </c>
      <c r="B1423" s="138">
        <f>'Expenditures 15-22'!D246</f>
        <v>7833</v>
      </c>
      <c r="D1423" s="2" t="str">
        <f t="shared" si="21"/>
        <v>Error?</v>
      </c>
    </row>
    <row r="1424" spans="1:4" x14ac:dyDescent="0.2">
      <c r="A1424" s="5">
        <v>1363</v>
      </c>
      <c r="B1424" s="138">
        <f>'Expenditures 15-22'!D257</f>
        <v>16547</v>
      </c>
      <c r="C1424" s="2" t="s">
        <v>573</v>
      </c>
      <c r="D1424" s="2" t="str">
        <f t="shared" si="21"/>
        <v>Error?</v>
      </c>
    </row>
    <row r="1425" spans="1:4" x14ac:dyDescent="0.2">
      <c r="A1425" s="5">
        <v>1364</v>
      </c>
      <c r="B1425" s="138">
        <f>'Expenditures 15-22'!D259</f>
        <v>14062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14062</v>
      </c>
      <c r="C1427" s="2" t="s">
        <v>573</v>
      </c>
      <c r="D1427" s="2" t="str">
        <f t="shared" si="21"/>
        <v>Error?</v>
      </c>
    </row>
    <row r="1428" spans="1:4" x14ac:dyDescent="0.2">
      <c r="A1428" s="5">
        <v>1367</v>
      </c>
      <c r="B1428" s="138">
        <f>'Expenditures 15-22'!D263</f>
        <v>329</v>
      </c>
      <c r="D1428" s="2" t="str">
        <f t="shared" si="21"/>
        <v>Error?</v>
      </c>
    </row>
    <row r="1429" spans="1:4" x14ac:dyDescent="0.2">
      <c r="A1429" s="5">
        <v>1368</v>
      </c>
      <c r="B1429" s="138">
        <f>'Expenditures 15-22'!D264</f>
        <v>9872</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28020</v>
      </c>
      <c r="D1431" s="2" t="str">
        <f t="shared" si="21"/>
        <v>Error?</v>
      </c>
    </row>
    <row r="1432" spans="1:4" x14ac:dyDescent="0.2">
      <c r="A1432" s="5">
        <v>1371</v>
      </c>
      <c r="B1432" s="138">
        <f>'Expenditures 15-22'!D267</f>
        <v>123602</v>
      </c>
      <c r="D1432" s="2" t="str">
        <f t="shared" si="21"/>
        <v>Error?</v>
      </c>
    </row>
    <row r="1433" spans="1:4" x14ac:dyDescent="0.2">
      <c r="A1433" s="5">
        <v>1372</v>
      </c>
      <c r="B1433" s="138">
        <f>'Expenditures 15-22'!D268</f>
        <v>6756</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168579</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222688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311579</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1309</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1885</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88891</v>
      </c>
      <c r="C1474" s="2" t="s">
        <v>573</v>
      </c>
      <c r="D1474" s="2" t="str">
        <f t="shared" si="22"/>
        <v>Error?</v>
      </c>
    </row>
    <row r="1475" spans="1:4" x14ac:dyDescent="0.2">
      <c r="A1475" s="5">
        <v>1414</v>
      </c>
      <c r="B1475" s="138">
        <f>'Expenditures 15-22'!K232</f>
        <v>1643</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8895</v>
      </c>
      <c r="C1477" s="2" t="s">
        <v>573</v>
      </c>
      <c r="D1477" s="2" t="str">
        <f t="shared" si="22"/>
        <v>Error?</v>
      </c>
    </row>
    <row r="1478" spans="1:4" x14ac:dyDescent="0.2">
      <c r="A1478" s="5">
        <v>1417</v>
      </c>
      <c r="B1478" s="138">
        <f>'Expenditures 15-22'!K235</f>
        <v>1415</v>
      </c>
      <c r="C1478" s="2" t="s">
        <v>573</v>
      </c>
      <c r="D1478" s="2" t="str">
        <f t="shared" si="22"/>
        <v>Error?</v>
      </c>
    </row>
    <row r="1479" spans="1:4" x14ac:dyDescent="0.2">
      <c r="A1479" s="5">
        <v>1418</v>
      </c>
      <c r="B1479" s="138">
        <f>'Expenditures 15-22'!K236</f>
        <v>1323</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13276</v>
      </c>
      <c r="C1481" s="2" t="s">
        <v>573</v>
      </c>
      <c r="D1481" s="2" t="str">
        <f t="shared" si="22"/>
        <v>Error?</v>
      </c>
    </row>
    <row r="1482" spans="1:4" x14ac:dyDescent="0.2">
      <c r="A1482" s="5">
        <v>1421</v>
      </c>
      <c r="B1482" s="138">
        <f>'Expenditures 15-22'!K240</f>
        <v>326</v>
      </c>
      <c r="C1482" s="2" t="s">
        <v>573</v>
      </c>
      <c r="D1482" s="2" t="str">
        <f t="shared" si="22"/>
        <v>Error?</v>
      </c>
    </row>
    <row r="1483" spans="1:4" x14ac:dyDescent="0.2">
      <c r="A1483" s="5">
        <v>1422</v>
      </c>
      <c r="B1483" s="138">
        <f>'Expenditures 15-22'!K241</f>
        <v>9898</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10224</v>
      </c>
      <c r="C1485" s="2" t="s">
        <v>573</v>
      </c>
      <c r="D1485" s="2" t="str">
        <f t="shared" si="22"/>
        <v>Error?</v>
      </c>
    </row>
    <row r="1486" spans="1:4" x14ac:dyDescent="0.2">
      <c r="A1486" s="5">
        <v>1425</v>
      </c>
      <c r="B1486" s="138">
        <f>'Expenditures 15-22'!K245</f>
        <v>262</v>
      </c>
      <c r="C1486" s="2" t="s">
        <v>573</v>
      </c>
      <c r="D1486" s="2" t="str">
        <f t="shared" si="22"/>
        <v>Error?</v>
      </c>
    </row>
    <row r="1487" spans="1:4" x14ac:dyDescent="0.2">
      <c r="A1487" s="5">
        <v>1426</v>
      </c>
      <c r="B1487" s="138">
        <f>'Expenditures 15-22'!K246</f>
        <v>7833</v>
      </c>
      <c r="C1487" s="2" t="s">
        <v>573</v>
      </c>
      <c r="D1487" s="2" t="str">
        <f t="shared" si="22"/>
        <v>Error?</v>
      </c>
    </row>
    <row r="1488" spans="1:4" x14ac:dyDescent="0.2">
      <c r="A1488" s="5">
        <v>1427</v>
      </c>
      <c r="B1488" s="138">
        <f>'Expenditures 15-22'!K257</f>
        <v>16547</v>
      </c>
      <c r="C1488" s="2" t="s">
        <v>573</v>
      </c>
      <c r="D1488" s="2" t="str">
        <f t="shared" si="22"/>
        <v>Error?</v>
      </c>
    </row>
    <row r="1489" spans="1:4" x14ac:dyDescent="0.2">
      <c r="A1489" s="5">
        <v>1428</v>
      </c>
      <c r="B1489" s="138">
        <f>'Expenditures 15-22'!K259</f>
        <v>14062</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14062</v>
      </c>
      <c r="C1491" s="2" t="s">
        <v>573</v>
      </c>
      <c r="D1491" s="2" t="str">
        <f t="shared" si="22"/>
        <v>Error?</v>
      </c>
    </row>
    <row r="1492" spans="1:4" x14ac:dyDescent="0.2">
      <c r="A1492" s="5">
        <v>1431</v>
      </c>
      <c r="B1492" s="138">
        <f>'Expenditures 15-22'!K263</f>
        <v>329</v>
      </c>
      <c r="C1492" s="2" t="s">
        <v>573</v>
      </c>
      <c r="D1492" s="2" t="str">
        <f t="shared" si="22"/>
        <v>Error?</v>
      </c>
    </row>
    <row r="1493" spans="1:4" x14ac:dyDescent="0.2">
      <c r="A1493" s="5">
        <v>1432</v>
      </c>
      <c r="B1493" s="138">
        <f>'Expenditures 15-22'!K264</f>
        <v>9872</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28020</v>
      </c>
      <c r="C1495" s="2" t="s">
        <v>573</v>
      </c>
      <c r="D1495" s="2" t="str">
        <f t="shared" si="22"/>
        <v>Error?</v>
      </c>
    </row>
    <row r="1496" spans="1:4" x14ac:dyDescent="0.2">
      <c r="A1496" s="5">
        <v>1435</v>
      </c>
      <c r="B1496" s="138">
        <f>'Expenditures 15-22'!K267</f>
        <v>123602</v>
      </c>
      <c r="C1496" s="2" t="s">
        <v>573</v>
      </c>
      <c r="D1496" s="2" t="str">
        <f t="shared" si="22"/>
        <v>Error?</v>
      </c>
    </row>
    <row r="1497" spans="1:4" x14ac:dyDescent="0.2">
      <c r="A1497" s="5">
        <v>1436</v>
      </c>
      <c r="B1497" s="138">
        <f>'Expenditures 15-22'!K268</f>
        <v>6756</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168579</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222688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311579</v>
      </c>
      <c r="C1517" s="2" t="s">
        <v>573</v>
      </c>
      <c r="D1517" s="2" t="str">
        <f t="shared" si="22"/>
        <v>Error?</v>
      </c>
    </row>
    <row r="1518" spans="1:4" x14ac:dyDescent="0.2">
      <c r="A1518" s="5">
        <v>1457</v>
      </c>
      <c r="B1518" s="138">
        <f>'Expenditures 15-22'!K296</f>
        <v>-44575</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250498</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250498</v>
      </c>
      <c r="C1535" s="2" t="s">
        <v>573</v>
      </c>
      <c r="D1535" s="2" t="str">
        <f t="shared" ref="D1535:D1598" si="23">IF(ISBLANK(B1535),"OK",IF(A1535-B1535=0,"OK","Error?"))</f>
        <v>Error?</v>
      </c>
    </row>
    <row r="1536" spans="1:4" x14ac:dyDescent="0.2">
      <c r="A1536" s="5">
        <v>1475</v>
      </c>
      <c r="B1536" s="138">
        <f>'Expenditures 15-22'!E312</f>
        <v>250498</v>
      </c>
      <c r="C1536" s="2" t="s">
        <v>573</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573</v>
      </c>
      <c r="D1541" s="2" t="str">
        <f t="shared" si="23"/>
        <v>Error?</v>
      </c>
    </row>
    <row r="1542" spans="1:4" x14ac:dyDescent="0.2">
      <c r="A1542" s="5">
        <v>1481</v>
      </c>
      <c r="B1542" s="138">
        <f>'Expenditures 15-22'!F312</f>
        <v>0</v>
      </c>
      <c r="C1542" s="2" t="s">
        <v>573</v>
      </c>
      <c r="D1542" s="2" t="str">
        <f t="shared" si="23"/>
        <v>Error?</v>
      </c>
    </row>
    <row r="1543" spans="1:4" x14ac:dyDescent="0.2">
      <c r="A1543" s="5">
        <v>1482</v>
      </c>
      <c r="B1543" s="138">
        <f>'Expenditures 15-22'!G301</f>
        <v>80537</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80537</v>
      </c>
      <c r="C1547" s="2" t="s">
        <v>573</v>
      </c>
      <c r="D1547" s="2" t="str">
        <f t="shared" si="23"/>
        <v>Error?</v>
      </c>
    </row>
    <row r="1548" spans="1:4" x14ac:dyDescent="0.2">
      <c r="A1548" s="5">
        <v>1487</v>
      </c>
      <c r="B1548" s="138">
        <f>'Expenditures 15-22'!G312</f>
        <v>80537</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6557</v>
      </c>
      <c r="C1554" s="2" t="s">
        <v>573</v>
      </c>
      <c r="D1554" s="2" t="str">
        <f t="shared" si="23"/>
        <v>Error?</v>
      </c>
    </row>
    <row r="1555" spans="1:4" x14ac:dyDescent="0.2">
      <c r="A1555" s="5">
        <v>1494</v>
      </c>
      <c r="B1555" s="138">
        <f>'Expenditures 15-22'!K301</f>
        <v>346172</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346172</v>
      </c>
      <c r="C1559" s="2" t="s">
        <v>573</v>
      </c>
      <c r="D1559" s="2" t="str">
        <f t="shared" si="23"/>
        <v>Error?</v>
      </c>
    </row>
    <row r="1560" spans="1:4" x14ac:dyDescent="0.2">
      <c r="A1560" s="5">
        <v>1499</v>
      </c>
      <c r="B1560" s="138">
        <f>'Expenditures 15-22'!K312</f>
        <v>352729</v>
      </c>
      <c r="C1560" s="2" t="s">
        <v>573</v>
      </c>
      <c r="D1560" s="2" t="str">
        <f t="shared" si="23"/>
        <v>Error?</v>
      </c>
    </row>
    <row r="1561" spans="1:4" x14ac:dyDescent="0.2">
      <c r="A1561" s="5">
        <v>1500</v>
      </c>
      <c r="B1561" s="138">
        <f>'Expenditures 15-22'!K313</f>
        <v>-310351</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2500307</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2637173</v>
      </c>
      <c r="C1630" s="2" t="s">
        <v>573</v>
      </c>
      <c r="D1630" s="2" t="str">
        <f t="shared" si="24"/>
        <v>Error?</v>
      </c>
    </row>
    <row r="1631" spans="1:4" x14ac:dyDescent="0.2">
      <c r="A1631" s="5">
        <v>1570</v>
      </c>
      <c r="B1631" s="138">
        <f>'Acct Summary 7-8'!D79</f>
        <v>692568</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699058</v>
      </c>
      <c r="C1644" s="2" t="s">
        <v>573</v>
      </c>
      <c r="D1644" s="2" t="str">
        <f t="shared" si="24"/>
        <v>Error?</v>
      </c>
    </row>
    <row r="1645" spans="1:4" x14ac:dyDescent="0.2">
      <c r="A1645" s="5">
        <v>1584</v>
      </c>
      <c r="B1645" s="138">
        <f>'Acct Summary 7-8'!E79</f>
        <v>633175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949982</v>
      </c>
      <c r="C1658" s="2" t="s">
        <v>573</v>
      </c>
      <c r="D1658" s="2" t="str">
        <f t="shared" si="24"/>
        <v>Error?</v>
      </c>
    </row>
    <row r="1659" spans="1:4" x14ac:dyDescent="0.2">
      <c r="A1659" s="5">
        <v>1598</v>
      </c>
      <c r="B1659" s="138">
        <f>'Acct Summary 7-8'!F79</f>
        <v>721240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696240</v>
      </c>
      <c r="C1672" s="2" t="s">
        <v>573</v>
      </c>
      <c r="D1672" s="2" t="str">
        <f t="shared" si="25"/>
        <v>Error?</v>
      </c>
    </row>
    <row r="1673" spans="1:4" x14ac:dyDescent="0.2">
      <c r="A1673" s="5">
        <v>1612</v>
      </c>
      <c r="B1673" s="138">
        <f>'Acct Summary 7-8'!G79</f>
        <v>201433</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156858</v>
      </c>
      <c r="C1686" s="2" t="s">
        <v>573</v>
      </c>
      <c r="D1686" s="2" t="str">
        <f t="shared" si="25"/>
        <v>Error?</v>
      </c>
    </row>
    <row r="1687" spans="1:4" x14ac:dyDescent="0.2">
      <c r="A1687" s="5">
        <v>1626</v>
      </c>
      <c r="B1687" s="138">
        <f>'Acct Summary 7-8'!H79</f>
        <v>469469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159118</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3373433</v>
      </c>
      <c r="C1744" s="2" t="s">
        <v>573</v>
      </c>
      <c r="D1744" s="2" t="str">
        <f t="shared" si="26"/>
        <v>Error?</v>
      </c>
    </row>
    <row r="1745" spans="1:5" x14ac:dyDescent="0.2">
      <c r="A1745" s="5">
        <v>1684</v>
      </c>
      <c r="B1745" s="138">
        <f>'Tax Sched 23'!B5</f>
        <v>471150</v>
      </c>
      <c r="C1745" s="2" t="s">
        <v>573</v>
      </c>
      <c r="D1745" s="2" t="str">
        <f t="shared" si="26"/>
        <v>Error?</v>
      </c>
    </row>
    <row r="1746" spans="1:5" x14ac:dyDescent="0.2">
      <c r="A1746" s="5">
        <v>1685</v>
      </c>
      <c r="B1746" s="138">
        <f>'Tax Sched 23'!B6</f>
        <v>865762</v>
      </c>
      <c r="C1746" s="2" t="s">
        <v>573</v>
      </c>
      <c r="D1746" s="2" t="str">
        <f t="shared" si="26"/>
        <v>Error?</v>
      </c>
    </row>
    <row r="1747" spans="1:5" x14ac:dyDescent="0.2">
      <c r="A1747" s="5">
        <v>1686</v>
      </c>
      <c r="B1747" s="138">
        <f>'Tax Sched 23'!B7</f>
        <v>226152</v>
      </c>
      <c r="C1747" s="2" t="s">
        <v>573</v>
      </c>
      <c r="D1747" s="2" t="str">
        <f t="shared" si="26"/>
        <v>Error?</v>
      </c>
    </row>
    <row r="1748" spans="1:5" x14ac:dyDescent="0.2">
      <c r="A1748" s="5">
        <v>1687</v>
      </c>
      <c r="B1748" s="138">
        <f>'Tax Sched 23'!B8</f>
        <v>69374</v>
      </c>
      <c r="C1748" s="2" t="s">
        <v>573</v>
      </c>
      <c r="D1748" s="2" t="str">
        <f t="shared" si="26"/>
        <v>Error?</v>
      </c>
    </row>
    <row r="1749" spans="1:5" x14ac:dyDescent="0.2">
      <c r="A1749" s="5">
        <v>1688</v>
      </c>
      <c r="B1749" s="138">
        <f>'Tax Sched 23'!B10</f>
        <v>94230</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144569</v>
      </c>
      <c r="C1752" s="2" t="s">
        <v>573</v>
      </c>
      <c r="D1752" s="2" t="str">
        <f t="shared" si="26"/>
        <v>Error?</v>
      </c>
    </row>
    <row r="1753" spans="1:5" x14ac:dyDescent="0.2">
      <c r="A1753" s="5">
        <v>1692</v>
      </c>
      <c r="B1753" s="138">
        <f>'Tax Sched 23'!B12</f>
        <v>94231</v>
      </c>
      <c r="C1753" s="2" t="s">
        <v>573</v>
      </c>
      <c r="D1753" s="2" t="str">
        <f t="shared" si="26"/>
        <v>Error?</v>
      </c>
    </row>
    <row r="1754" spans="1:5" x14ac:dyDescent="0.2">
      <c r="A1754" s="5">
        <v>1693</v>
      </c>
      <c r="B1754" s="138">
        <f>'Tax Sched 23'!B14</f>
        <v>37692</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5555616</v>
      </c>
      <c r="C1759" s="2" t="s">
        <v>573</v>
      </c>
      <c r="D1759" s="2" t="str">
        <f t="shared" si="26"/>
        <v>Error?</v>
      </c>
    </row>
    <row r="1760" spans="1:5" x14ac:dyDescent="0.2">
      <c r="A1760" s="5">
        <v>1699</v>
      </c>
      <c r="B1760" s="138">
        <f>'Tax Sched 23'!D4</f>
        <v>3373433</v>
      </c>
      <c r="C1760" s="2" t="s">
        <v>573</v>
      </c>
      <c r="D1760" s="2" t="str">
        <f t="shared" si="26"/>
        <v>Error?</v>
      </c>
    </row>
    <row r="1761" spans="1:5" x14ac:dyDescent="0.2">
      <c r="A1761" s="5">
        <v>1700</v>
      </c>
      <c r="B1761" s="138">
        <f>'Tax Sched 23'!D5</f>
        <v>471150</v>
      </c>
      <c r="C1761" s="2" t="s">
        <v>573</v>
      </c>
      <c r="D1761" s="2" t="str">
        <f t="shared" si="26"/>
        <v>Error?</v>
      </c>
    </row>
    <row r="1762" spans="1:5" s="8" customFormat="1" x14ac:dyDescent="0.2">
      <c r="A1762" s="5">
        <v>1701</v>
      </c>
      <c r="B1762" s="138">
        <f>'Tax Sched 23'!D6</f>
        <v>865762</v>
      </c>
      <c r="C1762" s="2" t="s">
        <v>573</v>
      </c>
      <c r="D1762" s="2" t="str">
        <f t="shared" si="26"/>
        <v>Error?</v>
      </c>
      <c r="E1762" s="9"/>
    </row>
    <row r="1763" spans="1:5" x14ac:dyDescent="0.2">
      <c r="A1763" s="5">
        <v>1702</v>
      </c>
      <c r="B1763" s="138">
        <f>'Tax Sched 23'!D7</f>
        <v>226152</v>
      </c>
      <c r="C1763" s="2" t="s">
        <v>573</v>
      </c>
      <c r="D1763" s="2" t="str">
        <f t="shared" si="26"/>
        <v>Error?</v>
      </c>
    </row>
    <row r="1764" spans="1:5" x14ac:dyDescent="0.2">
      <c r="A1764" s="5">
        <v>1703</v>
      </c>
      <c r="B1764" s="138">
        <f>'Tax Sched 23'!D8</f>
        <v>69374</v>
      </c>
      <c r="C1764" s="2" t="s">
        <v>573</v>
      </c>
      <c r="D1764" s="2" t="str">
        <f t="shared" si="26"/>
        <v>Error?</v>
      </c>
    </row>
    <row r="1765" spans="1:5" x14ac:dyDescent="0.2">
      <c r="A1765" s="5">
        <v>1704</v>
      </c>
      <c r="B1765" s="138">
        <f>'Tax Sched 23'!D10</f>
        <v>94230</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144569</v>
      </c>
      <c r="C1768" s="2" t="s">
        <v>573</v>
      </c>
      <c r="D1768" s="2" t="str">
        <f t="shared" si="26"/>
        <v>Error?</v>
      </c>
    </row>
    <row r="1769" spans="1:5" x14ac:dyDescent="0.2">
      <c r="A1769" s="5">
        <v>1708</v>
      </c>
      <c r="B1769" s="138">
        <f>'Tax Sched 23'!D12</f>
        <v>94231</v>
      </c>
      <c r="C1769" s="2" t="s">
        <v>573</v>
      </c>
      <c r="D1769" s="2" t="str">
        <f t="shared" si="26"/>
        <v>Error?</v>
      </c>
    </row>
    <row r="1770" spans="1:5" x14ac:dyDescent="0.2">
      <c r="A1770" s="5">
        <v>1709</v>
      </c>
      <c r="B1770" s="138">
        <f>'Tax Sched 23'!D14</f>
        <v>37692</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5555616</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3870868</v>
      </c>
      <c r="C1792" s="2" t="s">
        <v>573</v>
      </c>
      <c r="D1792" s="2" t="str">
        <f t="shared" si="27"/>
        <v>Error?</v>
      </c>
    </row>
    <row r="1793" spans="1:4" x14ac:dyDescent="0.2">
      <c r="A1793" s="5">
        <v>1732</v>
      </c>
      <c r="B1793" s="138">
        <f>'Tax Sched 23'!F5</f>
        <v>540624</v>
      </c>
      <c r="C1793" s="2" t="s">
        <v>573</v>
      </c>
      <c r="D1793" s="2" t="str">
        <f t="shared" si="27"/>
        <v>Error?</v>
      </c>
    </row>
    <row r="1794" spans="1:4" x14ac:dyDescent="0.2">
      <c r="A1794" s="5">
        <v>1733</v>
      </c>
      <c r="B1794" s="138">
        <f>'Tax Sched 23'!F6</f>
        <v>998597</v>
      </c>
      <c r="C1794" s="2" t="s">
        <v>573</v>
      </c>
      <c r="D1794" s="2" t="str">
        <f t="shared" si="27"/>
        <v>Error?</v>
      </c>
    </row>
    <row r="1795" spans="1:4" x14ac:dyDescent="0.2">
      <c r="A1795" s="5">
        <v>1734</v>
      </c>
      <c r="B1795" s="138">
        <f>'Tax Sched 23'!F7</f>
        <v>259500</v>
      </c>
      <c r="C1795" s="2" t="s">
        <v>573</v>
      </c>
      <c r="D1795" s="2" t="str">
        <f t="shared" si="27"/>
        <v>Error?</v>
      </c>
    </row>
    <row r="1796" spans="1:4" x14ac:dyDescent="0.2">
      <c r="A1796" s="5">
        <v>1735</v>
      </c>
      <c r="B1796" s="138">
        <f>'Tax Sched 23'!F8</f>
        <v>71384</v>
      </c>
      <c r="C1796" s="2" t="s">
        <v>573</v>
      </c>
      <c r="D1796" s="2" t="str">
        <f t="shared" si="27"/>
        <v>Error?</v>
      </c>
    </row>
    <row r="1797" spans="1:4" x14ac:dyDescent="0.2">
      <c r="A1797" s="5">
        <v>1736</v>
      </c>
      <c r="B1797" s="138">
        <f>'Tax Sched 23'!F10</f>
        <v>108125</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249876</v>
      </c>
      <c r="C1800" s="2" t="s">
        <v>573</v>
      </c>
      <c r="D1800" s="2" t="str">
        <f t="shared" si="27"/>
        <v>Error?</v>
      </c>
    </row>
    <row r="1801" spans="1:4" x14ac:dyDescent="0.2">
      <c r="A1801" s="5">
        <v>1740</v>
      </c>
      <c r="B1801" s="138">
        <f>'Tax Sched 23'!F12</f>
        <v>108125</v>
      </c>
      <c r="C1801" s="2" t="s">
        <v>573</v>
      </c>
      <c r="D1801" s="2" t="str">
        <f t="shared" si="27"/>
        <v>Error?</v>
      </c>
    </row>
    <row r="1802" spans="1:4" x14ac:dyDescent="0.2">
      <c r="A1802" s="5">
        <v>1741</v>
      </c>
      <c r="B1802" s="138">
        <f>'Tax Sched 23'!F14</f>
        <v>43250</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6452175</v>
      </c>
      <c r="C1807" s="2" t="s">
        <v>573</v>
      </c>
      <c r="D1807" s="2" t="str">
        <f t="shared" si="27"/>
        <v>Error?</v>
      </c>
    </row>
    <row r="1808" spans="1:4" x14ac:dyDescent="0.2">
      <c r="A1808" s="5">
        <v>1747</v>
      </c>
      <c r="B1808" s="138">
        <f>'Tax Sched 23'!E4</f>
        <v>3870868</v>
      </c>
      <c r="D1808" s="2" t="str">
        <f t="shared" si="27"/>
        <v>Error?</v>
      </c>
    </row>
    <row r="1809" spans="1:4" x14ac:dyDescent="0.2">
      <c r="A1809" s="5">
        <v>1748</v>
      </c>
      <c r="B1809" s="138">
        <f>'Tax Sched 23'!E5</f>
        <v>540624</v>
      </c>
      <c r="D1809" s="2" t="str">
        <f t="shared" si="27"/>
        <v>Error?</v>
      </c>
    </row>
    <row r="1810" spans="1:4" x14ac:dyDescent="0.2">
      <c r="A1810" s="5">
        <v>1749</v>
      </c>
      <c r="B1810" s="138">
        <f>'Tax Sched 23'!E6</f>
        <v>998597</v>
      </c>
      <c r="D1810" s="2" t="str">
        <f t="shared" si="27"/>
        <v>Error?</v>
      </c>
    </row>
    <row r="1811" spans="1:4" x14ac:dyDescent="0.2">
      <c r="A1811" s="5">
        <v>1750</v>
      </c>
      <c r="B1811" s="138">
        <f>'Tax Sched 23'!E7</f>
        <v>259500</v>
      </c>
      <c r="D1811" s="2" t="str">
        <f t="shared" si="27"/>
        <v>Error?</v>
      </c>
    </row>
    <row r="1812" spans="1:4" x14ac:dyDescent="0.2">
      <c r="A1812" s="5">
        <v>1751</v>
      </c>
      <c r="B1812" s="138">
        <f>'Tax Sched 23'!E8</f>
        <v>71384</v>
      </c>
      <c r="D1812" s="2" t="str">
        <f t="shared" si="27"/>
        <v>Error?</v>
      </c>
    </row>
    <row r="1813" spans="1:4" x14ac:dyDescent="0.2">
      <c r="A1813" s="5">
        <v>1752</v>
      </c>
      <c r="B1813" s="138">
        <f>'Tax Sched 23'!E10</f>
        <v>108125</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249876</v>
      </c>
      <c r="D1816" s="2" t="str">
        <f t="shared" si="27"/>
        <v>Error?</v>
      </c>
    </row>
    <row r="1817" spans="1:4" x14ac:dyDescent="0.2">
      <c r="A1817" s="5">
        <v>1756</v>
      </c>
      <c r="B1817" s="138">
        <f>'Tax Sched 23'!E12</f>
        <v>108125</v>
      </c>
      <c r="D1817" s="2" t="str">
        <f t="shared" si="27"/>
        <v>Error?</v>
      </c>
    </row>
    <row r="1818" spans="1:4" x14ac:dyDescent="0.2">
      <c r="A1818" s="5">
        <v>1757</v>
      </c>
      <c r="B1818" s="138">
        <f>'Tax Sched 23'!E14</f>
        <v>43250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6452175</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7415000</v>
      </c>
      <c r="C1939" s="2" t="s">
        <v>573</v>
      </c>
      <c r="D1939" s="2" t="str">
        <f t="shared" si="29"/>
        <v>Error?</v>
      </c>
    </row>
    <row r="1940" spans="1:5" x14ac:dyDescent="0.2">
      <c r="A1940" s="5">
        <v>1879</v>
      </c>
      <c r="B1940" s="138">
        <f>'Short-Term Long-Term Debt 24'!F49</f>
        <v>0</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37692</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37692</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37692</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510156</v>
      </c>
      <c r="D2008" s="2" t="str">
        <f t="shared" si="30"/>
        <v>Error?</v>
      </c>
    </row>
    <row r="2009" spans="1:4" x14ac:dyDescent="0.2">
      <c r="A2009" s="5">
        <v>1948</v>
      </c>
      <c r="B2009" s="138">
        <f>'Cap Outlay Deprec 26'!C8</f>
        <v>17904524</v>
      </c>
      <c r="D2009" s="2" t="str">
        <f t="shared" si="30"/>
        <v>Error?</v>
      </c>
    </row>
    <row r="2010" spans="1:4" x14ac:dyDescent="0.2">
      <c r="A2010" s="5">
        <v>1949</v>
      </c>
      <c r="B2010" s="138">
        <f>'Cap Outlay Deprec 26'!C10</f>
        <v>116608</v>
      </c>
      <c r="D2010" s="2" t="str">
        <f t="shared" si="30"/>
        <v>Error?</v>
      </c>
    </row>
    <row r="2011" spans="1:4" x14ac:dyDescent="0.2">
      <c r="A2011" s="5">
        <v>1950</v>
      </c>
      <c r="B2011" s="138">
        <f>'Cap Outlay Deprec 26'!C12</f>
        <v>331344</v>
      </c>
      <c r="D2011" s="2" t="str">
        <f t="shared" si="30"/>
        <v>Error?</v>
      </c>
    </row>
    <row r="2012" spans="1:4" x14ac:dyDescent="0.2">
      <c r="A2012" s="5">
        <v>1951</v>
      </c>
      <c r="B2012" s="138">
        <f>'Cap Outlay Deprec 26'!C13</f>
        <v>1415470</v>
      </c>
      <c r="D2012" s="2" t="str">
        <f t="shared" si="30"/>
        <v>Error?</v>
      </c>
    </row>
    <row r="2013" spans="1:4" x14ac:dyDescent="0.2">
      <c r="A2013" s="5">
        <v>1952</v>
      </c>
      <c r="B2013" s="138">
        <f>'Cap Outlay Deprec 26'!C16</f>
        <v>21813349</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12612</v>
      </c>
      <c r="D2015" s="2" t="str">
        <f t="shared" si="30"/>
        <v>Error?</v>
      </c>
    </row>
    <row r="2016" spans="1:4" x14ac:dyDescent="0.2">
      <c r="A2016" s="5">
        <v>1955</v>
      </c>
      <c r="B2016" s="138">
        <f>'Cap Outlay Deprec 26'!D10</f>
        <v>0</v>
      </c>
      <c r="D2016" s="2" t="str">
        <f t="shared" si="30"/>
        <v>Error?</v>
      </c>
    </row>
    <row r="2017" spans="1:4" x14ac:dyDescent="0.2">
      <c r="A2017" s="5">
        <v>1956</v>
      </c>
      <c r="B2017" s="138">
        <f>'Cap Outlay Deprec 26'!D12</f>
        <v>30062</v>
      </c>
      <c r="D2017" s="2" t="str">
        <f t="shared" si="30"/>
        <v>Error?</v>
      </c>
    </row>
    <row r="2018" spans="1:4" x14ac:dyDescent="0.2">
      <c r="A2018" s="5">
        <v>1957</v>
      </c>
      <c r="B2018" s="138">
        <f>'Cap Outlay Deprec 26'!D13</f>
        <v>4449</v>
      </c>
      <c r="D2018" s="2" t="str">
        <f t="shared" si="30"/>
        <v>Error?</v>
      </c>
    </row>
    <row r="2019" spans="1:4" x14ac:dyDescent="0.2">
      <c r="A2019" s="5">
        <v>1958</v>
      </c>
      <c r="B2019" s="138">
        <f>'Cap Outlay Deprec 26'!D16</f>
        <v>387236</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510156</v>
      </c>
      <c r="C2026" s="2" t="s">
        <v>573</v>
      </c>
      <c r="D2026" s="2" t="str">
        <f t="shared" si="30"/>
        <v>Error?</v>
      </c>
    </row>
    <row r="2027" spans="1:4" x14ac:dyDescent="0.2">
      <c r="A2027" s="5">
        <v>1966</v>
      </c>
      <c r="B2027" s="138">
        <f>'Cap Outlay Deprec 26'!F8</f>
        <v>17917136</v>
      </c>
      <c r="C2027" s="2" t="s">
        <v>573</v>
      </c>
      <c r="D2027" s="2" t="str">
        <f t="shared" si="30"/>
        <v>Error?</v>
      </c>
    </row>
    <row r="2028" spans="1:4" x14ac:dyDescent="0.2">
      <c r="A2028" s="5">
        <v>1967</v>
      </c>
      <c r="B2028" s="138">
        <f>'Cap Outlay Deprec 26'!F10</f>
        <v>116608</v>
      </c>
      <c r="C2028" s="2" t="s">
        <v>573</v>
      </c>
      <c r="D2028" s="2" t="str">
        <f t="shared" si="30"/>
        <v>Error?</v>
      </c>
    </row>
    <row r="2029" spans="1:4" x14ac:dyDescent="0.2">
      <c r="A2029" s="5">
        <v>1968</v>
      </c>
      <c r="B2029" s="138">
        <f>'Cap Outlay Deprec 26'!F12</f>
        <v>361406</v>
      </c>
      <c r="C2029" s="2" t="s">
        <v>573</v>
      </c>
      <c r="D2029" s="2" t="str">
        <f t="shared" si="30"/>
        <v>Error?</v>
      </c>
    </row>
    <row r="2030" spans="1:4" x14ac:dyDescent="0.2">
      <c r="A2030" s="5">
        <v>1969</v>
      </c>
      <c r="B2030" s="138">
        <f>'Cap Outlay Deprec 26'!F13</f>
        <v>1419919</v>
      </c>
      <c r="C2030" s="2" t="s">
        <v>573</v>
      </c>
      <c r="D2030" s="2" t="str">
        <f t="shared" si="30"/>
        <v>Error?</v>
      </c>
    </row>
    <row r="2031" spans="1:4" x14ac:dyDescent="0.2">
      <c r="A2031" s="5">
        <v>1970</v>
      </c>
      <c r="B2031" s="138">
        <f>'Cap Outlay Deprec 26'!F16</f>
        <v>22200585</v>
      </c>
      <c r="C2031" s="2" t="s">
        <v>573</v>
      </c>
      <c r="D2031" s="2" t="str">
        <f t="shared" si="30"/>
        <v>Error?</v>
      </c>
    </row>
    <row r="2032" spans="1:4" x14ac:dyDescent="0.2">
      <c r="A2032" s="10">
        <v>1971</v>
      </c>
      <c r="D2032" s="2" t="str">
        <f t="shared" si="30"/>
        <v>OK</v>
      </c>
    </row>
    <row r="2033" spans="1:4" x14ac:dyDescent="0.2">
      <c r="A2033" s="5">
        <v>1972</v>
      </c>
      <c r="B2033" s="138">
        <f>'Cap Outlay Deprec 26'!H8</f>
        <v>5663169</v>
      </c>
      <c r="D2033" s="2" t="str">
        <f t="shared" si="30"/>
        <v>Error?</v>
      </c>
    </row>
    <row r="2034" spans="1:4" x14ac:dyDescent="0.2">
      <c r="A2034" s="5">
        <v>1973</v>
      </c>
      <c r="B2034" s="138">
        <f>'Cap Outlay Deprec 26'!H10</f>
        <v>58437</v>
      </c>
      <c r="D2034" s="2" t="str">
        <f t="shared" si="30"/>
        <v>Error?</v>
      </c>
    </row>
    <row r="2035" spans="1:4" x14ac:dyDescent="0.2">
      <c r="A2035" s="5">
        <v>1974</v>
      </c>
      <c r="B2035" s="138">
        <f>'Cap Outlay Deprec 26'!H12</f>
        <v>255595</v>
      </c>
      <c r="D2035" s="2" t="str">
        <f t="shared" si="30"/>
        <v>Error?</v>
      </c>
    </row>
    <row r="2036" spans="1:4" x14ac:dyDescent="0.2">
      <c r="A2036" s="5">
        <v>1975</v>
      </c>
      <c r="B2036" s="138">
        <f>'Cap Outlay Deprec 26'!H13</f>
        <v>1314496</v>
      </c>
      <c r="D2036" s="2" t="str">
        <f t="shared" si="30"/>
        <v>Error?</v>
      </c>
    </row>
    <row r="2037" spans="1:4" x14ac:dyDescent="0.2">
      <c r="A2037" s="5">
        <v>1976</v>
      </c>
      <c r="B2037" s="138">
        <f>'Cap Outlay Deprec 26'!H16</f>
        <v>7725326</v>
      </c>
      <c r="C2037" s="2" t="s">
        <v>573</v>
      </c>
      <c r="D2037" s="2" t="str">
        <f t="shared" si="30"/>
        <v>Error?</v>
      </c>
    </row>
    <row r="2038" spans="1:4" x14ac:dyDescent="0.2">
      <c r="A2038" s="10">
        <v>1977</v>
      </c>
      <c r="D2038" s="2" t="str">
        <f t="shared" si="30"/>
        <v>OK</v>
      </c>
    </row>
    <row r="2039" spans="1:4" x14ac:dyDescent="0.2">
      <c r="A2039" s="5">
        <v>1978</v>
      </c>
      <c r="B2039" s="138">
        <f>'Cap Outlay Deprec 26'!I8</f>
        <v>349068</v>
      </c>
      <c r="D2039" s="2" t="str">
        <f t="shared" si="30"/>
        <v>Error?</v>
      </c>
    </row>
    <row r="2040" spans="1:4" x14ac:dyDescent="0.2">
      <c r="A2040" s="5">
        <v>1979</v>
      </c>
      <c r="B2040" s="138">
        <f>'Cap Outlay Deprec 26'!I10</f>
        <v>2629</v>
      </c>
      <c r="D2040" s="2" t="str">
        <f t="shared" si="30"/>
        <v>Error?</v>
      </c>
    </row>
    <row r="2041" spans="1:4" x14ac:dyDescent="0.2">
      <c r="A2041" s="5">
        <v>1980</v>
      </c>
      <c r="B2041" s="138">
        <f>'Cap Outlay Deprec 26'!I12</f>
        <v>26993</v>
      </c>
      <c r="D2041" s="2" t="str">
        <f t="shared" si="30"/>
        <v>Error?</v>
      </c>
    </row>
    <row r="2042" spans="1:4" x14ac:dyDescent="0.2">
      <c r="A2042" s="5">
        <v>1981</v>
      </c>
      <c r="B2042" s="138">
        <f>'Cap Outlay Deprec 26'!I13</f>
        <v>39922</v>
      </c>
      <c r="D2042" s="2" t="str">
        <f t="shared" si="30"/>
        <v>Error?</v>
      </c>
    </row>
    <row r="2043" spans="1:4" x14ac:dyDescent="0.2">
      <c r="A2043" s="5">
        <v>1982</v>
      </c>
      <c r="B2043" s="138">
        <f>'Cap Outlay Deprec 26'!I16</f>
        <v>543373</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6012237</v>
      </c>
      <c r="C2051" s="2" t="s">
        <v>573</v>
      </c>
      <c r="D2051" s="2" t="str">
        <f t="shared" si="31"/>
        <v>Error?</v>
      </c>
    </row>
    <row r="2052" spans="1:4" x14ac:dyDescent="0.2">
      <c r="A2052" s="5">
        <v>1991</v>
      </c>
      <c r="B2052" s="138">
        <f>'Cap Outlay Deprec 26'!K10</f>
        <v>61066</v>
      </c>
      <c r="C2052" s="2" t="s">
        <v>573</v>
      </c>
      <c r="D2052" s="2" t="str">
        <f t="shared" si="31"/>
        <v>Error?</v>
      </c>
    </row>
    <row r="2053" spans="1:4" x14ac:dyDescent="0.2">
      <c r="A2053" s="5">
        <v>1992</v>
      </c>
      <c r="B2053" s="138">
        <f>'Cap Outlay Deprec 26'!K12</f>
        <v>282588</v>
      </c>
      <c r="C2053" s="2" t="s">
        <v>573</v>
      </c>
      <c r="D2053" s="2" t="str">
        <f t="shared" si="31"/>
        <v>Error?</v>
      </c>
    </row>
    <row r="2054" spans="1:4" x14ac:dyDescent="0.2">
      <c r="A2054" s="5">
        <v>1993</v>
      </c>
      <c r="B2054" s="138">
        <f>'Cap Outlay Deprec 26'!K13</f>
        <v>1354418</v>
      </c>
      <c r="C2054" s="2" t="s">
        <v>573</v>
      </c>
      <c r="D2054" s="2" t="str">
        <f t="shared" si="31"/>
        <v>Error?</v>
      </c>
    </row>
    <row r="2055" spans="1:4" x14ac:dyDescent="0.2">
      <c r="A2055" s="5">
        <v>1994</v>
      </c>
      <c r="B2055" s="138">
        <f>'Cap Outlay Deprec 26'!K16</f>
        <v>8268699</v>
      </c>
      <c r="C2055" s="2" t="s">
        <v>573</v>
      </c>
      <c r="D2055" s="2" t="str">
        <f t="shared" si="31"/>
        <v>Error?</v>
      </c>
    </row>
    <row r="2056" spans="1:4" x14ac:dyDescent="0.2">
      <c r="A2056" s="5">
        <v>1995</v>
      </c>
      <c r="B2056" s="138">
        <f>'Cap Outlay Deprec 26'!L5</f>
        <v>510156</v>
      </c>
      <c r="C2056" s="2" t="s">
        <v>573</v>
      </c>
      <c r="D2056" s="2" t="str">
        <f t="shared" si="31"/>
        <v>Error?</v>
      </c>
    </row>
    <row r="2057" spans="1:4" x14ac:dyDescent="0.2">
      <c r="A2057" s="5">
        <v>1996</v>
      </c>
      <c r="B2057" s="138">
        <f>'Cap Outlay Deprec 26'!L8</f>
        <v>11904899</v>
      </c>
      <c r="C2057" s="2" t="s">
        <v>573</v>
      </c>
      <c r="D2057" s="2" t="str">
        <f t="shared" si="31"/>
        <v>Error?</v>
      </c>
    </row>
    <row r="2058" spans="1:4" x14ac:dyDescent="0.2">
      <c r="A2058" s="5">
        <v>1997</v>
      </c>
      <c r="B2058" s="138">
        <f>'Cap Outlay Deprec 26'!L10</f>
        <v>55542</v>
      </c>
      <c r="C2058" s="2" t="s">
        <v>573</v>
      </c>
      <c r="D2058" s="2" t="str">
        <f t="shared" si="31"/>
        <v>Error?</v>
      </c>
    </row>
    <row r="2059" spans="1:4" x14ac:dyDescent="0.2">
      <c r="A2059" s="5">
        <v>1998</v>
      </c>
      <c r="B2059" s="138">
        <f>'Cap Outlay Deprec 26'!L12</f>
        <v>78818</v>
      </c>
      <c r="C2059" s="2" t="s">
        <v>573</v>
      </c>
      <c r="D2059" s="2" t="str">
        <f t="shared" si="31"/>
        <v>Error?</v>
      </c>
    </row>
    <row r="2060" spans="1:4" x14ac:dyDescent="0.2">
      <c r="A2060" s="5">
        <v>1999</v>
      </c>
      <c r="B2060" s="138">
        <f>'Cap Outlay Deprec 26'!L13</f>
        <v>65501</v>
      </c>
      <c r="C2060" s="2" t="s">
        <v>573</v>
      </c>
      <c r="D2060" s="2" t="str">
        <f t="shared" si="31"/>
        <v>Error?</v>
      </c>
    </row>
    <row r="2061" spans="1:4" x14ac:dyDescent="0.2">
      <c r="A2061" s="5">
        <v>2000</v>
      </c>
      <c r="B2061" s="138">
        <f>'Cap Outlay Deprec 26'!L16</f>
        <v>13931886</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55615</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55615</v>
      </c>
      <c r="C2088" s="2" t="s">
        <v>573</v>
      </c>
      <c r="D2088" s="2" t="str">
        <f t="shared" si="31"/>
        <v>Error?</v>
      </c>
    </row>
    <row r="2089" spans="1:4" x14ac:dyDescent="0.2">
      <c r="A2089" s="5">
        <v>2028</v>
      </c>
      <c r="B2089" s="138">
        <f>'Expenditures 15-22'!K92</f>
        <v>366345</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6557</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100000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500544</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156858</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949982</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4124294</v>
      </c>
      <c r="C2551" s="2" t="s">
        <v>573</v>
      </c>
      <c r="D2551" s="2" t="str">
        <f t="shared" si="38"/>
        <v>Error?</v>
      </c>
    </row>
    <row r="2552" spans="1:4" x14ac:dyDescent="0.2">
      <c r="A2552" s="10">
        <v>2491</v>
      </c>
      <c r="D2552" s="2" t="str">
        <f t="shared" si="38"/>
        <v>OK</v>
      </c>
    </row>
    <row r="2553" spans="1:4" x14ac:dyDescent="0.2">
      <c r="A2553" s="5">
        <v>2492</v>
      </c>
      <c r="B2553" s="138">
        <f>'Acct Summary 7-8'!C6</f>
        <v>1255791</v>
      </c>
      <c r="C2553" s="2" t="s">
        <v>573</v>
      </c>
      <c r="D2553" s="2" t="str">
        <f t="shared" si="38"/>
        <v>Error?</v>
      </c>
    </row>
    <row r="2554" spans="1:4" x14ac:dyDescent="0.2">
      <c r="A2554" s="5">
        <v>2493</v>
      </c>
      <c r="B2554" s="138">
        <f>'Acct Summary 7-8'!C7</f>
        <v>358347</v>
      </c>
      <c r="C2554" s="2" t="s">
        <v>573</v>
      </c>
      <c r="D2554" s="2" t="str">
        <f t="shared" si="38"/>
        <v>Error?</v>
      </c>
    </row>
    <row r="2555" spans="1:4" x14ac:dyDescent="0.2">
      <c r="A2555" s="5">
        <v>2494</v>
      </c>
      <c r="B2555" s="138">
        <f>'Acct Summary 7-8'!C8</f>
        <v>5747439</v>
      </c>
      <c r="C2555" s="2" t="s">
        <v>573</v>
      </c>
      <c r="D2555" s="2" t="str">
        <f t="shared" si="38"/>
        <v>Error?</v>
      </c>
    </row>
    <row r="2556" spans="1:4" x14ac:dyDescent="0.2">
      <c r="A2556" s="5">
        <v>2495</v>
      </c>
      <c r="B2556" s="138">
        <f>'Acct Summary 7-8'!C12</f>
        <v>3908475</v>
      </c>
      <c r="C2556" s="2" t="s">
        <v>573</v>
      </c>
      <c r="D2556" s="2" t="str">
        <f t="shared" si="38"/>
        <v>Error?</v>
      </c>
    </row>
    <row r="2557" spans="1:4" x14ac:dyDescent="0.2">
      <c r="A2557" s="5">
        <v>2496</v>
      </c>
      <c r="B2557" s="138">
        <f>'Acct Summary 7-8'!C13</f>
        <v>1453239</v>
      </c>
      <c r="C2557" s="2" t="s">
        <v>573</v>
      </c>
      <c r="D2557" s="2" t="str">
        <f t="shared" si="38"/>
        <v>Error?</v>
      </c>
    </row>
    <row r="2558" spans="1:4" x14ac:dyDescent="0.2">
      <c r="A2558" s="5">
        <v>2497</v>
      </c>
      <c r="B2558" s="138">
        <f>'Acct Summary 7-8'!C14</f>
        <v>6899</v>
      </c>
      <c r="C2558" s="2" t="s">
        <v>573</v>
      </c>
      <c r="D2558" s="2" t="str">
        <f t="shared" si="38"/>
        <v>Error?</v>
      </c>
    </row>
    <row r="2559" spans="1:4" x14ac:dyDescent="0.2">
      <c r="A2559" s="5">
        <v>2498</v>
      </c>
      <c r="B2559" s="138">
        <f>'Acct Summary 7-8'!C15</f>
        <v>421960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5790573</v>
      </c>
      <c r="C2561" s="2" t="s">
        <v>573</v>
      </c>
      <c r="D2561" s="2" t="str">
        <f t="shared" si="39"/>
        <v>Error?</v>
      </c>
    </row>
    <row r="2562" spans="1:4" x14ac:dyDescent="0.2">
      <c r="A2562" s="5">
        <v>2501</v>
      </c>
      <c r="B2562" s="138">
        <f>'Acct Summary 7-8'!C20</f>
        <v>-43134</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517367</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8358</v>
      </c>
      <c r="C2567" s="2" t="s">
        <v>573</v>
      </c>
      <c r="D2567" s="2" t="str">
        <f t="shared" si="39"/>
        <v>Error?</v>
      </c>
    </row>
    <row r="2568" spans="1:4" x14ac:dyDescent="0.2">
      <c r="A2568" s="5">
        <v>2507</v>
      </c>
      <c r="B2568" s="138">
        <f>'Acct Summary 7-8'!D8</f>
        <v>525725</v>
      </c>
      <c r="C2568" s="2" t="s">
        <v>573</v>
      </c>
      <c r="D2568" s="2" t="str">
        <f t="shared" si="39"/>
        <v>Error?</v>
      </c>
    </row>
    <row r="2569" spans="1:4" x14ac:dyDescent="0.2">
      <c r="A2569" s="5">
        <v>2508</v>
      </c>
      <c r="B2569" s="138">
        <f>'Acct Summary 7-8'!D13</f>
        <v>439235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439235</v>
      </c>
      <c r="C2573" s="2" t="s">
        <v>573</v>
      </c>
      <c r="D2573" s="2" t="str">
        <f t="shared" si="39"/>
        <v>Error?</v>
      </c>
    </row>
    <row r="2574" spans="1:4" x14ac:dyDescent="0.2">
      <c r="A2574" s="5">
        <v>2513</v>
      </c>
      <c r="B2574" s="138">
        <f>'Acct Summary 7-8'!D20</f>
        <v>86490</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1335704</v>
      </c>
      <c r="C2591" s="2" t="s">
        <v>573</v>
      </c>
      <c r="D2591" s="2" t="str">
        <f t="shared" si="39"/>
        <v>Error?</v>
      </c>
    </row>
    <row r="2592" spans="1:4" x14ac:dyDescent="0.2">
      <c r="A2592" s="10">
        <v>2531</v>
      </c>
      <c r="D2592" s="2" t="str">
        <f t="shared" si="39"/>
        <v>OK</v>
      </c>
    </row>
    <row r="2593" spans="1:4" x14ac:dyDescent="0.2">
      <c r="A2593" s="5">
        <v>2532</v>
      </c>
      <c r="B2593" s="138">
        <f>'Acct Summary 7-8'!F6</f>
        <v>214888</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1550592</v>
      </c>
      <c r="C2595" s="2" t="s">
        <v>573</v>
      </c>
      <c r="D2595" s="2" t="str">
        <f t="shared" si="39"/>
        <v>Error?</v>
      </c>
    </row>
    <row r="2596" spans="1:4" x14ac:dyDescent="0.2">
      <c r="A2596" s="5">
        <v>2535</v>
      </c>
      <c r="B2596" s="138">
        <f>'Acct Summary 7-8'!F13</f>
        <v>1575592</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1575592</v>
      </c>
      <c r="C2600" s="2" t="s">
        <v>573</v>
      </c>
      <c r="D2600" s="2" t="str">
        <f t="shared" si="39"/>
        <v>Error?</v>
      </c>
    </row>
    <row r="2601" spans="1:4" x14ac:dyDescent="0.2">
      <c r="A2601" s="5">
        <v>2540</v>
      </c>
      <c r="B2601" s="138">
        <f>'Acct Summary 7-8'!F20</f>
        <v>-25000</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267004</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267004</v>
      </c>
      <c r="C2606" s="2" t="s">
        <v>573</v>
      </c>
      <c r="D2606" s="2" t="str">
        <f t="shared" si="39"/>
        <v>Error?</v>
      </c>
    </row>
    <row r="2607" spans="1:4" x14ac:dyDescent="0.2">
      <c r="A2607" s="5">
        <v>2546</v>
      </c>
      <c r="B2607" s="138">
        <f>'Acct Summary 7-8'!G12</f>
        <v>88891</v>
      </c>
      <c r="C2607" s="2" t="s">
        <v>573</v>
      </c>
      <c r="D2607" s="2" t="str">
        <f t="shared" si="39"/>
        <v>Error?</v>
      </c>
    </row>
    <row r="2608" spans="1:4" x14ac:dyDescent="0.2">
      <c r="A2608" s="5">
        <v>2547</v>
      </c>
      <c r="B2608" s="138">
        <f>'Acct Summary 7-8'!G13</f>
        <v>222688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311579</v>
      </c>
      <c r="C2612" s="2" t="s">
        <v>573</v>
      </c>
      <c r="D2612" s="2" t="str">
        <f t="shared" si="39"/>
        <v>Error?</v>
      </c>
    </row>
    <row r="2613" spans="1:4" x14ac:dyDescent="0.2">
      <c r="A2613" s="5">
        <v>2552</v>
      </c>
      <c r="B2613" s="138">
        <f>'Acct Summary 7-8'!G20</f>
        <v>-44575</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1313857</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1313857</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997050</v>
      </c>
      <c r="C2634" s="2" t="s">
        <v>573</v>
      </c>
      <c r="D2634" s="2" t="str">
        <f t="shared" si="40"/>
        <v>Error?</v>
      </c>
    </row>
    <row r="2635" spans="1:4" x14ac:dyDescent="0.2">
      <c r="A2635" s="5">
        <v>2574</v>
      </c>
      <c r="B2635" s="138">
        <f>'Acct Summary 7-8'!E17</f>
        <v>997050</v>
      </c>
      <c r="C2635" s="2" t="s">
        <v>573</v>
      </c>
      <c r="D2635" s="2" t="str">
        <f t="shared" si="40"/>
        <v>Error?</v>
      </c>
    </row>
    <row r="2636" spans="1:4" x14ac:dyDescent="0.2">
      <c r="A2636" s="5">
        <v>2575</v>
      </c>
      <c r="B2636" s="138">
        <f>'Acct Summary 7-8'!E20</f>
        <v>316807</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42378</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42378</v>
      </c>
      <c r="C2658" s="2" t="s">
        <v>573</v>
      </c>
      <c r="D2658" s="2" t="str">
        <f t="shared" si="40"/>
        <v>Error?</v>
      </c>
    </row>
    <row r="2659" spans="1:4" x14ac:dyDescent="0.2">
      <c r="A2659" s="5">
        <v>2598</v>
      </c>
      <c r="B2659" s="138">
        <f>'Acct Summary 7-8'!H13</f>
        <v>346172</v>
      </c>
      <c r="C2659" s="2" t="s">
        <v>573</v>
      </c>
      <c r="D2659" s="2" t="str">
        <f t="shared" si="40"/>
        <v>Error?</v>
      </c>
    </row>
    <row r="2660" spans="1:4" x14ac:dyDescent="0.2">
      <c r="A2660" s="5">
        <v>2599</v>
      </c>
      <c r="B2660" s="138">
        <f>'Acct Summary 7-8'!H15</f>
        <v>6557</v>
      </c>
      <c r="C2660" s="2" t="s">
        <v>573</v>
      </c>
      <c r="D2660" s="2" t="str">
        <f t="shared" si="40"/>
        <v>Error?</v>
      </c>
    </row>
    <row r="2661" spans="1:4" x14ac:dyDescent="0.2">
      <c r="A2661" s="5">
        <v>2600</v>
      </c>
      <c r="B2661" s="138">
        <f>'Acct Summary 7-8'!H17</f>
        <v>352729</v>
      </c>
      <c r="C2661" s="2" t="s">
        <v>573</v>
      </c>
      <c r="D2661" s="2" t="str">
        <f t="shared" si="40"/>
        <v>Error?</v>
      </c>
    </row>
    <row r="2662" spans="1:4" x14ac:dyDescent="0.2">
      <c r="A2662" s="5">
        <v>2601</v>
      </c>
      <c r="B2662" s="138">
        <f>'Acct Summary 7-8'!H20</f>
        <v>-310351</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35514</v>
      </c>
      <c r="D2718" s="2" t="str">
        <f t="shared" si="41"/>
        <v>Error?</v>
      </c>
    </row>
    <row r="2719" spans="1:4" x14ac:dyDescent="0.2">
      <c r="A2719" s="5">
        <v>2658</v>
      </c>
      <c r="B2719" s="138">
        <f>'Expenditures 15-22'!D51</f>
        <v>7560</v>
      </c>
      <c r="D2719" s="2" t="str">
        <f t="shared" si="41"/>
        <v>Error?</v>
      </c>
    </row>
    <row r="2720" spans="1:4" x14ac:dyDescent="0.2">
      <c r="A2720" s="5">
        <v>2659</v>
      </c>
      <c r="B2720" s="138">
        <f>'Expenditures 15-22'!E51</f>
        <v>180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43254</v>
      </c>
      <c r="C2724" s="2" t="s">
        <v>573</v>
      </c>
      <c r="D2724" s="2" t="str">
        <f t="shared" si="41"/>
        <v>Error?</v>
      </c>
    </row>
    <row r="2725" spans="1:4" x14ac:dyDescent="0.2">
      <c r="A2725" s="5">
        <v>2664</v>
      </c>
      <c r="B2725" s="138">
        <f>'Expenditures 15-22'!D247</f>
        <v>461</v>
      </c>
      <c r="D2725" s="2" t="str">
        <f t="shared" si="41"/>
        <v>Error?</v>
      </c>
    </row>
    <row r="2726" spans="1:4" x14ac:dyDescent="0.2">
      <c r="A2726" s="5">
        <v>2665</v>
      </c>
      <c r="B2726" s="138">
        <f>'Expenditures 15-22'!K247</f>
        <v>461</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250498</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521805</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530527</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69361</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530527</v>
      </c>
      <c r="D2912" s="2" t="str">
        <f t="shared" si="44"/>
        <v>Error?</v>
      </c>
    </row>
    <row r="2913" spans="1:4" x14ac:dyDescent="0.2">
      <c r="A2913" s="5">
        <v>2852</v>
      </c>
      <c r="B2913" s="138">
        <f>'Assets-Liab 5-6'!I41</f>
        <v>530527</v>
      </c>
      <c r="C2913" s="2" t="s">
        <v>573</v>
      </c>
      <c r="D2913" s="2" t="str">
        <f t="shared" si="44"/>
        <v>Error?</v>
      </c>
    </row>
    <row r="2914" spans="1:4" x14ac:dyDescent="0.2">
      <c r="A2914" s="5">
        <v>2853</v>
      </c>
      <c r="B2914" s="138">
        <f>'Assets-Liab 5-6'!L33</f>
        <v>69361</v>
      </c>
      <c r="D2914" s="2" t="str">
        <f t="shared" si="44"/>
        <v>Error?</v>
      </c>
    </row>
    <row r="2915" spans="1:4" x14ac:dyDescent="0.2">
      <c r="A2915" s="10">
        <v>2854</v>
      </c>
      <c r="D2915" s="2" t="str">
        <f t="shared" si="44"/>
        <v>OK</v>
      </c>
    </row>
    <row r="2916" spans="1:4" x14ac:dyDescent="0.2">
      <c r="A2916" s="5">
        <v>2855</v>
      </c>
      <c r="B2916" s="138">
        <f>'Assets-Liab 5-6'!L34</f>
        <v>69361</v>
      </c>
      <c r="C2916" s="2" t="s">
        <v>573</v>
      </c>
      <c r="D2916" s="2" t="str">
        <f t="shared" si="44"/>
        <v>Error?</v>
      </c>
    </row>
    <row r="2917" spans="1:4" x14ac:dyDescent="0.2">
      <c r="A2917" s="5">
        <v>2856</v>
      </c>
      <c r="B2917" s="138">
        <f>'Assets-Liab 5-6'!L41</f>
        <v>69361</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48615</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7000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48615</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7000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140142</v>
      </c>
      <c r="D3055" s="2" t="str">
        <f t="shared" si="46"/>
        <v>Error?</v>
      </c>
    </row>
    <row r="3056" spans="1:4" x14ac:dyDescent="0.2">
      <c r="A3056" s="5">
        <v>2995</v>
      </c>
      <c r="B3056" s="138">
        <f>'Expenditures 15-22'!D10</f>
        <v>13837</v>
      </c>
      <c r="D3056" s="2" t="str">
        <f t="shared" si="46"/>
        <v>Error?</v>
      </c>
    </row>
    <row r="3057" spans="1:4" x14ac:dyDescent="0.2">
      <c r="A3057" s="5">
        <v>2996</v>
      </c>
      <c r="B3057" s="138">
        <f>'Expenditures 15-22'!E10</f>
        <v>3804</v>
      </c>
      <c r="D3057" s="2" t="str">
        <f t="shared" si="46"/>
        <v>Error?</v>
      </c>
    </row>
    <row r="3058" spans="1:4" x14ac:dyDescent="0.2">
      <c r="A3058" s="5">
        <v>2997</v>
      </c>
      <c r="B3058" s="138">
        <f>'Expenditures 15-22'!F10</f>
        <v>1003</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158786</v>
      </c>
      <c r="C3062" s="2" t="s">
        <v>573</v>
      </c>
      <c r="D3062" s="2" t="str">
        <f t="shared" si="46"/>
        <v>Error?</v>
      </c>
    </row>
    <row r="3063" spans="1:4" x14ac:dyDescent="0.2">
      <c r="A3063" s="10">
        <v>3002</v>
      </c>
      <c r="D3063" s="2" t="str">
        <f t="shared" si="46"/>
        <v>OK</v>
      </c>
    </row>
    <row r="3064" spans="1:4" x14ac:dyDescent="0.2">
      <c r="A3064" s="5">
        <v>3003</v>
      </c>
      <c r="B3064" s="138">
        <f>'Expenditures 15-22'!D219</f>
        <v>14976</v>
      </c>
      <c r="D3064" s="2" t="str">
        <f t="shared" si="46"/>
        <v>Error?</v>
      </c>
    </row>
    <row r="3065" spans="1:4" x14ac:dyDescent="0.2">
      <c r="A3065" s="5">
        <v>3004</v>
      </c>
      <c r="B3065" s="138">
        <f>'Expenditures 15-22'!K219</f>
        <v>14976</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104693</v>
      </c>
      <c r="C3225" s="2" t="s">
        <v>573</v>
      </c>
      <c r="D3225" s="2" t="str">
        <f t="shared" si="49"/>
        <v>Error?</v>
      </c>
    </row>
    <row r="3226" spans="1:4" x14ac:dyDescent="0.2">
      <c r="A3226" s="5">
        <v>3165</v>
      </c>
      <c r="B3226" s="138">
        <f>'Acct Summary 7-8'!I8</f>
        <v>104693</v>
      </c>
      <c r="C3226" s="2" t="s">
        <v>573</v>
      </c>
      <c r="D3226" s="2" t="str">
        <f t="shared" si="49"/>
        <v>Error?</v>
      </c>
    </row>
    <row r="3227" spans="1:4" x14ac:dyDescent="0.2">
      <c r="A3227" s="5">
        <v>3166</v>
      </c>
      <c r="B3227" s="138">
        <f>'Acct Summary 7-8'!I20</f>
        <v>104693</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180000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180000</v>
      </c>
      <c r="C3232" s="2" t="s">
        <v>573</v>
      </c>
      <c r="D3232" s="2" t="str">
        <f t="shared" si="49"/>
        <v>Error?</v>
      </c>
    </row>
    <row r="3233" spans="1:4" x14ac:dyDescent="0.2">
      <c r="A3233" s="5">
        <v>3172</v>
      </c>
      <c r="B3233" s="138">
        <f>'Acct Summary 7-8'!C78</f>
        <v>136866</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80000</v>
      </c>
      <c r="C3237" s="2" t="s">
        <v>573</v>
      </c>
      <c r="D3237" s="2" t="str">
        <f t="shared" si="49"/>
        <v>Error?</v>
      </c>
    </row>
    <row r="3238" spans="1:4" x14ac:dyDescent="0.2">
      <c r="A3238" s="5">
        <v>3177</v>
      </c>
      <c r="B3238" s="138">
        <f>'Acct Summary 7-8'!D77</f>
        <v>-80000</v>
      </c>
      <c r="C3238" s="2" t="s">
        <v>573</v>
      </c>
      <c r="D3238" s="2" t="str">
        <f t="shared" si="49"/>
        <v>Error?</v>
      </c>
    </row>
    <row r="3239" spans="1:4" x14ac:dyDescent="0.2">
      <c r="A3239" s="5">
        <v>3178</v>
      </c>
      <c r="B3239" s="138">
        <f>'Acct Summary 7-8'!D78</f>
        <v>6490</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-25000</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-44575</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316807</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-310351</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100000</v>
      </c>
      <c r="C3318" s="2" t="s">
        <v>573</v>
      </c>
      <c r="D3318" s="2" t="str">
        <f t="shared" si="50"/>
        <v>Error?</v>
      </c>
    </row>
    <row r="3319" spans="1:4" x14ac:dyDescent="0.2">
      <c r="A3319" s="5">
        <v>3258</v>
      </c>
      <c r="B3319" s="138">
        <f>'Acct Summary 7-8'!I77</f>
        <v>-100000</v>
      </c>
      <c r="C3319" s="2" t="s">
        <v>573</v>
      </c>
      <c r="D3319" s="2" t="str">
        <f t="shared" si="50"/>
        <v>Error?</v>
      </c>
    </row>
    <row r="3320" spans="1:4" x14ac:dyDescent="0.2">
      <c r="A3320" s="5">
        <v>3259</v>
      </c>
      <c r="B3320" s="138">
        <f>'Acct Summary 7-8'!I78</f>
        <v>4693</v>
      </c>
      <c r="C3320" s="2" t="s">
        <v>573</v>
      </c>
      <c r="D3320" s="2" t="str">
        <f t="shared" si="50"/>
        <v>Error?</v>
      </c>
    </row>
    <row r="3321" spans="1:4" x14ac:dyDescent="0.2">
      <c r="A3321" s="5">
        <v>3260</v>
      </c>
      <c r="B3321" s="138">
        <f>'Acct Summary 7-8'!I79</f>
        <v>525834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530527</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457007</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47758</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5308</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510073</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29535</v>
      </c>
      <c r="D3387" s="2" t="str">
        <f t="shared" si="51"/>
        <v>Error?</v>
      </c>
    </row>
    <row r="3388" spans="1:4" x14ac:dyDescent="0.2">
      <c r="A3388" s="5">
        <v>3327</v>
      </c>
      <c r="B3388" s="138">
        <f>'Expenditures 15-22'!D217</f>
        <v>32402</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29535</v>
      </c>
      <c r="C3390" s="2" t="s">
        <v>573</v>
      </c>
      <c r="D3390" s="2" t="str">
        <f t="shared" si="51"/>
        <v>Error?</v>
      </c>
    </row>
    <row r="3391" spans="1:4" x14ac:dyDescent="0.2">
      <c r="A3391" s="5">
        <v>3330</v>
      </c>
      <c r="B3391" s="138">
        <f>'Expenditures 15-22'!K217</f>
        <v>32402</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9007</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882238</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357491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676942</v>
      </c>
      <c r="D3417" s="2" t="str">
        <f t="shared" si="52"/>
        <v>Error?</v>
      </c>
    </row>
    <row r="3418" spans="1:4" x14ac:dyDescent="0.2">
      <c r="A3418" s="10">
        <v>3357</v>
      </c>
      <c r="D3418" s="2" t="str">
        <f t="shared" si="52"/>
        <v>OK</v>
      </c>
    </row>
    <row r="3419" spans="1:4" x14ac:dyDescent="0.2">
      <c r="A3419" s="5">
        <v>3358</v>
      </c>
      <c r="B3419" s="138">
        <f>'Assets-Liab 5-6'!F4</f>
        <v>470364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109754</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99017</v>
      </c>
      <c r="D3425" s="2" t="str">
        <f t="shared" si="52"/>
        <v>Error?</v>
      </c>
    </row>
    <row r="3426" spans="1:4" x14ac:dyDescent="0.2">
      <c r="A3426" s="10">
        <v>3365</v>
      </c>
      <c r="D3426" s="2" t="str">
        <f t="shared" si="52"/>
        <v>OK</v>
      </c>
    </row>
    <row r="3427" spans="1:4" x14ac:dyDescent="0.2">
      <c r="A3427" s="5">
        <v>3366</v>
      </c>
      <c r="B3427" s="138">
        <f>'Assets-Liab 5-6'!I4</f>
        <v>8722</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69361</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84793</v>
      </c>
      <c r="C3446" s="2" t="s">
        <v>573</v>
      </c>
      <c r="D3446" s="2" t="str">
        <f t="shared" si="52"/>
        <v>Error?</v>
      </c>
    </row>
    <row r="3447" spans="1:4" x14ac:dyDescent="0.2">
      <c r="A3447" s="5">
        <v>3386</v>
      </c>
      <c r="B3447" s="138">
        <f>'Tax Sched 23'!D16</f>
        <v>84793</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93701</v>
      </c>
      <c r="C3449" s="2" t="s">
        <v>573</v>
      </c>
      <c r="D3449" s="2" t="str">
        <f t="shared" si="52"/>
        <v>Error?</v>
      </c>
    </row>
    <row r="3450" spans="1:4" x14ac:dyDescent="0.2">
      <c r="A3450" s="5">
        <v>3389</v>
      </c>
      <c r="B3450" s="138">
        <f>'Tax Sched 23'!E16</f>
        <v>93701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250498</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250498</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250498</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96657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233188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329845</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329845</v>
      </c>
      <c r="D3566" s="2" t="str">
        <f t="shared" si="54"/>
        <v>Error?</v>
      </c>
    </row>
    <row r="3567" spans="1:4" x14ac:dyDescent="0.2">
      <c r="A3567" s="5">
        <v>3506</v>
      </c>
      <c r="B3567" s="138">
        <f>'Assets-Liab 5-6'!K39</f>
        <v>0</v>
      </c>
      <c r="D3567" s="2" t="str">
        <f t="shared" si="54"/>
        <v>Error?</v>
      </c>
    </row>
    <row r="3568" spans="1:4" x14ac:dyDescent="0.2">
      <c r="A3568" s="5">
        <v>3507</v>
      </c>
      <c r="B3568" s="138">
        <f>'Assets-Liab 5-6'!K41</f>
        <v>329845</v>
      </c>
      <c r="C3568" s="2" t="s">
        <v>573</v>
      </c>
      <c r="D3568" s="2" t="str">
        <f t="shared" si="54"/>
        <v>Error?</v>
      </c>
    </row>
    <row r="3569" spans="1:4" x14ac:dyDescent="0.2">
      <c r="A3569" s="5">
        <v>3508</v>
      </c>
      <c r="B3569" s="138">
        <f>'Acct Summary 7-8'!K4</f>
        <v>102429</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102429</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102429</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102429</v>
      </c>
      <c r="C3588" s="2" t="s">
        <v>573</v>
      </c>
      <c r="D3588" s="2" t="str">
        <f t="shared" si="55"/>
        <v>Error?</v>
      </c>
    </row>
    <row r="3589" spans="1:4" x14ac:dyDescent="0.2">
      <c r="A3589" s="5">
        <v>3528</v>
      </c>
      <c r="B3589" s="138">
        <f>'Acct Summary 7-8'!K79</f>
        <v>227416</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329845</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102429</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6557</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94230</v>
      </c>
      <c r="C3725" s="2" t="s">
        <v>573</v>
      </c>
      <c r="D3725" s="2" t="str">
        <f t="shared" si="57"/>
        <v>Error?</v>
      </c>
    </row>
    <row r="3726" spans="1:4" x14ac:dyDescent="0.2">
      <c r="A3726" s="5">
        <v>3665</v>
      </c>
      <c r="B3726" s="138">
        <f>'Tax Sched 23'!D13</f>
        <v>94230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108125</v>
      </c>
      <c r="C3728" s="2" t="s">
        <v>573</v>
      </c>
      <c r="D3728" s="2" t="str">
        <f t="shared" si="57"/>
        <v>Error?</v>
      </c>
    </row>
    <row r="3729" spans="1:4" x14ac:dyDescent="0.2">
      <c r="A3729" s="5">
        <v>3668</v>
      </c>
      <c r="B3729" s="138">
        <f>'Tax Sched 23'!E13</f>
        <v>108125</v>
      </c>
      <c r="D3729" s="2" t="str">
        <f t="shared" si="57"/>
        <v>Error?</v>
      </c>
    </row>
    <row r="3730" spans="1:4" x14ac:dyDescent="0.2">
      <c r="A3730" s="5">
        <v>3669</v>
      </c>
      <c r="B3730" s="138">
        <f>'ICR Computation 30'!E10</f>
        <v>82835</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397173</v>
      </c>
      <c r="D4113" s="2" t="str">
        <f t="shared" si="63"/>
        <v>Error?</v>
      </c>
    </row>
    <row r="4114" spans="1:4" x14ac:dyDescent="0.2">
      <c r="A4114" s="5">
        <v>4053</v>
      </c>
      <c r="B4114" s="138">
        <f>'Acct Summary 7-8'!D9</f>
        <v>2816</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2379</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6144612</v>
      </c>
      <c r="C4122" s="2" t="s">
        <v>573</v>
      </c>
      <c r="D4122" s="2" t="str">
        <f t="shared" si="63"/>
        <v>Error?</v>
      </c>
    </row>
    <row r="4123" spans="1:4" x14ac:dyDescent="0.2">
      <c r="A4123" s="5">
        <v>4062</v>
      </c>
      <c r="B4123" s="138">
        <f>'Acct Summary 7-8'!D10</f>
        <v>528541</v>
      </c>
      <c r="C4123" s="2" t="s">
        <v>573</v>
      </c>
      <c r="D4123" s="2" t="str">
        <f t="shared" si="63"/>
        <v>Error?</v>
      </c>
    </row>
    <row r="4124" spans="1:4" x14ac:dyDescent="0.2">
      <c r="A4124" s="5">
        <v>4063</v>
      </c>
      <c r="B4124" s="138">
        <f>'Acct Summary 7-8'!E10</f>
        <v>1313857</v>
      </c>
      <c r="C4124" s="2" t="s">
        <v>573</v>
      </c>
      <c r="D4124" s="2" t="str">
        <f t="shared" si="63"/>
        <v>Error?</v>
      </c>
    </row>
    <row r="4125" spans="1:4" x14ac:dyDescent="0.2">
      <c r="A4125" s="5">
        <v>4064</v>
      </c>
      <c r="B4125" s="138">
        <f>'Acct Summary 7-8'!F10</f>
        <v>1552971</v>
      </c>
      <c r="C4125" s="2" t="s">
        <v>573</v>
      </c>
      <c r="D4125" s="2" t="str">
        <f t="shared" si="63"/>
        <v>Error?</v>
      </c>
    </row>
    <row r="4126" spans="1:4" x14ac:dyDescent="0.2">
      <c r="A4126" s="5">
        <v>4065</v>
      </c>
      <c r="B4126" s="138">
        <f>'Acct Summary 7-8'!G10</f>
        <v>267004</v>
      </c>
      <c r="C4126" s="2" t="s">
        <v>573</v>
      </c>
      <c r="D4126" s="2" t="str">
        <f t="shared" si="63"/>
        <v>Error?</v>
      </c>
    </row>
    <row r="4127" spans="1:4" x14ac:dyDescent="0.2">
      <c r="A4127" s="5">
        <v>4066</v>
      </c>
      <c r="B4127" s="138">
        <f>'Acct Summary 7-8'!H10</f>
        <v>42378</v>
      </c>
      <c r="C4127" s="2" t="s">
        <v>573</v>
      </c>
      <c r="D4127" s="2" t="str">
        <f t="shared" si="63"/>
        <v>Error?</v>
      </c>
    </row>
    <row r="4128" spans="1:4" x14ac:dyDescent="0.2">
      <c r="A4128" s="5">
        <v>4067</v>
      </c>
      <c r="B4128" s="138">
        <f>'Acct Summary 7-8'!I10</f>
        <v>104693</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102429</v>
      </c>
      <c r="C4130" s="2" t="s">
        <v>573</v>
      </c>
      <c r="D4130" s="2" t="str">
        <f t="shared" si="63"/>
        <v>Error?</v>
      </c>
    </row>
    <row r="4131" spans="1:4" x14ac:dyDescent="0.2">
      <c r="A4131" s="5">
        <v>4070</v>
      </c>
      <c r="B4131" s="138">
        <f>'Acct Summary 7-8'!C18</f>
        <v>397173</v>
      </c>
      <c r="C4131" s="2" t="s">
        <v>573</v>
      </c>
      <c r="D4131" s="2" t="str">
        <f t="shared" si="63"/>
        <v>Error?</v>
      </c>
    </row>
    <row r="4132" spans="1:4" x14ac:dyDescent="0.2">
      <c r="A4132" s="5">
        <v>4071</v>
      </c>
      <c r="B4132" s="138">
        <f>'Acct Summary 7-8'!D18</f>
        <v>2816</v>
      </c>
      <c r="C4132" s="2" t="s">
        <v>573</v>
      </c>
      <c r="D4132" s="2" t="str">
        <f t="shared" si="63"/>
        <v>Error?</v>
      </c>
    </row>
    <row r="4133" spans="1:4" x14ac:dyDescent="0.2">
      <c r="A4133" s="5">
        <v>4072</v>
      </c>
      <c r="B4133" s="138">
        <f>'Acct Summary 7-8'!F18</f>
        <v>2379</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6187746</v>
      </c>
      <c r="C4136" s="2" t="s">
        <v>573</v>
      </c>
      <c r="D4136" s="2" t="str">
        <f t="shared" si="63"/>
        <v>Error?</v>
      </c>
    </row>
    <row r="4137" spans="1:4" x14ac:dyDescent="0.2">
      <c r="A4137" s="5">
        <v>4076</v>
      </c>
      <c r="B4137" s="138">
        <f>'Acct Summary 7-8'!D19</f>
        <v>442051</v>
      </c>
      <c r="C4137" s="2" t="s">
        <v>573</v>
      </c>
      <c r="D4137" s="2" t="str">
        <f t="shared" si="63"/>
        <v>Error?</v>
      </c>
    </row>
    <row r="4138" spans="1:4" x14ac:dyDescent="0.2">
      <c r="A4138" s="5">
        <v>4077</v>
      </c>
      <c r="B4138" s="138">
        <f>'Acct Summary 7-8'!E19</f>
        <v>997050</v>
      </c>
      <c r="C4138" s="2" t="s">
        <v>573</v>
      </c>
      <c r="D4138" s="2" t="str">
        <f t="shared" si="63"/>
        <v>Error?</v>
      </c>
    </row>
    <row r="4139" spans="1:4" x14ac:dyDescent="0.2">
      <c r="A4139" s="5">
        <v>4078</v>
      </c>
      <c r="B4139" s="138">
        <f>'Acct Summary 7-8'!F19</f>
        <v>1577971</v>
      </c>
      <c r="C4139" s="2" t="s">
        <v>573</v>
      </c>
      <c r="D4139" s="2" t="str">
        <f t="shared" si="63"/>
        <v>Error?</v>
      </c>
    </row>
    <row r="4140" spans="1:4" x14ac:dyDescent="0.2">
      <c r="A4140" s="5">
        <v>4079</v>
      </c>
      <c r="B4140" s="138">
        <f>'Acct Summary 7-8'!G19</f>
        <v>311579</v>
      </c>
      <c r="C4140" s="2" t="s">
        <v>573</v>
      </c>
      <c r="D4140" s="2" t="str">
        <f t="shared" si="63"/>
        <v>Error?</v>
      </c>
    </row>
    <row r="4141" spans="1:4" x14ac:dyDescent="0.2">
      <c r="A4141" s="5">
        <v>4080</v>
      </c>
      <c r="B4141" s="138">
        <f>'Acct Summary 7-8'!H19</f>
        <v>352729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6715000</v>
      </c>
      <c r="C4171" s="2" t="s">
        <v>573</v>
      </c>
      <c r="D4171" s="2" t="str">
        <f t="shared" si="64"/>
        <v>Error?</v>
      </c>
    </row>
    <row r="4172" spans="1:4" x14ac:dyDescent="0.2">
      <c r="A4172" s="5">
        <v>4111</v>
      </c>
      <c r="B4172" s="138">
        <f>'Short-Term Long-Term Debt 24'!J49</f>
        <v>5765018</v>
      </c>
      <c r="C4172" s="2" t="s">
        <v>573</v>
      </c>
      <c r="D4172" s="2" t="str">
        <f t="shared" si="64"/>
        <v>Error?</v>
      </c>
    </row>
    <row r="4173" spans="1:4" x14ac:dyDescent="0.2">
      <c r="A4173" s="5">
        <v>4112</v>
      </c>
      <c r="B4173" s="138">
        <f>'Short-Term Long-Term Debt 24'!H49</f>
        <v>700000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1790</v>
      </c>
      <c r="C4265" s="2" t="s">
        <v>573</v>
      </c>
      <c r="D4265" s="2" t="str">
        <f t="shared" si="65"/>
        <v>Error?</v>
      </c>
      <c r="E4265" s="128"/>
    </row>
    <row r="4266" spans="1:5" x14ac:dyDescent="0.2">
      <c r="A4266" s="12">
        <v>4205</v>
      </c>
      <c r="B4266" s="138">
        <f>('FP Info 3'!F10)*100000</f>
        <v>250</v>
      </c>
      <c r="C4266" s="2" t="s">
        <v>573</v>
      </c>
      <c r="D4266" s="2" t="str">
        <f t="shared" si="65"/>
        <v>Error?</v>
      </c>
      <c r="E4266" s="128"/>
    </row>
    <row r="4267" spans="1:5" x14ac:dyDescent="0.2">
      <c r="A4267" s="12">
        <v>4206</v>
      </c>
      <c r="B4267" s="138">
        <f>('FP Info 3'!H10)*100000</f>
        <v>119.99999999999999</v>
      </c>
      <c r="C4267" s="2" t="s">
        <v>573</v>
      </c>
      <c r="D4267" s="2" t="str">
        <f t="shared" si="65"/>
        <v>Error?</v>
      </c>
      <c r="E4267" s="128"/>
    </row>
    <row r="4268" spans="1:5" x14ac:dyDescent="0.2">
      <c r="A4268" s="12">
        <v>4207</v>
      </c>
      <c r="B4268" s="138">
        <f>('FP Info 3'!J10)*100000</f>
        <v>2160</v>
      </c>
      <c r="C4268" s="2" t="s">
        <v>573</v>
      </c>
      <c r="D4268" s="2" t="str">
        <f t="shared" si="65"/>
        <v>Error?</v>
      </c>
    </row>
    <row r="4269" spans="1:5" x14ac:dyDescent="0.2">
      <c r="A4269" s="12">
        <v>4208</v>
      </c>
      <c r="B4269" s="138">
        <f>'FP Info 3'!J16</f>
        <v>4562998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25204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8457</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4730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20485</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750</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8358</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216249624</v>
      </c>
      <c r="D4995" s="2" t="str">
        <f t="shared" si="77"/>
        <v>Error?</v>
      </c>
    </row>
    <row r="4996" spans="1:4" x14ac:dyDescent="0.2">
      <c r="A4996" s="12">
        <v>4935</v>
      </c>
      <c r="B4996" s="138">
        <f>'FP Info 3'!H31</f>
        <v>14921224.056000002</v>
      </c>
      <c r="D4996" s="2" t="str">
        <f t="shared" si="77"/>
        <v>Error?</v>
      </c>
    </row>
    <row r="4997" spans="1:4" x14ac:dyDescent="0.2">
      <c r="A4997" s="12">
        <v>4936</v>
      </c>
      <c r="B4997" s="138">
        <f>'FP Info 3'!H37</f>
        <v>6715000</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80000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80000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94230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3373433</v>
      </c>
      <c r="D5061" s="2" t="str">
        <f t="shared" si="78"/>
        <v>Error?</v>
      </c>
    </row>
    <row r="5062" spans="1:4" x14ac:dyDescent="0.2">
      <c r="A5062" s="10">
        <v>5001</v>
      </c>
      <c r="D5062" s="2" t="str">
        <f t="shared" si="78"/>
        <v>OK</v>
      </c>
    </row>
    <row r="5063" spans="1:4" x14ac:dyDescent="0.2">
      <c r="A5063" s="5">
        <v>5002</v>
      </c>
      <c r="B5063" s="138">
        <f>'Revenues 9-14'!C7</f>
        <v>37692</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3505355</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113556</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113556</v>
      </c>
      <c r="C5071" s="2" t="s">
        <v>573</v>
      </c>
      <c r="D5071" s="2" t="str">
        <f t="shared" si="78"/>
        <v>Error?</v>
      </c>
    </row>
    <row r="5072" spans="1:4" x14ac:dyDescent="0.2">
      <c r="A5072" s="5">
        <v>5011</v>
      </c>
      <c r="B5072" s="138">
        <f>'Revenues 9-14'!C20</f>
        <v>9702</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9702</v>
      </c>
      <c r="C5087" s="2" t="s">
        <v>573</v>
      </c>
      <c r="D5087" s="2" t="str">
        <f t="shared" si="78"/>
        <v>Error?</v>
      </c>
    </row>
    <row r="5088" spans="1:4" x14ac:dyDescent="0.2">
      <c r="A5088" s="5">
        <v>5027</v>
      </c>
      <c r="B5088" s="138">
        <f>'Revenues 9-14'!C65</f>
        <v>47208</v>
      </c>
      <c r="D5088" s="2" t="str">
        <f t="shared" si="78"/>
        <v>Error?</v>
      </c>
    </row>
    <row r="5089" spans="1:4" x14ac:dyDescent="0.2">
      <c r="A5089" s="5">
        <v>5028</v>
      </c>
      <c r="B5089" s="138">
        <f>'Revenues 9-14'!C66</f>
        <v>0</v>
      </c>
      <c r="D5089" s="2" t="str">
        <f t="shared" si="78"/>
        <v>Error?</v>
      </c>
    </row>
    <row r="5090" spans="1:4" x14ac:dyDescent="0.2">
      <c r="A5090" s="5">
        <v>5029</v>
      </c>
      <c r="B5090" s="138">
        <f>'Revenues 9-14'!C67</f>
        <v>47208</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7398</v>
      </c>
      <c r="D5092" s="2" t="str">
        <f t="shared" si="78"/>
        <v>Error?</v>
      </c>
    </row>
    <row r="5093" spans="1:4" x14ac:dyDescent="0.2">
      <c r="A5093" s="5">
        <v>5032</v>
      </c>
      <c r="B5093" s="138">
        <f>'Revenues 9-14'!C72</f>
        <v>0</v>
      </c>
      <c r="D5093" s="2" t="str">
        <f t="shared" si="78"/>
        <v>Error?</v>
      </c>
    </row>
    <row r="5094" spans="1:4" x14ac:dyDescent="0.2">
      <c r="A5094" s="5">
        <v>5033</v>
      </c>
      <c r="B5094" s="138">
        <f>'Revenues 9-14'!C73</f>
        <v>198</v>
      </c>
      <c r="D5094" s="2" t="str">
        <f t="shared" si="78"/>
        <v>Error?</v>
      </c>
    </row>
    <row r="5095" spans="1:4" x14ac:dyDescent="0.2">
      <c r="A5095" s="5">
        <v>5034</v>
      </c>
      <c r="B5095" s="138">
        <f>'Revenues 9-14'!C74</f>
        <v>0</v>
      </c>
      <c r="D5095" s="2" t="str">
        <f t="shared" si="78"/>
        <v>Error?</v>
      </c>
    </row>
    <row r="5096" spans="1:4" x14ac:dyDescent="0.2">
      <c r="A5096" s="5">
        <v>5035</v>
      </c>
      <c r="B5096" s="138">
        <f>'Revenues 9-14'!C75</f>
        <v>57658</v>
      </c>
      <c r="C5096" s="2" t="s">
        <v>573</v>
      </c>
      <c r="D5096" s="2" t="str">
        <f t="shared" si="78"/>
        <v>Error?</v>
      </c>
    </row>
    <row r="5097" spans="1:4" x14ac:dyDescent="0.2">
      <c r="A5097" s="5">
        <v>5036</v>
      </c>
      <c r="B5097" s="138">
        <f>'Revenues 9-14'!C77</f>
        <v>12954</v>
      </c>
      <c r="D5097" s="2" t="str">
        <f t="shared" si="78"/>
        <v>Error?</v>
      </c>
    </row>
    <row r="5098" spans="1:4" x14ac:dyDescent="0.2">
      <c r="A5098" s="5">
        <v>5037</v>
      </c>
      <c r="B5098" s="138">
        <f>'Revenues 9-14'!C78</f>
        <v>5021</v>
      </c>
      <c r="D5098" s="2" t="str">
        <f t="shared" si="78"/>
        <v>Error?</v>
      </c>
    </row>
    <row r="5099" spans="1:4" x14ac:dyDescent="0.2">
      <c r="A5099" s="5">
        <v>5038</v>
      </c>
      <c r="B5099" s="138">
        <f>'Revenues 9-14'!C79</f>
        <v>9170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14735</v>
      </c>
      <c r="D5101" s="2" t="str">
        <f t="shared" si="78"/>
        <v>Error?</v>
      </c>
    </row>
    <row r="5102" spans="1:4" x14ac:dyDescent="0.2">
      <c r="A5102" s="5">
        <v>5041</v>
      </c>
      <c r="B5102" s="138">
        <f>'Revenues 9-14'!C82</f>
        <v>41880</v>
      </c>
      <c r="C5102" s="2" t="s">
        <v>573</v>
      </c>
      <c r="D5102" s="2" t="str">
        <f t="shared" si="78"/>
        <v>Error?</v>
      </c>
    </row>
    <row r="5103" spans="1:4" x14ac:dyDescent="0.2">
      <c r="A5103" s="5">
        <v>5042</v>
      </c>
      <c r="B5103" s="138">
        <f>'Revenues 9-14'!C84</f>
        <v>66659</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140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66799</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17028</v>
      </c>
      <c r="D5115" s="2" t="str">
        <f t="shared" si="78"/>
        <v>Error?</v>
      </c>
    </row>
    <row r="5116" spans="1:4" x14ac:dyDescent="0.2">
      <c r="A5116" s="5">
        <v>5055</v>
      </c>
      <c r="B5116" s="138">
        <f>'Revenues 9-14'!C99</f>
        <v>46400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8280</v>
      </c>
      <c r="D5119" s="2" t="str">
        <f t="shared" ref="D5119:D5182" si="79">IF(ISBLANK(B5119),"OK",IF(A5119-B5119=0,"OK","Error?"))</f>
        <v>Error?</v>
      </c>
    </row>
    <row r="5120" spans="1:4" x14ac:dyDescent="0.2">
      <c r="A5120" s="5">
        <v>5059</v>
      </c>
      <c r="B5120" s="138">
        <f>'Revenues 9-14'!C108</f>
        <v>282136</v>
      </c>
      <c r="C5120" s="2" t="s">
        <v>573</v>
      </c>
      <c r="D5120" s="2" t="str">
        <f t="shared" si="79"/>
        <v>Error?</v>
      </c>
    </row>
    <row r="5121" spans="1:4" x14ac:dyDescent="0.2">
      <c r="A5121" s="5">
        <v>5060</v>
      </c>
      <c r="B5121" s="138">
        <f>'Revenues 9-14'!C109</f>
        <v>4124294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9007</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9007</v>
      </c>
      <c r="C5125" s="2" t="s">
        <v>573</v>
      </c>
      <c r="D5125" s="2" t="str">
        <f t="shared" si="79"/>
        <v>Error?</v>
      </c>
    </row>
    <row r="5126" spans="1:4" x14ac:dyDescent="0.2">
      <c r="A5126" s="5">
        <v>5065</v>
      </c>
      <c r="B5126" s="138">
        <f>'Revenues 9-14'!C117</f>
        <v>1055039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1055039</v>
      </c>
      <c r="C5132" s="2" t="s">
        <v>573</v>
      </c>
      <c r="D5132" s="2" t="str">
        <f t="shared" si="79"/>
        <v>Error?</v>
      </c>
    </row>
    <row r="5133" spans="1:4" x14ac:dyDescent="0.2">
      <c r="A5133" s="5">
        <v>5072</v>
      </c>
      <c r="B5133" s="138">
        <f>'Revenues 9-14'!C125</f>
        <v>79528</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79528</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1193</v>
      </c>
      <c r="D5167" s="2" t="str">
        <f t="shared" si="79"/>
        <v>Error?</v>
      </c>
    </row>
    <row r="5168" spans="1:4" x14ac:dyDescent="0.2">
      <c r="A5168" s="5">
        <v>5107</v>
      </c>
      <c r="B5168" s="138">
        <f>'Revenues 9-14'!C148</f>
        <v>0</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119281</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200752</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1255791</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82835</v>
      </c>
      <c r="D5239" s="2" t="str">
        <f t="shared" si="80"/>
        <v>Error?</v>
      </c>
    </row>
    <row r="5240" spans="1:4" x14ac:dyDescent="0.2">
      <c r="A5240" s="5">
        <v>5179</v>
      </c>
      <c r="B5240" s="138">
        <f>'Revenues 9-14'!C192</f>
        <v>1123</v>
      </c>
      <c r="D5240" s="2" t="str">
        <f t="shared" si="80"/>
        <v>Error?</v>
      </c>
    </row>
    <row r="5241" spans="1:4" x14ac:dyDescent="0.2">
      <c r="A5241" s="5">
        <v>5180</v>
      </c>
      <c r="B5241" s="138">
        <f>'Revenues 9-14'!C193</f>
        <v>0</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83958</v>
      </c>
      <c r="C5246" s="2" t="s">
        <v>573</v>
      </c>
      <c r="D5246" s="2" t="str">
        <f t="shared" si="80"/>
        <v>Error?</v>
      </c>
    </row>
    <row r="5247" spans="1:4" x14ac:dyDescent="0.2">
      <c r="A5247" s="5">
        <v>5186</v>
      </c>
      <c r="B5247" s="138">
        <f>'Revenues 9-14'!C200</f>
        <v>109289</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8457</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109289</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106224</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106224</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358347</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358347</v>
      </c>
      <c r="C5326" s="2" t="s">
        <v>573</v>
      </c>
      <c r="D5326" s="2" t="str">
        <f t="shared" si="82"/>
        <v>Error?</v>
      </c>
    </row>
    <row r="5327" spans="1:5" x14ac:dyDescent="0.2">
      <c r="A5327" s="5">
        <v>5266</v>
      </c>
      <c r="B5327" s="138">
        <f>'Revenues 9-14'!C268</f>
        <v>5747439</v>
      </c>
      <c r="C5327" s="2" t="s">
        <v>573</v>
      </c>
      <c r="D5327" s="2" t="str">
        <f t="shared" si="82"/>
        <v>Error?</v>
      </c>
    </row>
    <row r="5328" spans="1:5" x14ac:dyDescent="0.2">
      <c r="A5328" s="5">
        <v>5267</v>
      </c>
      <c r="B5328" s="138">
        <f>'Revenues 9-14'!D5</f>
        <v>471150</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471150</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573</v>
      </c>
      <c r="D5339" s="2" t="str">
        <f t="shared" si="82"/>
        <v>Error?</v>
      </c>
    </row>
    <row r="5340" spans="1:4" x14ac:dyDescent="0.2">
      <c r="A5340" s="5">
        <v>5279</v>
      </c>
      <c r="B5340" s="138">
        <f>'Revenues 9-14'!D65</f>
        <v>10682</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10682</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4735</v>
      </c>
      <c r="D5349" s="2" t="str">
        <f t="shared" si="82"/>
        <v>Error?</v>
      </c>
    </row>
    <row r="5350" spans="1:4" x14ac:dyDescent="0.2">
      <c r="A5350" s="5">
        <v>5289</v>
      </c>
      <c r="B5350" s="138">
        <f>'Revenues 9-14'!D96</f>
        <v>0</v>
      </c>
      <c r="D5350" s="2" t="str">
        <f t="shared" si="82"/>
        <v>Error?</v>
      </c>
    </row>
    <row r="5351" spans="1:4" x14ac:dyDescent="0.2">
      <c r="A5351" s="5">
        <v>5290</v>
      </c>
      <c r="B5351" s="138">
        <f>'Revenues 9-14'!D98</f>
        <v>30784</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16</v>
      </c>
      <c r="D5354" s="2" t="str">
        <f t="shared" si="82"/>
        <v>Error?</v>
      </c>
    </row>
    <row r="5355" spans="1:4" x14ac:dyDescent="0.2">
      <c r="A5355" s="5">
        <v>5294</v>
      </c>
      <c r="B5355" s="138">
        <f>'Revenues 9-14'!D108</f>
        <v>35535</v>
      </c>
      <c r="C5355" s="2" t="s">
        <v>573</v>
      </c>
      <c r="D5355" s="2" t="str">
        <f t="shared" si="82"/>
        <v>Error?</v>
      </c>
    </row>
    <row r="5356" spans="1:4" x14ac:dyDescent="0.2">
      <c r="A5356" s="5">
        <v>5295</v>
      </c>
      <c r="B5356" s="138">
        <f>'Revenues 9-14'!D109</f>
        <v>517367</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8358</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8358</v>
      </c>
      <c r="C5507" s="2" t="s">
        <v>573</v>
      </c>
      <c r="D5507" s="2" t="str">
        <f t="shared" si="85"/>
        <v>Error?</v>
      </c>
    </row>
    <row r="5508" spans="1:4" x14ac:dyDescent="0.2">
      <c r="A5508" s="5">
        <v>5447</v>
      </c>
      <c r="B5508" s="138">
        <f>'Revenues 9-14'!D268</f>
        <v>525725</v>
      </c>
      <c r="C5508" s="2" t="s">
        <v>573</v>
      </c>
      <c r="D5508" s="2" t="str">
        <f t="shared" si="85"/>
        <v>Error?</v>
      </c>
    </row>
    <row r="5509" spans="1:4" x14ac:dyDescent="0.2">
      <c r="A5509" s="5">
        <v>5448</v>
      </c>
      <c r="B5509" s="138">
        <f>'Revenues 9-14'!E5</f>
        <v>865762</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865762</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17262</v>
      </c>
      <c r="D5519" s="2" t="str">
        <f t="shared" si="85"/>
        <v>Error?</v>
      </c>
    </row>
    <row r="5520" spans="1:4" x14ac:dyDescent="0.2">
      <c r="A5520" s="5">
        <v>5459</v>
      </c>
      <c r="B5520" s="138">
        <f>'Revenues 9-14'!E66</f>
        <v>0</v>
      </c>
      <c r="D5520" s="2" t="str">
        <f t="shared" si="85"/>
        <v>Error?</v>
      </c>
    </row>
    <row r="5521" spans="1:4" x14ac:dyDescent="0.2">
      <c r="A5521" s="5">
        <v>5460</v>
      </c>
      <c r="B5521" s="138">
        <f>'Revenues 9-14'!E67</f>
        <v>17262</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833</v>
      </c>
      <c r="D5525" s="2" t="str">
        <f t="shared" si="85"/>
        <v>Error?</v>
      </c>
    </row>
    <row r="5526" spans="1:4" x14ac:dyDescent="0.2">
      <c r="A5526" s="5">
        <v>5465</v>
      </c>
      <c r="B5526" s="138">
        <f>'Revenues 9-14'!E108</f>
        <v>430833</v>
      </c>
      <c r="C5526" s="2" t="s">
        <v>573</v>
      </c>
      <c r="D5526" s="2" t="str">
        <f t="shared" si="85"/>
        <v>Error?</v>
      </c>
    </row>
    <row r="5527" spans="1:4" x14ac:dyDescent="0.2">
      <c r="A5527" s="5">
        <v>5466</v>
      </c>
      <c r="B5527" s="138">
        <f>'Revenues 9-14'!E109</f>
        <v>1313857</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1313857</v>
      </c>
      <c r="C5552" s="2" t="s">
        <v>573</v>
      </c>
      <c r="D5552" s="2" t="str">
        <f t="shared" si="85"/>
        <v>Error?</v>
      </c>
    </row>
    <row r="5553" spans="1:4" x14ac:dyDescent="0.2">
      <c r="A5553" s="5">
        <v>5492</v>
      </c>
      <c r="B5553" s="138">
        <f>'Revenues 9-14'!F5</f>
        <v>226152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226152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435664</v>
      </c>
      <c r="D5564" s="2" t="str">
        <f t="shared" si="85"/>
        <v>Error?</v>
      </c>
    </row>
    <row r="5565" spans="1:4" x14ac:dyDescent="0.2">
      <c r="A5565" s="5">
        <v>5504</v>
      </c>
      <c r="B5565" s="138">
        <f>'Revenues 9-14'!F44</f>
        <v>24161</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642614</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1102439</v>
      </c>
      <c r="C5579" s="2" t="s">
        <v>573</v>
      </c>
      <c r="D5579" s="2" t="str">
        <f t="shared" si="86"/>
        <v>Error?</v>
      </c>
    </row>
    <row r="5580" spans="1:4" x14ac:dyDescent="0.2">
      <c r="A5580" s="5">
        <v>5519</v>
      </c>
      <c r="B5580" s="138">
        <f>'Revenues 9-14'!F65</f>
        <v>6968</v>
      </c>
      <c r="D5580" s="2" t="str">
        <f t="shared" si="86"/>
        <v>Error?</v>
      </c>
    </row>
    <row r="5581" spans="1:4" x14ac:dyDescent="0.2">
      <c r="A5581" s="5">
        <v>5520</v>
      </c>
      <c r="B5581" s="138">
        <f>'Revenues 9-14'!F66</f>
        <v>0</v>
      </c>
      <c r="D5581" s="2" t="str">
        <f t="shared" si="86"/>
        <v>Error?</v>
      </c>
    </row>
    <row r="5582" spans="1:4" x14ac:dyDescent="0.2">
      <c r="A5582" s="5">
        <v>5521</v>
      </c>
      <c r="B5582" s="138">
        <f>'Revenues 9-14'!F67</f>
        <v>6968</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145</v>
      </c>
      <c r="D5586" s="2" t="str">
        <f t="shared" si="86"/>
        <v>Error?</v>
      </c>
    </row>
    <row r="5587" spans="1:4" x14ac:dyDescent="0.2">
      <c r="A5587" s="5">
        <v>5526</v>
      </c>
      <c r="B5587" s="138">
        <f>'Revenues 9-14'!F108</f>
        <v>145</v>
      </c>
      <c r="C5587" s="2" t="s">
        <v>573</v>
      </c>
      <c r="D5587" s="2" t="str">
        <f t="shared" si="86"/>
        <v>Error?</v>
      </c>
    </row>
    <row r="5588" spans="1:4" x14ac:dyDescent="0.2">
      <c r="A5588" s="5">
        <v>5527</v>
      </c>
      <c r="B5588" s="138">
        <f>'Revenues 9-14'!F109</f>
        <v>1335704</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12855</v>
      </c>
      <c r="D5615" s="2" t="str">
        <f t="shared" si="86"/>
        <v>Error?</v>
      </c>
    </row>
    <row r="5616" spans="1:4" x14ac:dyDescent="0.2">
      <c r="A5616" s="10">
        <v>5555</v>
      </c>
      <c r="D5616" s="2" t="str">
        <f t="shared" si="86"/>
        <v>OK</v>
      </c>
    </row>
    <row r="5617" spans="1:5" x14ac:dyDescent="0.2">
      <c r="A5617" s="5">
        <v>5556</v>
      </c>
      <c r="B5617" s="138">
        <f>'Revenues 9-14'!F153</f>
        <v>183096</v>
      </c>
      <c r="D5617" s="2" t="str">
        <f t="shared" si="86"/>
        <v>Error?</v>
      </c>
    </row>
    <row r="5618" spans="1:5" x14ac:dyDescent="0.2">
      <c r="A5618" s="5">
        <v>5557</v>
      </c>
      <c r="B5618" s="138">
        <f>'Revenues 9-14'!F155</f>
        <v>195951</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18937</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214888</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214888</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1550592</v>
      </c>
      <c r="C5720" s="2" t="s">
        <v>573</v>
      </c>
      <c r="D5720" s="2" t="str">
        <f t="shared" si="88"/>
        <v>Error?</v>
      </c>
    </row>
    <row r="5721" spans="1:4" x14ac:dyDescent="0.2">
      <c r="A5721" s="5">
        <v>5660</v>
      </c>
      <c r="B5721" s="138">
        <f>'Revenues 9-14'!G5</f>
        <v>69374</v>
      </c>
      <c r="D5721" s="2" t="str">
        <f t="shared" si="88"/>
        <v>Error?</v>
      </c>
    </row>
    <row r="5722" spans="1:4" x14ac:dyDescent="0.2">
      <c r="A5722" s="5">
        <v>5661</v>
      </c>
      <c r="B5722" s="138">
        <f>'Revenues 9-14'!G7</f>
        <v>0</v>
      </c>
      <c r="D5722" s="2" t="str">
        <f t="shared" si="88"/>
        <v>Error?</v>
      </c>
    </row>
    <row r="5723" spans="1:4" x14ac:dyDescent="0.2">
      <c r="A5723" s="5">
        <v>5662</v>
      </c>
      <c r="B5723" s="138">
        <f>'Revenues 9-14'!G8</f>
        <v>84793</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154167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4731</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4731</v>
      </c>
      <c r="C5730" s="2" t="s">
        <v>573</v>
      </c>
      <c r="D5730" s="2" t="str">
        <f t="shared" si="88"/>
        <v>Error?</v>
      </c>
    </row>
    <row r="5731" spans="1:4" x14ac:dyDescent="0.2">
      <c r="A5731" s="5">
        <v>5670</v>
      </c>
      <c r="B5731" s="138">
        <f>'Revenues 9-14'!G65</f>
        <v>3604</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3604</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104502</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267004</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6615</v>
      </c>
      <c r="D5879" s="2" t="str">
        <f t="shared" si="90"/>
        <v>Error?</v>
      </c>
    </row>
    <row r="5880" spans="1:4" x14ac:dyDescent="0.2">
      <c r="A5880" s="5">
        <v>5819</v>
      </c>
      <c r="B5880" s="138">
        <f>'Revenues 9-14'!H66</f>
        <v>0</v>
      </c>
      <c r="D5880" s="2" t="str">
        <f t="shared" si="90"/>
        <v>Error?</v>
      </c>
    </row>
    <row r="5881" spans="1:4" x14ac:dyDescent="0.2">
      <c r="A5881" s="5">
        <v>5820</v>
      </c>
      <c r="B5881" s="138">
        <f>'Revenues 9-14'!H67</f>
        <v>6615</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9000</v>
      </c>
      <c r="D5885" s="2" t="str">
        <f t="shared" si="90"/>
        <v>Error?</v>
      </c>
    </row>
    <row r="5886" spans="1:4" x14ac:dyDescent="0.2">
      <c r="A5886" s="5">
        <v>5825</v>
      </c>
      <c r="B5886" s="138">
        <f>'Revenues 9-14'!H108</f>
        <v>35763</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42378</v>
      </c>
      <c r="C5915" s="2" t="s">
        <v>573</v>
      </c>
      <c r="D5915" s="2" t="str">
        <f t="shared" si="91"/>
        <v>Error?</v>
      </c>
    </row>
    <row r="5916" spans="1:4" x14ac:dyDescent="0.2">
      <c r="A5916" s="5">
        <v>5855</v>
      </c>
      <c r="B5916" s="138">
        <f>'Revenues 9-14'!I5</f>
        <v>94230</v>
      </c>
      <c r="D5916" s="2" t="str">
        <f t="shared" si="91"/>
        <v>Error?</v>
      </c>
    </row>
    <row r="5917" spans="1:4" x14ac:dyDescent="0.2">
      <c r="A5917" s="5">
        <v>5856</v>
      </c>
      <c r="B5917" s="138">
        <f>'Revenues 9-14'!I11</f>
        <v>0</v>
      </c>
      <c r="D5917" s="2" t="str">
        <f t="shared" si="91"/>
        <v>Error?</v>
      </c>
    </row>
    <row r="5918" spans="1:4" x14ac:dyDescent="0.2">
      <c r="A5918" s="5">
        <v>5857</v>
      </c>
      <c r="B5918" s="138">
        <f>'Revenues 9-14'!I12</f>
        <v>94230</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10463</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10463</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104693</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94231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94231</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8198</v>
      </c>
      <c r="D5993" s="2" t="str">
        <f t="shared" si="92"/>
        <v>Error?</v>
      </c>
    </row>
    <row r="5994" spans="1:4" x14ac:dyDescent="0.2">
      <c r="A5994" s="5">
        <v>5933</v>
      </c>
      <c r="B5994" s="138">
        <f>'Revenues 9-14'!K66</f>
        <v>0</v>
      </c>
      <c r="D5994" s="2" t="str">
        <f t="shared" si="92"/>
        <v>Error?</v>
      </c>
    </row>
    <row r="5995" spans="1:4" x14ac:dyDescent="0.2">
      <c r="A5995" s="5">
        <v>5934</v>
      </c>
      <c r="B5995" s="138">
        <f>'Revenues 9-14'!K67</f>
        <v>8198</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102429</v>
      </c>
      <c r="C6023" s="2" t="s">
        <v>573</v>
      </c>
      <c r="D6023" s="2" t="str">
        <f t="shared" si="93"/>
        <v>Error?</v>
      </c>
    </row>
    <row r="6024" spans="1:5" x14ac:dyDescent="0.2">
      <c r="A6024" s="5">
        <v>5963</v>
      </c>
      <c r="B6024" s="138">
        <f>'Revenues 9-14'!G109</f>
        <v>267004</v>
      </c>
      <c r="C6024" s="2" t="s">
        <v>573</v>
      </c>
      <c r="D6024" s="2" t="str">
        <f t="shared" si="93"/>
        <v>Error?</v>
      </c>
    </row>
    <row r="6025" spans="1:5" x14ac:dyDescent="0.2">
      <c r="A6025" s="5">
        <v>5964</v>
      </c>
      <c r="B6025" s="138">
        <f>'Revenues 9-14'!H109</f>
        <v>42378</v>
      </c>
      <c r="C6025" s="2" t="s">
        <v>573</v>
      </c>
      <c r="D6025" s="2" t="str">
        <f t="shared" si="93"/>
        <v>Error?</v>
      </c>
    </row>
    <row r="6026" spans="1:5" x14ac:dyDescent="0.2">
      <c r="A6026" s="5">
        <v>5965</v>
      </c>
      <c r="B6026" s="138">
        <f>'Revenues 9-14'!I109</f>
        <v>104693</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102429</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50062</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14312</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716.2</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137626</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137626</v>
      </c>
      <c r="D6214" s="2" t="str">
        <f t="shared" si="96"/>
        <v>Error?</v>
      </c>
      <c r="E6214" s="2" t="s">
        <v>190</v>
      </c>
    </row>
    <row r="6215" spans="1:5" x14ac:dyDescent="0.2">
      <c r="A6215">
        <v>6154</v>
      </c>
      <c r="B6215" s="138">
        <f>'Assets-Liab 5-6'!J39</f>
        <v>0</v>
      </c>
      <c r="D6215" s="2" t="str">
        <f t="shared" si="96"/>
        <v>Error?</v>
      </c>
      <c r="E6215" s="2" t="s">
        <v>190</v>
      </c>
    </row>
    <row r="6216" spans="1:5" x14ac:dyDescent="0.2">
      <c r="A6216">
        <v>6155</v>
      </c>
      <c r="B6216" s="138">
        <f>'Assets-Liab 5-6'!J41</f>
        <v>137626</v>
      </c>
      <c r="D6216" s="2" t="str">
        <f t="shared" si="96"/>
        <v>Error?</v>
      </c>
      <c r="E6216" s="2" t="s">
        <v>190</v>
      </c>
    </row>
    <row r="6217" spans="1:5" x14ac:dyDescent="0.2">
      <c r="A6217">
        <v>6156</v>
      </c>
      <c r="B6217" s="138">
        <f>'Assets-Liab 5-6'!J4</f>
        <v>70620</v>
      </c>
      <c r="D6217" s="2" t="str">
        <f t="shared" si="96"/>
        <v>Error?</v>
      </c>
      <c r="E6217" s="2" t="s">
        <v>190</v>
      </c>
    </row>
    <row r="6218" spans="1:5" x14ac:dyDescent="0.2">
      <c r="A6218">
        <v>6157</v>
      </c>
      <c r="B6218" s="138">
        <f>'Assets-Liab 5-6'!J5</f>
        <v>67006</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232951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232951</v>
      </c>
      <c r="D6223" s="2" t="str">
        <f t="shared" si="96"/>
        <v>Error?</v>
      </c>
      <c r="E6223" s="2" t="s">
        <v>190</v>
      </c>
    </row>
    <row r="6224" spans="1:5" x14ac:dyDescent="0.2">
      <c r="A6224">
        <v>6163</v>
      </c>
      <c r="B6224" s="138">
        <f>'Acct Summary 7-8'!J9</f>
        <v>5405</v>
      </c>
      <c r="D6224" s="2" t="str">
        <f t="shared" si="96"/>
        <v>Error?</v>
      </c>
      <c r="E6224" s="2" t="s">
        <v>190</v>
      </c>
    </row>
    <row r="6225" spans="1:5" x14ac:dyDescent="0.2">
      <c r="A6225">
        <v>6164</v>
      </c>
      <c r="B6225" s="138">
        <f>'Acct Summary 7-8'!J10</f>
        <v>238356</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320998</v>
      </c>
      <c r="D6227" s="2" t="str">
        <f t="shared" si="96"/>
        <v>Error?</v>
      </c>
      <c r="E6227" s="2" t="s">
        <v>190</v>
      </c>
    </row>
    <row r="6228" spans="1:5" x14ac:dyDescent="0.2">
      <c r="A6228">
        <v>6167</v>
      </c>
      <c r="B6228" s="138">
        <f>'Acct Summary 7-8'!J18</f>
        <v>5405</v>
      </c>
      <c r="D6228" s="2" t="str">
        <f t="shared" si="96"/>
        <v>Error?</v>
      </c>
      <c r="E6228" s="2" t="s">
        <v>190</v>
      </c>
    </row>
    <row r="6229" spans="1:5" x14ac:dyDescent="0.2">
      <c r="A6229">
        <v>6168</v>
      </c>
      <c r="B6229" s="138">
        <f>'Acct Summary 7-8'!J19</f>
        <v>326403</v>
      </c>
      <c r="D6229" s="2" t="str">
        <f t="shared" si="96"/>
        <v>Error?</v>
      </c>
      <c r="E6229" s="2" t="s">
        <v>190</v>
      </c>
    </row>
    <row r="6230" spans="1:5" x14ac:dyDescent="0.2">
      <c r="A6230">
        <v>6169</v>
      </c>
      <c r="B6230" s="138">
        <f>'Acct Summary 7-8'!J20</f>
        <v>-88047</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-88047</v>
      </c>
      <c r="D6263" s="2" t="str">
        <f t="shared" si="96"/>
        <v>Error?</v>
      </c>
      <c r="E6263" s="2" t="s">
        <v>190</v>
      </c>
    </row>
    <row r="6264" spans="1:5" x14ac:dyDescent="0.2">
      <c r="A6264">
        <v>6203</v>
      </c>
      <c r="B6264" s="138">
        <f>'Acct Summary 7-8'!J79</f>
        <v>225673</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137626</v>
      </c>
      <c r="D6266" s="2" t="str">
        <f t="shared" si="96"/>
        <v>Error?</v>
      </c>
      <c r="E6266" s="2" t="s">
        <v>190</v>
      </c>
    </row>
    <row r="6267" spans="1:5" x14ac:dyDescent="0.2">
      <c r="A6267">
        <v>6206</v>
      </c>
      <c r="B6267" s="138">
        <f>'Acct Summary 7-8'!C82</f>
        <v>136866</v>
      </c>
      <c r="D6267" s="2" t="str">
        <f t="shared" si="96"/>
        <v>Error?</v>
      </c>
      <c r="E6267" s="2" t="s">
        <v>190</v>
      </c>
    </row>
    <row r="6268" spans="1:5" x14ac:dyDescent="0.2">
      <c r="A6268">
        <v>6207</v>
      </c>
      <c r="B6268" s="138">
        <f>'Acct Summary 7-8'!D82</f>
        <v>6490</v>
      </c>
      <c r="D6268" s="2" t="str">
        <f t="shared" si="96"/>
        <v>Error?</v>
      </c>
      <c r="E6268" s="2" t="s">
        <v>190</v>
      </c>
    </row>
    <row r="6269" spans="1:5" x14ac:dyDescent="0.2">
      <c r="A6269">
        <v>6208</v>
      </c>
      <c r="B6269" s="138">
        <f>'Acct Summary 7-8'!E82</f>
        <v>316807</v>
      </c>
      <c r="D6269" s="2" t="str">
        <f t="shared" si="96"/>
        <v>Error?</v>
      </c>
      <c r="E6269" s="2" t="s">
        <v>190</v>
      </c>
    </row>
    <row r="6270" spans="1:5" x14ac:dyDescent="0.2">
      <c r="A6270">
        <v>6209</v>
      </c>
      <c r="B6270" s="138">
        <f>'Acct Summary 7-8'!F82</f>
        <v>-25000</v>
      </c>
      <c r="D6270" s="2" t="str">
        <f t="shared" si="96"/>
        <v>Error?</v>
      </c>
      <c r="E6270" s="2" t="s">
        <v>190</v>
      </c>
    </row>
    <row r="6271" spans="1:5" x14ac:dyDescent="0.2">
      <c r="A6271">
        <v>6210</v>
      </c>
      <c r="B6271" s="138">
        <f>'Acct Summary 7-8'!G82</f>
        <v>-44575</v>
      </c>
      <c r="D6271" s="2" t="str">
        <f t="shared" ref="D6271:D6334" si="97">IF(ISBLANK(B6271),"OK",IF(A6271-B6271=0,"OK","Error?"))</f>
        <v>Error?</v>
      </c>
      <c r="E6271" s="2" t="s">
        <v>190</v>
      </c>
    </row>
    <row r="6272" spans="1:5" x14ac:dyDescent="0.2">
      <c r="A6272">
        <v>6211</v>
      </c>
      <c r="B6272" s="138">
        <f>'Acct Summary 7-8'!H82</f>
        <v>-310351</v>
      </c>
      <c r="D6272" s="2" t="str">
        <f t="shared" si="97"/>
        <v>Error?</v>
      </c>
      <c r="E6272" s="2" t="s">
        <v>190</v>
      </c>
    </row>
    <row r="6273" spans="1:5" x14ac:dyDescent="0.2">
      <c r="A6273">
        <v>6212</v>
      </c>
      <c r="B6273" s="138">
        <f>'Acct Summary 7-8'!I82</f>
        <v>4693</v>
      </c>
      <c r="D6273" s="2" t="str">
        <f t="shared" si="97"/>
        <v>Error?</v>
      </c>
      <c r="E6273" s="2" t="s">
        <v>190</v>
      </c>
    </row>
    <row r="6274" spans="1:5" x14ac:dyDescent="0.2">
      <c r="A6274">
        <v>6213</v>
      </c>
      <c r="B6274" s="138">
        <f>'Acct Summary 7-8'!J82</f>
        <v>-88047</v>
      </c>
      <c r="D6274" s="2" t="str">
        <f t="shared" si="97"/>
        <v>Error?</v>
      </c>
      <c r="E6274" s="2" t="s">
        <v>190</v>
      </c>
    </row>
    <row r="6275" spans="1:5" x14ac:dyDescent="0.2">
      <c r="A6275">
        <v>6214</v>
      </c>
      <c r="B6275" s="138">
        <f>'Acct Summary 7-8'!K82</f>
        <v>102429</v>
      </c>
      <c r="D6275" s="2" t="str">
        <f t="shared" si="97"/>
        <v>Error?</v>
      </c>
      <c r="E6275" s="2" t="s">
        <v>190</v>
      </c>
    </row>
    <row r="6276" spans="1:5" x14ac:dyDescent="0.2">
      <c r="A6276">
        <v>6215</v>
      </c>
      <c r="B6276" s="138">
        <f>'Acct Summary 7-8'!C83</f>
        <v>5.18987567368542E-2</v>
      </c>
      <c r="D6276" s="2" t="str">
        <f t="shared" si="97"/>
        <v>Error?</v>
      </c>
      <c r="E6276" s="2" t="s">
        <v>190</v>
      </c>
    </row>
    <row r="6277" spans="1:5" x14ac:dyDescent="0.2">
      <c r="A6277">
        <v>6216</v>
      </c>
      <c r="B6277" s="138">
        <f>'Acct Summary 7-8'!D83</f>
        <v>9.2839220779963889E-3</v>
      </c>
      <c r="D6277" s="2" t="str">
        <f t="shared" si="97"/>
        <v>Error?</v>
      </c>
      <c r="E6277" s="2" t="s">
        <v>190</v>
      </c>
    </row>
    <row r="6278" spans="1:5" x14ac:dyDescent="0.2">
      <c r="A6278">
        <v>6217</v>
      </c>
      <c r="B6278" s="138">
        <f>'Acct Summary 7-8'!E83</f>
        <v>0.33348737133966749</v>
      </c>
      <c r="D6278" s="2" t="str">
        <f t="shared" si="97"/>
        <v>Error?</v>
      </c>
      <c r="E6278" s="2" t="s">
        <v>190</v>
      </c>
    </row>
    <row r="6279" spans="1:5" x14ac:dyDescent="0.2">
      <c r="A6279">
        <v>6218</v>
      </c>
      <c r="B6279" s="138">
        <f>'Acct Summary 7-8'!F83</f>
        <v>-3.5907158451108812E-2</v>
      </c>
      <c r="D6279" s="2" t="str">
        <f t="shared" si="97"/>
        <v>Error?</v>
      </c>
      <c r="E6279" s="2" t="s">
        <v>190</v>
      </c>
    </row>
    <row r="6280" spans="1:5" x14ac:dyDescent="0.2">
      <c r="A6280">
        <v>6219</v>
      </c>
      <c r="B6280" s="138">
        <f>'Acct Summary 7-8'!G83</f>
        <v>-0.28417422127019343</v>
      </c>
      <c r="D6280" s="2" t="str">
        <f t="shared" si="97"/>
        <v>Error?</v>
      </c>
      <c r="E6280" s="2" t="s">
        <v>190</v>
      </c>
    </row>
    <row r="6281" spans="1:5" x14ac:dyDescent="0.2">
      <c r="A6281">
        <v>6220</v>
      </c>
      <c r="B6281" s="138">
        <f>'Acct Summary 7-8'!H83</f>
        <v>-1.950445581266733</v>
      </c>
      <c r="D6281" s="2" t="str">
        <f t="shared" si="97"/>
        <v>Error?</v>
      </c>
      <c r="E6281" s="2" t="s">
        <v>190</v>
      </c>
    </row>
    <row r="6282" spans="1:5" x14ac:dyDescent="0.2">
      <c r="A6282">
        <v>6221</v>
      </c>
      <c r="B6282" s="138">
        <f>'Acct Summary 7-8'!I83</f>
        <v>8.8459211312525085E-3</v>
      </c>
      <c r="D6282" s="2" t="str">
        <f t="shared" si="97"/>
        <v>Error?</v>
      </c>
      <c r="E6282" s="2" t="s">
        <v>190</v>
      </c>
    </row>
    <row r="6283" spans="1:5" x14ac:dyDescent="0.2">
      <c r="A6283">
        <v>6222</v>
      </c>
      <c r="B6283" s="138">
        <f>'Acct Summary 7-8'!J83</f>
        <v>-0.63975556944182055</v>
      </c>
      <c r="D6283" s="2" t="str">
        <f t="shared" si="97"/>
        <v>Error?</v>
      </c>
      <c r="E6283" s="2" t="s">
        <v>190</v>
      </c>
    </row>
    <row r="6284" spans="1:5" x14ac:dyDescent="0.2">
      <c r="A6284">
        <v>6223</v>
      </c>
      <c r="B6284" s="138">
        <f>'Acct Summary 7-8'!K83</f>
        <v>0.31053676726947504</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144569</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144569</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3324</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3324</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20237</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210428</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430000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6526</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104502</v>
      </c>
      <c r="D6349" s="2" t="str">
        <f t="shared" si="98"/>
        <v>Error?</v>
      </c>
      <c r="E6349" s="2" t="s">
        <v>190</v>
      </c>
    </row>
    <row r="6350" spans="1:5" x14ac:dyDescent="0.2">
      <c r="A6350">
        <v>6289</v>
      </c>
      <c r="B6350" s="138">
        <f>'Revenues 9-14'!J107</f>
        <v>85058</v>
      </c>
      <c r="D6350" s="2" t="str">
        <f t="shared" si="98"/>
        <v>Error?</v>
      </c>
      <c r="E6350" s="2" t="s">
        <v>190</v>
      </c>
    </row>
    <row r="6351" spans="1:5" x14ac:dyDescent="0.2">
      <c r="A6351">
        <v>6290</v>
      </c>
      <c r="B6351" s="138">
        <f>'Revenues 9-14'!J108</f>
        <v>85058</v>
      </c>
      <c r="D6351" s="2" t="str">
        <f t="shared" si="98"/>
        <v>Error?</v>
      </c>
      <c r="E6351" s="2" t="s">
        <v>190</v>
      </c>
    </row>
    <row r="6352" spans="1:5" x14ac:dyDescent="0.2">
      <c r="A6352">
        <v>6291</v>
      </c>
      <c r="B6352" s="138">
        <f>'Revenues 9-14'!J109</f>
        <v>232951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94582</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113300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45455</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187100</v>
      </c>
      <c r="D6880" s="2" t="str">
        <f t="shared" si="106"/>
        <v>Error?</v>
      </c>
    </row>
    <row r="6881" spans="1:4" x14ac:dyDescent="0.2">
      <c r="A6881">
        <v>6820</v>
      </c>
      <c r="B6881" s="138">
        <f>'Expenditures 15-22'!K22</f>
        <v>187100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115100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115100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115100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366345</v>
      </c>
      <c r="D6983" s="2" t="str">
        <f t="shared" si="108"/>
        <v>Error?</v>
      </c>
    </row>
    <row r="6984" spans="1:4" x14ac:dyDescent="0.2">
      <c r="A6984">
        <v>6923</v>
      </c>
      <c r="B6984" s="138">
        <f>'Expenditures 15-22'!K86</f>
        <v>366345</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366345</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115100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320998</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232951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957</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957</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957</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6189</v>
      </c>
      <c r="D7073" s="2" t="str">
        <f t="shared" si="109"/>
        <v>Error?</v>
      </c>
    </row>
    <row r="7074" spans="1:4" x14ac:dyDescent="0.2">
      <c r="A7074">
        <v>7013</v>
      </c>
      <c r="B7074" s="138">
        <f>'Expenditures 15-22'!K216</f>
        <v>6189</v>
      </c>
      <c r="D7074" s="2" t="str">
        <f t="shared" si="109"/>
        <v>Error?</v>
      </c>
    </row>
    <row r="7075" spans="1:4" x14ac:dyDescent="0.2">
      <c r="A7075">
        <v>7014</v>
      </c>
      <c r="B7075" s="138">
        <f>'Expenditures 15-22'!D218</f>
        <v>2595</v>
      </c>
      <c r="D7075" s="2" t="str">
        <f t="shared" si="109"/>
        <v>Error?</v>
      </c>
    </row>
    <row r="7076" spans="1:4" x14ac:dyDescent="0.2">
      <c r="A7076">
        <v>7015</v>
      </c>
      <c r="B7076" s="138">
        <f>'Expenditures 15-22'!K218</f>
        <v>2595</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7991</v>
      </c>
      <c r="D7093" s="2" t="str">
        <f t="shared" si="109"/>
        <v>Error?</v>
      </c>
    </row>
    <row r="7094" spans="1:4" x14ac:dyDescent="0.2">
      <c r="A7094">
        <v>7033</v>
      </c>
      <c r="B7094" s="138">
        <f>'Expenditures 15-22'!K254</f>
        <v>7991</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15137</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15137</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6557</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6557</v>
      </c>
      <c r="D7115" s="2" t="str">
        <f t="shared" si="110"/>
        <v>Error?</v>
      </c>
    </row>
    <row r="7116" spans="1:4" x14ac:dyDescent="0.2">
      <c r="A7116">
        <v>7055</v>
      </c>
      <c r="B7116" s="138">
        <f>'Expenditures 15-22'!I312</f>
        <v>15137</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49232</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49232</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579</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579</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42542</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42542</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90620</v>
      </c>
      <c r="D7172" s="2" t="str">
        <f t="shared" si="111"/>
        <v>Error?</v>
      </c>
    </row>
    <row r="7173" spans="1:4" x14ac:dyDescent="0.2">
      <c r="A7173">
        <v>7112</v>
      </c>
      <c r="B7173" s="138">
        <f>'Expenditures 15-22'!D325</f>
        <v>8444</v>
      </c>
      <c r="D7173" s="2" t="str">
        <f t="shared" si="111"/>
        <v>Error?</v>
      </c>
    </row>
    <row r="7174" spans="1:4" x14ac:dyDescent="0.2">
      <c r="A7174">
        <v>7113</v>
      </c>
      <c r="B7174" s="138">
        <f>'Expenditures 15-22'!E325</f>
        <v>29742</v>
      </c>
      <c r="D7174" s="2" t="str">
        <f t="shared" si="111"/>
        <v>Error?</v>
      </c>
    </row>
    <row r="7175" spans="1:4" x14ac:dyDescent="0.2">
      <c r="A7175">
        <v>7114</v>
      </c>
      <c r="B7175" s="138">
        <f>'Expenditures 15-22'!F325</f>
        <v>48</v>
      </c>
      <c r="D7175" s="2" t="str">
        <f t="shared" si="111"/>
        <v>Error?</v>
      </c>
    </row>
    <row r="7176" spans="1:4" x14ac:dyDescent="0.2">
      <c r="A7176">
        <v>7115</v>
      </c>
      <c r="B7176" s="138">
        <f>'Expenditures 15-22'!G325</f>
        <v>75600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22530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226984</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1661</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1661</v>
      </c>
      <c r="D7198" s="2" t="str">
        <f t="shared" si="111"/>
        <v>Error?</v>
      </c>
    </row>
    <row r="7199" spans="1:4" x14ac:dyDescent="0.2">
      <c r="A7199">
        <v>7138</v>
      </c>
      <c r="B7199" s="138">
        <f>'Expenditures 15-22'!C330</f>
        <v>90620</v>
      </c>
      <c r="D7199" s="2" t="str">
        <f t="shared" si="111"/>
        <v>Error?</v>
      </c>
    </row>
    <row r="7200" spans="1:4" x14ac:dyDescent="0.2">
      <c r="A7200">
        <v>7139</v>
      </c>
      <c r="B7200" s="138">
        <f>'Expenditures 15-22'!D330</f>
        <v>8444</v>
      </c>
      <c r="D7200" s="2" t="str">
        <f t="shared" si="111"/>
        <v>Error?</v>
      </c>
    </row>
    <row r="7201" spans="1:4" x14ac:dyDescent="0.2">
      <c r="A7201">
        <v>7140</v>
      </c>
      <c r="B7201" s="138">
        <f>'Expenditures 15-22'!E330</f>
        <v>123756</v>
      </c>
      <c r="D7201" s="2" t="str">
        <f t="shared" si="111"/>
        <v>Error?</v>
      </c>
    </row>
    <row r="7202" spans="1:4" x14ac:dyDescent="0.2">
      <c r="A7202">
        <v>7141</v>
      </c>
      <c r="B7202" s="138">
        <f>'Expenditures 15-22'!F330</f>
        <v>48</v>
      </c>
      <c r="D7202" s="2" t="str">
        <f t="shared" si="111"/>
        <v>Error?</v>
      </c>
    </row>
    <row r="7203" spans="1:4" x14ac:dyDescent="0.2">
      <c r="A7203">
        <v>7142</v>
      </c>
      <c r="B7203" s="138">
        <f>'Expenditures 15-22'!G330</f>
        <v>75600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22530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320998</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90620</v>
      </c>
      <c r="D7216" s="2" t="str">
        <f t="shared" si="111"/>
        <v>Error?</v>
      </c>
    </row>
    <row r="7217" spans="1:4" x14ac:dyDescent="0.2">
      <c r="A7217">
        <v>7156</v>
      </c>
      <c r="B7217" s="138">
        <f>'Expenditures 15-22'!D342</f>
        <v>8444</v>
      </c>
      <c r="D7217" s="2" t="str">
        <f t="shared" si="111"/>
        <v>Error?</v>
      </c>
    </row>
    <row r="7218" spans="1:4" x14ac:dyDescent="0.2">
      <c r="A7218">
        <v>7157</v>
      </c>
      <c r="B7218" s="138">
        <f>'Expenditures 15-22'!E342</f>
        <v>123756</v>
      </c>
      <c r="D7218" s="2" t="str">
        <f t="shared" si="111"/>
        <v>Error?</v>
      </c>
    </row>
    <row r="7219" spans="1:4" x14ac:dyDescent="0.2">
      <c r="A7219">
        <v>7158</v>
      </c>
      <c r="B7219" s="138">
        <f>'Expenditures 15-22'!F342</f>
        <v>48</v>
      </c>
      <c r="D7219" s="2" t="str">
        <f t="shared" si="111"/>
        <v>Error?</v>
      </c>
    </row>
    <row r="7220" spans="1:4" x14ac:dyDescent="0.2">
      <c r="A7220">
        <v>7159</v>
      </c>
      <c r="B7220" s="138">
        <f>'Expenditures 15-22'!G342</f>
        <v>75600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22530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320998</v>
      </c>
      <c r="D7224" s="2" t="str">
        <f t="shared" si="111"/>
        <v>Error?</v>
      </c>
    </row>
    <row r="7225" spans="1:4" x14ac:dyDescent="0.2">
      <c r="A7225">
        <v>7164</v>
      </c>
      <c r="B7225" s="138">
        <f>'Expenditures 15-22'!K343</f>
        <v>-88047</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10740</v>
      </c>
      <c r="D7246" s="2" t="str">
        <f t="shared" si="112"/>
        <v>Error?</v>
      </c>
    </row>
    <row r="7247" spans="1:4" x14ac:dyDescent="0.2">
      <c r="A7247">
        <f t="shared" si="113"/>
        <v>7186</v>
      </c>
      <c r="B7247" s="138">
        <f>'Expenditures 15-22'!E7</f>
        <v>626</v>
      </c>
      <c r="D7247" s="2" t="str">
        <f t="shared" si="112"/>
        <v>Error?</v>
      </c>
    </row>
    <row r="7248" spans="1:4" x14ac:dyDescent="0.2">
      <c r="A7248">
        <f t="shared" si="113"/>
        <v>7187</v>
      </c>
      <c r="B7248" s="138">
        <f>'Expenditures 15-22'!F7</f>
        <v>7352</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42189</v>
      </c>
      <c r="D7251" s="2" t="str">
        <f t="shared" si="112"/>
        <v>Error?</v>
      </c>
    </row>
    <row r="7252" spans="1:4" x14ac:dyDescent="0.2">
      <c r="A7252">
        <f t="shared" si="113"/>
        <v>7191</v>
      </c>
      <c r="B7252" s="138">
        <f>'Expenditures 15-22'!D9</f>
        <v>3042</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224</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1535247</v>
      </c>
      <c r="D7606" s="2" t="str">
        <f t="shared" si="122"/>
        <v>Error?</v>
      </c>
      <c r="E7606" s="2" t="s">
        <v>19</v>
      </c>
    </row>
    <row r="7607" spans="1:5" x14ac:dyDescent="0.2">
      <c r="A7607">
        <f t="shared" si="123"/>
        <v>7546</v>
      </c>
      <c r="B7607" s="138">
        <f>'Cap Outlay Deprec 26'!D9</f>
        <v>89615</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1624862</v>
      </c>
      <c r="D7609" s="2" t="str">
        <f t="shared" si="122"/>
        <v>Error?</v>
      </c>
      <c r="E7609" s="2" t="s">
        <v>19</v>
      </c>
    </row>
    <row r="7610" spans="1:5" x14ac:dyDescent="0.2">
      <c r="A7610">
        <f t="shared" si="123"/>
        <v>7549</v>
      </c>
      <c r="B7610" s="138">
        <f>'Cap Outlay Deprec 26'!H9</f>
        <v>433629</v>
      </c>
      <c r="D7610" s="2" t="str">
        <f t="shared" si="122"/>
        <v>Error?</v>
      </c>
      <c r="E7610" s="2" t="s">
        <v>19</v>
      </c>
    </row>
    <row r="7611" spans="1:5" x14ac:dyDescent="0.2">
      <c r="A7611">
        <f t="shared" si="123"/>
        <v>7550</v>
      </c>
      <c r="B7611" s="138">
        <f>'Cap Outlay Deprec 26'!I9</f>
        <v>124761</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558390</v>
      </c>
      <c r="D7613" s="2" t="str">
        <f t="shared" si="122"/>
        <v>Error?</v>
      </c>
      <c r="E7613" s="2" t="s">
        <v>19</v>
      </c>
    </row>
    <row r="7614" spans="1:5" x14ac:dyDescent="0.2">
      <c r="A7614">
        <f t="shared" si="123"/>
        <v>7553</v>
      </c>
      <c r="B7614" s="138">
        <f>'Cap Outlay Deprec 26'!L9</f>
        <v>1066472</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153724</v>
      </c>
      <c r="D7624" s="2" t="str">
        <f t="shared" si="124"/>
        <v>Error?</v>
      </c>
      <c r="E7624" s="2" t="s">
        <v>19</v>
      </c>
    </row>
    <row r="7625" spans="1:5" x14ac:dyDescent="0.2">
      <c r="A7625">
        <f t="shared" si="123"/>
        <v>7564</v>
      </c>
      <c r="B7625" s="138">
        <f>'Cap Outlay Deprec 26'!I17</f>
        <v>15372.4</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558745.4</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0</v>
      </c>
      <c r="D7712" s="2" t="str">
        <f t="shared" si="126"/>
        <v>Error?</v>
      </c>
      <c r="E7712" s="2" t="s">
        <v>827</v>
      </c>
    </row>
    <row r="7713" spans="1:6" x14ac:dyDescent="0.2">
      <c r="A7713">
        <v>7652</v>
      </c>
      <c r="B7713" s="138">
        <f>'Rest Tax Levies-Tort Im 25'!J8</f>
        <v>0</v>
      </c>
      <c r="D7713" s="2" t="str">
        <f t="shared" si="126"/>
        <v>Error?</v>
      </c>
      <c r="E7713" s="2" t="s">
        <v>827</v>
      </c>
    </row>
    <row r="7714" spans="1:6" x14ac:dyDescent="0.2">
      <c r="A7714">
        <v>7653</v>
      </c>
      <c r="B7714" s="138">
        <f>'Rest Tax Levies-Tort Im 25'!K9</f>
        <v>0</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0</v>
      </c>
      <c r="D7718" s="2" t="str">
        <f t="shared" si="126"/>
        <v>Error?</v>
      </c>
      <c r="E7718" s="2" t="s">
        <v>827</v>
      </c>
    </row>
    <row r="7719" spans="1:6" x14ac:dyDescent="0.2">
      <c r="A7719">
        <v>7658</v>
      </c>
      <c r="B7719" s="138">
        <f>'Rest Tax Levies-Tort Im 25'!K12</f>
        <v>0</v>
      </c>
      <c r="D7719" s="2" t="str">
        <f t="shared" si="126"/>
        <v>Error?</v>
      </c>
      <c r="E7719" s="2" t="s">
        <v>827</v>
      </c>
    </row>
    <row r="7720" spans="1:6" x14ac:dyDescent="0.2">
      <c r="A7720">
        <v>7659</v>
      </c>
      <c r="B7720" s="138">
        <f>'Rest Tax Levies-Tort Im 25'!H14</f>
        <v>37692</v>
      </c>
      <c r="D7720" s="2" t="str">
        <f t="shared" si="126"/>
        <v>Error?</v>
      </c>
      <c r="E7720" s="2" t="s">
        <v>827</v>
      </c>
    </row>
    <row r="7721" spans="1:6" x14ac:dyDescent="0.2">
      <c r="A7721">
        <v>7660</v>
      </c>
      <c r="B7721" s="138">
        <f>'Rest Tax Levies-Tort Im 25'!K14</f>
        <v>0</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0</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0</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0</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100000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0</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0</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157821</v>
      </c>
      <c r="D7797" s="2" t="str">
        <f t="shared" si="127"/>
        <v>Error?</v>
      </c>
      <c r="E7797" s="4" t="s">
        <v>1903</v>
      </c>
    </row>
    <row r="7798" spans="1:5" x14ac:dyDescent="0.2">
      <c r="A7798">
        <v>7737</v>
      </c>
      <c r="B7798" s="138">
        <f>'Contracts Paid in CY 29'!F141</f>
        <v>53829</v>
      </c>
      <c r="D7798" s="2" t="str">
        <f t="shared" si="127"/>
        <v>Error?</v>
      </c>
      <c r="E7798" s="4" t="s">
        <v>1903</v>
      </c>
    </row>
    <row r="7799" spans="1:5" x14ac:dyDescent="0.2">
      <c r="A7799">
        <v>7738</v>
      </c>
      <c r="B7799" s="138">
        <f>'Contracts Paid in CY 29'!G141</f>
        <v>103992</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386" t="s">
        <v>1191</v>
      </c>
      <c r="B2" s="2386"/>
      <c r="C2" s="2386"/>
      <c r="D2" s="2386"/>
      <c r="E2" s="2386"/>
      <c r="F2" s="2386"/>
      <c r="G2" s="2386"/>
      <c r="H2" s="2386"/>
      <c r="I2" s="2386"/>
      <c r="J2" s="2386"/>
      <c r="K2" s="2386"/>
      <c r="L2" s="2386"/>
    </row>
    <row r="3" spans="1:29" ht="13.5" customHeight="1" x14ac:dyDescent="0.2">
      <c r="A3" s="2417" t="s">
        <v>1190</v>
      </c>
      <c r="B3" s="2417"/>
      <c r="C3" s="2417"/>
      <c r="D3" s="2417"/>
      <c r="E3" s="2417"/>
      <c r="F3" s="2417"/>
      <c r="G3" s="2417"/>
      <c r="H3" s="2417"/>
      <c r="I3" s="2417"/>
      <c r="J3" s="2417"/>
      <c r="K3" s="2417"/>
      <c r="L3" s="2417"/>
    </row>
    <row r="4" spans="1:29" ht="13.5" customHeight="1" x14ac:dyDescent="0.2">
      <c r="A4" s="2386" t="s">
        <v>1987</v>
      </c>
      <c r="B4" s="2407"/>
      <c r="C4" s="2407"/>
      <c r="D4" s="2407"/>
      <c r="E4" s="2407"/>
      <c r="F4" s="2407"/>
      <c r="G4" s="2407"/>
      <c r="H4" s="2407"/>
      <c r="I4" s="2407"/>
      <c r="J4" s="2407"/>
      <c r="K4" s="2407"/>
      <c r="L4" s="2407"/>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408" t="str">
        <f>COVER!A17</f>
        <v>Saratoga CCSD 60C</v>
      </c>
      <c r="B7" s="2409"/>
      <c r="C7" s="2409"/>
      <c r="D7" s="2410"/>
      <c r="E7" s="2411" t="str">
        <f>COVER!A13</f>
        <v>24032060C04</v>
      </c>
      <c r="F7" s="2412"/>
      <c r="G7" s="2418" t="str">
        <f>COVER!T23</f>
        <v>066-005100</v>
      </c>
      <c r="H7" s="2419"/>
      <c r="I7" s="2419"/>
      <c r="J7" s="2419"/>
      <c r="K7" s="2419"/>
      <c r="L7" s="2420"/>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421"/>
      <c r="B9" s="2422"/>
      <c r="C9" s="2422"/>
      <c r="D9" s="2422"/>
      <c r="E9" s="2422"/>
      <c r="F9" s="2423"/>
      <c r="G9" s="2392" t="str">
        <f>COVER!T13</f>
        <v>Mack &amp; Associates, P.C.</v>
      </c>
      <c r="H9" s="2424"/>
      <c r="I9" s="2424"/>
      <c r="J9" s="2424"/>
      <c r="K9" s="2424"/>
      <c r="L9" s="2425"/>
    </row>
    <row r="10" spans="1:29" ht="13.5" customHeight="1" x14ac:dyDescent="0.2">
      <c r="A10" s="2398" t="str">
        <f>COVER!A38</f>
        <v>Kathy Perry</v>
      </c>
      <c r="B10" s="2399"/>
      <c r="C10" s="2399"/>
      <c r="D10" s="2399"/>
      <c r="E10" s="2399"/>
      <c r="F10" s="2400"/>
      <c r="G10" s="2392" t="str">
        <f>COVER!T17</f>
        <v>116 E. Washington St., Suite One</v>
      </c>
      <c r="H10" s="2393"/>
      <c r="I10" s="2393"/>
      <c r="J10" s="2393"/>
      <c r="K10" s="2393"/>
      <c r="L10" s="2394"/>
    </row>
    <row r="11" spans="1:29" ht="13.5" customHeight="1" x14ac:dyDescent="0.2">
      <c r="A11" s="1184" t="s">
        <v>1519</v>
      </c>
      <c r="B11" s="1185"/>
      <c r="C11" s="1186"/>
      <c r="D11" s="1191"/>
      <c r="E11" s="1186"/>
      <c r="F11" s="1190"/>
      <c r="G11" s="2392" t="str">
        <f>COVER!T19</f>
        <v>Morris</v>
      </c>
      <c r="H11" s="2393"/>
      <c r="I11" s="2393"/>
      <c r="J11" s="2393"/>
      <c r="K11" s="2393"/>
      <c r="L11" s="2394"/>
    </row>
    <row r="12" spans="1:29" ht="13.5" customHeight="1" x14ac:dyDescent="0.2">
      <c r="A12" s="2401" t="s">
        <v>1518</v>
      </c>
      <c r="B12" s="2402"/>
      <c r="C12" s="2402"/>
      <c r="D12" s="2402"/>
      <c r="E12" s="2402"/>
      <c r="F12" s="2403"/>
      <c r="G12" s="2395"/>
      <c r="H12" s="2396"/>
      <c r="I12" s="2396"/>
      <c r="J12" s="2396"/>
      <c r="K12" s="2396"/>
      <c r="L12" s="2397"/>
    </row>
    <row r="13" spans="1:29" ht="13.5" customHeight="1" x14ac:dyDescent="0.2">
      <c r="A13" s="2392"/>
      <c r="B13" s="2393"/>
      <c r="C13" s="2393"/>
      <c r="D13" s="2393"/>
      <c r="E13" s="2393"/>
      <c r="F13" s="2394"/>
      <c r="G13" s="2387" t="s">
        <v>1520</v>
      </c>
      <c r="H13" s="2388"/>
      <c r="I13" s="2404" t="str">
        <f>COVER!T25</f>
        <v>tmack@mackcpas.com</v>
      </c>
      <c r="J13" s="2405"/>
      <c r="K13" s="2405"/>
      <c r="L13" s="2406"/>
    </row>
    <row r="14" spans="1:29" ht="13.5" customHeight="1" x14ac:dyDescent="0.2">
      <c r="A14" s="2392" t="str">
        <f>COVER!A19</f>
        <v>Route 47, 4040 N. Division Street</v>
      </c>
      <c r="B14" s="2393"/>
      <c r="C14" s="2393"/>
      <c r="D14" s="2393"/>
      <c r="E14" s="2393"/>
      <c r="F14" s="2394"/>
      <c r="G14" s="1195" t="s">
        <v>1185</v>
      </c>
      <c r="H14" s="1193"/>
      <c r="I14" s="1193"/>
      <c r="J14" s="1193"/>
      <c r="K14" s="1193"/>
      <c r="L14" s="1194"/>
    </row>
    <row r="15" spans="1:29" ht="13.5" customHeight="1" x14ac:dyDescent="0.2">
      <c r="A15" s="2392" t="str">
        <f>COVER!A21</f>
        <v>Morris</v>
      </c>
      <c r="B15" s="2393"/>
      <c r="C15" s="2393"/>
      <c r="D15" s="2393"/>
      <c r="E15" s="2393"/>
      <c r="F15" s="2394"/>
      <c r="G15" s="2389" t="str">
        <f>COVER!T15</f>
        <v>Tawnya Mack, CPA</v>
      </c>
      <c r="H15" s="2390"/>
      <c r="I15" s="2390"/>
      <c r="J15" s="2390"/>
      <c r="K15" s="2390"/>
      <c r="L15" s="2391"/>
    </row>
    <row r="16" spans="1:29" ht="12.2" customHeight="1" x14ac:dyDescent="0.2">
      <c r="A16" s="2414">
        <f>COVER!A25</f>
        <v>60450</v>
      </c>
      <c r="B16" s="2415"/>
      <c r="C16" s="2415"/>
      <c r="D16" s="2415"/>
      <c r="E16" s="2415"/>
      <c r="F16" s="2416"/>
      <c r="G16" s="2426"/>
      <c r="H16" s="2427"/>
      <c r="I16" s="2427"/>
      <c r="J16" s="2427"/>
      <c r="K16" s="2427"/>
      <c r="L16" s="2428"/>
    </row>
    <row r="17" spans="1:13" ht="12.2" customHeight="1" x14ac:dyDescent="0.2">
      <c r="A17" s="2429"/>
      <c r="B17" s="2415"/>
      <c r="C17" s="2415"/>
      <c r="D17" s="2415"/>
      <c r="E17" s="2415"/>
      <c r="F17" s="2416"/>
      <c r="G17" s="1195" t="s">
        <v>1184</v>
      </c>
      <c r="H17" s="1193"/>
      <c r="I17" s="1193"/>
      <c r="J17" s="1193"/>
      <c r="K17" s="1197" t="s">
        <v>1183</v>
      </c>
      <c r="L17" s="1190"/>
      <c r="M17" s="1183"/>
    </row>
    <row r="18" spans="1:13" ht="12.2" customHeight="1" x14ac:dyDescent="0.2">
      <c r="A18" s="2398"/>
      <c r="B18" s="2399"/>
      <c r="C18" s="2399"/>
      <c r="D18" s="2399"/>
      <c r="E18" s="2399"/>
      <c r="F18" s="2400"/>
      <c r="G18" s="2408" t="str">
        <f>COVER!T21</f>
        <v>815-942-3306</v>
      </c>
      <c r="H18" s="2409"/>
      <c r="I18" s="2409"/>
      <c r="J18" s="2409"/>
      <c r="K18" s="2408" t="str">
        <f>COVER!X21</f>
        <v>815-942-9430</v>
      </c>
      <c r="L18" s="2413"/>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30" t="str">
        <f>'Single Audit Cover'!A7</f>
        <v>Saratoga CCSD 60C</v>
      </c>
      <c r="B1" s="2407"/>
      <c r="C1" s="2407"/>
      <c r="D1" s="2407"/>
    </row>
    <row r="2" spans="1:11" s="1212" customFormat="1" ht="12.75" x14ac:dyDescent="0.2">
      <c r="A2" s="2431" t="str">
        <f>'Single Audit Cover'!E7</f>
        <v>24032060C04</v>
      </c>
      <c r="B2" s="2432"/>
      <c r="C2" s="2432"/>
      <c r="D2" s="2432"/>
    </row>
    <row r="3" spans="1:11" s="1212" customFormat="1" ht="12.75" x14ac:dyDescent="0.2">
      <c r="A3" s="2430" t="s">
        <v>1513</v>
      </c>
      <c r="B3" s="2407"/>
      <c r="C3" s="2407"/>
      <c r="D3" s="2407"/>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4" t="str">
        <f>'Single Audit Cover'!A7</f>
        <v>Saratoga CCSD 60C</v>
      </c>
      <c r="B1" s="2434"/>
      <c r="C1" s="2434"/>
      <c r="D1" s="2434"/>
      <c r="E1" s="2434"/>
    </row>
    <row r="2" spans="1:5" x14ac:dyDescent="0.2">
      <c r="A2" s="2435" t="str">
        <f>'Single Audit Cover'!E7</f>
        <v>24032060C04</v>
      </c>
      <c r="B2" s="2435"/>
      <c r="C2" s="2435"/>
      <c r="D2" s="2435"/>
      <c r="E2" s="2435"/>
    </row>
    <row r="3" spans="1:5" ht="4.5" customHeight="1" x14ac:dyDescent="0.2"/>
    <row r="4" spans="1:5" x14ac:dyDescent="0.2">
      <c r="A4" s="2434" t="s">
        <v>1245</v>
      </c>
      <c r="B4" s="2434"/>
      <c r="C4" s="2434"/>
      <c r="D4" s="2434"/>
      <c r="E4" s="2434"/>
    </row>
    <row r="5" spans="1:5" x14ac:dyDescent="0.2">
      <c r="A5" s="2437" t="str">
        <f>'Single Audit Cover'!A4</f>
        <v>Year Ending June 30, 2019</v>
      </c>
      <c r="B5" s="2437"/>
      <c r="C5" s="2437"/>
      <c r="D5" s="2437"/>
      <c r="E5" s="2437"/>
    </row>
    <row r="6" spans="1:5" x14ac:dyDescent="0.2">
      <c r="A6" s="2434" t="s">
        <v>1244</v>
      </c>
      <c r="B6" s="2434"/>
      <c r="C6" s="2434"/>
      <c r="D6" s="2434"/>
      <c r="E6" s="2434"/>
    </row>
    <row r="8" spans="1:5" x14ac:dyDescent="0.2">
      <c r="A8" s="1257" t="s">
        <v>1243</v>
      </c>
    </row>
    <row r="10" spans="1:5" x14ac:dyDescent="0.2">
      <c r="A10" s="1258" t="s">
        <v>1242</v>
      </c>
      <c r="B10" s="1259" t="s">
        <v>1241</v>
      </c>
      <c r="C10" s="1259"/>
      <c r="D10" s="1260">
        <f>SUM('Acct Summary 7-8'!C7:K7)</f>
        <v>366705</v>
      </c>
    </row>
    <row r="11" spans="1:5" ht="18" customHeight="1" x14ac:dyDescent="0.2">
      <c r="A11" s="1258" t="s">
        <v>1240</v>
      </c>
      <c r="B11" s="1259"/>
      <c r="C11" s="1259"/>
    </row>
    <row r="12" spans="1:5" x14ac:dyDescent="0.2">
      <c r="A12" s="1258" t="s">
        <v>1239</v>
      </c>
      <c r="B12" s="1259" t="s">
        <v>1238</v>
      </c>
      <c r="C12" s="1259"/>
      <c r="D12" s="1261">
        <f>SUM('Revenues 9-14'!C112:D112,'Revenues 9-14'!F112:G112)</f>
        <v>9007</v>
      </c>
    </row>
    <row r="13" spans="1:5" x14ac:dyDescent="0.2">
      <c r="A13" s="1258" t="s">
        <v>1237</v>
      </c>
      <c r="B13" s="1259"/>
      <c r="C13" s="1259"/>
    </row>
    <row r="14" spans="1:5" x14ac:dyDescent="0.2">
      <c r="A14" s="1258" t="s">
        <v>1727</v>
      </c>
      <c r="B14" s="1259"/>
      <c r="C14" s="1259"/>
      <c r="D14" s="1261">
        <f>'ICR Computation 30'!E11</f>
        <v>14312</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390024</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6"/>
      <c r="B24" s="2436"/>
      <c r="D24" s="1265"/>
    </row>
    <row r="25" spans="1:4" x14ac:dyDescent="0.2">
      <c r="A25" s="2433"/>
      <c r="B25" s="2433"/>
      <c r="D25" s="1265"/>
    </row>
    <row r="26" spans="1:4" x14ac:dyDescent="0.2">
      <c r="A26" s="2433"/>
      <c r="B26" s="2433"/>
      <c r="D26" s="1265"/>
    </row>
    <row r="27" spans="1:4" x14ac:dyDescent="0.2">
      <c r="A27" s="2433"/>
      <c r="B27" s="2433"/>
      <c r="D27" s="1265"/>
    </row>
    <row r="28" spans="1:4" x14ac:dyDescent="0.2">
      <c r="A28" s="2433"/>
      <c r="B28" s="2433"/>
      <c r="D28" s="1265"/>
    </row>
    <row r="29" spans="1:4" x14ac:dyDescent="0.2">
      <c r="A29" s="2433"/>
      <c r="B29" s="2433"/>
      <c r="D29" s="1265"/>
    </row>
    <row r="30" spans="1:4" x14ac:dyDescent="0.2">
      <c r="A30" s="2433"/>
      <c r="B30" s="2433"/>
      <c r="D30" s="1265"/>
    </row>
    <row r="32" spans="1:4" x14ac:dyDescent="0.2">
      <c r="A32" s="1257" t="s">
        <v>1233</v>
      </c>
      <c r="D32" s="1260">
        <f>SUM(D19:D30)</f>
        <v>390024</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3"/>
      <c r="B40" s="2433"/>
      <c r="D40" s="1265"/>
    </row>
    <row r="41" spans="1:4" x14ac:dyDescent="0.2">
      <c r="A41" s="2433"/>
      <c r="B41" s="2433"/>
      <c r="D41" s="1268"/>
    </row>
    <row r="42" spans="1:4" x14ac:dyDescent="0.2">
      <c r="A42" s="2433"/>
      <c r="B42" s="2433"/>
      <c r="D42" s="1268"/>
    </row>
    <row r="43" spans="1:4" x14ac:dyDescent="0.2">
      <c r="A43" s="2433"/>
      <c r="B43" s="2433"/>
      <c r="D43" s="1268"/>
    </row>
    <row r="44" spans="1:4" x14ac:dyDescent="0.2">
      <c r="A44" s="2433"/>
      <c r="B44" s="2433"/>
      <c r="D44" s="1268"/>
    </row>
    <row r="45" spans="1:4" x14ac:dyDescent="0.2">
      <c r="A45" s="2433"/>
      <c r="B45" s="2433"/>
      <c r="D45" s="1268"/>
    </row>
    <row r="47" spans="1:4" x14ac:dyDescent="0.2">
      <c r="B47" s="1269" t="s">
        <v>1227</v>
      </c>
      <c r="C47" s="1269"/>
      <c r="D47" s="1270">
        <f>SUM(D35:D45)</f>
        <v>0</v>
      </c>
    </row>
    <row r="49" spans="2:4" x14ac:dyDescent="0.2">
      <c r="B49" s="1269" t="s">
        <v>1226</v>
      </c>
      <c r="C49" s="1269"/>
      <c r="D49" s="1270">
        <f>D32-D47</f>
        <v>390024</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417" t="str">
        <f>'Single Audit Cover'!A7</f>
        <v>Saratoga CCSD 60C</v>
      </c>
      <c r="C1" s="2438"/>
      <c r="D1" s="2438"/>
      <c r="E1" s="2438"/>
      <c r="F1" s="2438"/>
      <c r="G1" s="2438"/>
      <c r="H1" s="2438"/>
      <c r="I1" s="2438"/>
      <c r="J1" s="2438"/>
      <c r="K1" s="2438"/>
      <c r="L1" s="2438"/>
      <c r="M1" s="2438"/>
    </row>
    <row r="2" spans="2:14" ht="15" x14ac:dyDescent="0.2">
      <c r="B2" s="2439" t="str">
        <f>'Single Audit Cover'!E7</f>
        <v>24032060C04</v>
      </c>
      <c r="C2" s="2439"/>
      <c r="D2" s="2439"/>
      <c r="E2" s="2439"/>
      <c r="F2" s="2439"/>
      <c r="G2" s="2439"/>
      <c r="H2" s="2439"/>
      <c r="I2" s="2439"/>
      <c r="J2" s="2439"/>
      <c r="K2" s="2439"/>
      <c r="L2" s="2439"/>
      <c r="M2" s="2439"/>
      <c r="N2" s="1299"/>
    </row>
    <row r="3" spans="2:14" ht="15" x14ac:dyDescent="0.2">
      <c r="B3" s="2440" t="s">
        <v>1219</v>
      </c>
      <c r="C3" s="2440"/>
      <c r="D3" s="2440"/>
      <c r="E3" s="2440"/>
      <c r="F3" s="2440"/>
      <c r="G3" s="2440"/>
      <c r="H3" s="2440"/>
      <c r="I3" s="2440"/>
      <c r="J3" s="2440"/>
      <c r="K3" s="2440"/>
      <c r="L3" s="2440"/>
      <c r="M3" s="2440"/>
      <c r="N3" s="1299"/>
    </row>
    <row r="4" spans="2:14" ht="15" x14ac:dyDescent="0.2">
      <c r="B4" s="2441" t="str">
        <f>'Single Audit Cover'!A4</f>
        <v>Year Ending June 30, 2019</v>
      </c>
      <c r="C4" s="2441"/>
      <c r="D4" s="2441"/>
      <c r="E4" s="2441"/>
      <c r="F4" s="2441"/>
      <c r="G4" s="2441"/>
      <c r="H4" s="2441"/>
      <c r="I4" s="2441"/>
      <c r="J4" s="2441"/>
      <c r="K4" s="2441"/>
      <c r="L4" s="2441"/>
      <c r="M4" s="2441"/>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51" t="str">
        <f>'Single Audit Cover'!A7</f>
        <v>Saratoga CCSD 60C</v>
      </c>
      <c r="B1" s="2451"/>
      <c r="C1" s="2451"/>
      <c r="D1" s="2451"/>
      <c r="E1" s="2451"/>
      <c r="F1" s="2451"/>
    </row>
    <row r="2" spans="1:7" ht="13.5" customHeight="1" x14ac:dyDescent="0.2">
      <c r="A2" s="2439" t="str">
        <f>'Single Audit Cover'!E7</f>
        <v>24032060C04</v>
      </c>
      <c r="B2" s="2439"/>
      <c r="C2" s="2439"/>
      <c r="D2" s="2439"/>
      <c r="E2" s="2439"/>
      <c r="F2" s="2439"/>
      <c r="G2" s="1272"/>
    </row>
    <row r="3" spans="1:7" ht="15.75" customHeight="1" x14ac:dyDescent="0.2">
      <c r="A3" s="2452" t="s">
        <v>1271</v>
      </c>
      <c r="B3" s="2452"/>
      <c r="C3" s="2452"/>
      <c r="D3" s="2452"/>
      <c r="E3" s="2452"/>
      <c r="F3" s="2452"/>
    </row>
    <row r="4" spans="1:7" ht="13.5" customHeight="1" x14ac:dyDescent="0.2">
      <c r="A4" s="2453" t="str">
        <f>'Single Audit Cover'!A4</f>
        <v>Year Ending June 30, 2019</v>
      </c>
      <c r="B4" s="2453"/>
      <c r="C4" s="2453"/>
      <c r="D4" s="2453"/>
      <c r="E4" s="2453"/>
      <c r="F4" s="2453"/>
    </row>
    <row r="5" spans="1:7" ht="8.25" customHeight="1" x14ac:dyDescent="0.2">
      <c r="C5" s="317"/>
      <c r="D5" s="317"/>
    </row>
    <row r="6" spans="1:7" ht="13.5" customHeight="1" x14ac:dyDescent="0.2">
      <c r="A6" s="1273" t="s">
        <v>1728</v>
      </c>
      <c r="C6" s="317"/>
      <c r="D6" s="317"/>
    </row>
    <row r="7" spans="1:7" ht="60.95" customHeight="1" x14ac:dyDescent="0.2">
      <c r="A7" s="2450" t="s">
        <v>1729</v>
      </c>
      <c r="B7" s="2450"/>
      <c r="C7" s="2450"/>
      <c r="D7" s="2450"/>
      <c r="E7" s="2450"/>
      <c r="F7" s="2450"/>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50" t="s">
        <v>1731</v>
      </c>
      <c r="B13" s="2450"/>
      <c r="C13" s="2450"/>
      <c r="D13" s="2450"/>
      <c r="E13" s="2450"/>
      <c r="F13" s="2450"/>
    </row>
    <row r="14" spans="1:7" ht="9.75" customHeight="1" x14ac:dyDescent="0.2">
      <c r="C14" s="1257"/>
      <c r="D14" s="1257"/>
    </row>
    <row r="15" spans="1:7" ht="13.5" customHeight="1" x14ac:dyDescent="0.2">
      <c r="C15" s="1846" t="s">
        <v>1270</v>
      </c>
      <c r="D15" s="2448" t="s">
        <v>1269</v>
      </c>
      <c r="E15" s="2448"/>
      <c r="F15" s="2448"/>
    </row>
    <row r="16" spans="1:7" ht="13.5" customHeight="1" x14ac:dyDescent="0.2">
      <c r="A16" s="1279"/>
      <c r="B16" s="1273" t="s">
        <v>1268</v>
      </c>
      <c r="C16" s="1846" t="s">
        <v>1267</v>
      </c>
      <c r="D16" s="2449" t="s">
        <v>1588</v>
      </c>
      <c r="E16" s="2449"/>
      <c r="F16" s="2449"/>
    </row>
    <row r="17" spans="1:6" ht="20.45" customHeight="1" x14ac:dyDescent="0.2">
      <c r="A17" s="1280"/>
      <c r="B17" s="1281"/>
      <c r="C17" s="1282"/>
      <c r="D17" s="2443"/>
      <c r="E17" s="2443"/>
      <c r="F17" s="2443"/>
    </row>
    <row r="18" spans="1:6" ht="20.65" customHeight="1" x14ac:dyDescent="0.2">
      <c r="A18" s="1280"/>
      <c r="B18" s="1281"/>
      <c r="C18" s="1282"/>
      <c r="D18" s="2443"/>
      <c r="E18" s="2443"/>
      <c r="F18" s="2443"/>
    </row>
    <row r="19" spans="1:6" ht="20.65" customHeight="1" x14ac:dyDescent="0.2">
      <c r="A19" s="1280"/>
      <c r="B19" s="1281"/>
      <c r="C19" s="1282"/>
      <c r="D19" s="2443"/>
      <c r="E19" s="2443"/>
      <c r="F19" s="2443"/>
    </row>
    <row r="20" spans="1:6" ht="20.65" customHeight="1" x14ac:dyDescent="0.2">
      <c r="A20" s="1280"/>
      <c r="B20" s="1281"/>
      <c r="C20" s="1282"/>
      <c r="D20" s="2443"/>
      <c r="E20" s="2443"/>
      <c r="F20" s="2443"/>
    </row>
    <row r="21" spans="1:6" ht="20.65" customHeight="1" x14ac:dyDescent="0.2">
      <c r="A21" s="1280"/>
      <c r="B21" s="1281"/>
      <c r="C21" s="1282"/>
      <c r="D21" s="2443"/>
      <c r="E21" s="2443"/>
      <c r="F21" s="2443"/>
    </row>
    <row r="22" spans="1:6" ht="20.65" customHeight="1" x14ac:dyDescent="0.2">
      <c r="A22" s="1280"/>
      <c r="B22" s="1281"/>
      <c r="C22" s="1282"/>
      <c r="D22" s="2443"/>
      <c r="E22" s="2443"/>
      <c r="F22" s="2443"/>
    </row>
    <row r="23" spans="1:6" ht="20.65" customHeight="1" x14ac:dyDescent="0.2">
      <c r="A23" s="1280"/>
      <c r="B23" s="1281"/>
      <c r="C23" s="1282"/>
      <c r="D23" s="2443"/>
      <c r="E23" s="2443"/>
      <c r="F23" s="2443"/>
    </row>
    <row r="24" spans="1:6" ht="20.65" customHeight="1" x14ac:dyDescent="0.2">
      <c r="A24" s="1280"/>
      <c r="B24" s="1281"/>
      <c r="C24" s="1282"/>
      <c r="D24" s="2443"/>
      <c r="E24" s="2443"/>
      <c r="F24" s="2443"/>
    </row>
    <row r="25" spans="1:6" ht="20.65" customHeight="1" x14ac:dyDescent="0.2">
      <c r="A25" s="1280"/>
      <c r="B25" s="1281"/>
      <c r="C25" s="1282"/>
      <c r="D25" s="2443"/>
      <c r="E25" s="2443"/>
      <c r="F25" s="2443"/>
    </row>
    <row r="26" spans="1:6" ht="20.65" customHeight="1" x14ac:dyDescent="0.2">
      <c r="A26" s="1280"/>
      <c r="B26" s="1281"/>
      <c r="C26" s="1282"/>
      <c r="D26" s="2443"/>
      <c r="E26" s="2443"/>
      <c r="F26" s="2443"/>
    </row>
    <row r="27" spans="1:6" ht="20.65" customHeight="1" x14ac:dyDescent="0.2">
      <c r="A27" s="1280"/>
      <c r="B27" s="1281"/>
      <c r="C27" s="1282"/>
      <c r="D27" s="2443"/>
      <c r="E27" s="2443"/>
      <c r="F27" s="2443"/>
    </row>
    <row r="28" spans="1:6" ht="20.65" customHeight="1" x14ac:dyDescent="0.2">
      <c r="A28" s="1280"/>
      <c r="B28" s="1281"/>
      <c r="C28" s="1282"/>
      <c r="D28" s="2443"/>
      <c r="E28" s="2443"/>
      <c r="F28" s="2443"/>
    </row>
    <row r="29" spans="1:6" ht="20.65" customHeight="1" x14ac:dyDescent="0.2">
      <c r="A29" s="1280"/>
      <c r="B29" s="1281"/>
      <c r="C29" s="1282"/>
      <c r="D29" s="2443"/>
      <c r="E29" s="2443"/>
      <c r="F29" s="2443"/>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4" t="s">
        <v>1732</v>
      </c>
      <c r="B32" s="2444"/>
      <c r="C32" s="2444"/>
      <c r="D32" s="2444"/>
      <c r="E32" s="2444"/>
      <c r="F32" s="2444"/>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45">
        <f>+C33+C34</f>
        <v>0</v>
      </c>
      <c r="F34" s="2446"/>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47" t="s">
        <v>1590</v>
      </c>
      <c r="C49" s="2447"/>
      <c r="D49" s="2447"/>
      <c r="E49" s="1396"/>
    </row>
    <row r="50" spans="1:5" s="1297" customFormat="1" ht="3.75" customHeight="1" x14ac:dyDescent="0.2">
      <c r="A50" s="1296"/>
      <c r="B50" s="1845"/>
      <c r="C50" s="1845"/>
      <c r="D50" s="1845"/>
      <c r="E50" s="1396"/>
    </row>
    <row r="51" spans="1:5" s="1297" customFormat="1" ht="20.25" customHeight="1" x14ac:dyDescent="0.2">
      <c r="A51" s="1298">
        <v>6</v>
      </c>
      <c r="B51" s="2442" t="s">
        <v>1551</v>
      </c>
      <c r="C51" s="2442"/>
      <c r="D51" s="2442"/>
    </row>
    <row r="52" spans="1:5" ht="14.25" customHeight="1" x14ac:dyDescent="0.2">
      <c r="A52" s="1298"/>
      <c r="B52" s="2442"/>
      <c r="C52" s="2442"/>
      <c r="D52" s="244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tabColor rgb="FF92D050"/>
  </sheetPr>
  <dimension ref="A1:K143"/>
  <sheetViews>
    <sheetView showGridLines="0" defaultGridColor="0" topLeftCell="A95" colorId="8" zoomScale="110" zoomScaleNormal="110" workbookViewId="0">
      <selection activeCell="D120" sqref="D120"/>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6" t="s">
        <v>1168</v>
      </c>
      <c r="B2" s="2056"/>
      <c r="C2" s="2056"/>
      <c r="D2" s="2056"/>
      <c r="E2" s="2056"/>
      <c r="F2" s="2056"/>
      <c r="G2" s="2056"/>
      <c r="H2" s="2056"/>
      <c r="I2" s="2056"/>
      <c r="J2" s="2056"/>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0" t="s">
        <v>1633</v>
      </c>
      <c r="B35" s="2071"/>
      <c r="C35" s="2071"/>
      <c r="D35" s="2071"/>
      <c r="E35" s="2072"/>
      <c r="F35" s="2072"/>
      <c r="G35" s="2072"/>
      <c r="H35" s="2072"/>
      <c r="I35" s="2072"/>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0" t="s">
        <v>313</v>
      </c>
      <c r="B47" s="2073"/>
      <c r="C47" s="2073"/>
      <c r="D47" s="2073"/>
      <c r="E47" s="2074"/>
      <c r="F47" s="2074"/>
      <c r="G47" s="2074"/>
      <c r="H47" s="2074"/>
      <c r="I47" s="2074"/>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7"/>
      <c r="C57" s="2078"/>
      <c r="D57" s="2078"/>
      <c r="E57" s="2078"/>
      <c r="F57" s="2078"/>
      <c r="G57" s="2078"/>
      <c r="H57" s="2078"/>
      <c r="I57" s="2078"/>
      <c r="J57" s="2079"/>
    </row>
    <row r="58" spans="1:10" s="181" customFormat="1" x14ac:dyDescent="0.2">
      <c r="A58" s="253"/>
      <c r="B58" s="2080"/>
      <c r="C58" s="2081"/>
      <c r="D58" s="2081"/>
      <c r="E58" s="2081"/>
      <c r="F58" s="2081"/>
      <c r="G58" s="2081"/>
      <c r="H58" s="2081"/>
      <c r="I58" s="2081"/>
      <c r="J58" s="2082"/>
    </row>
    <row r="59" spans="1:10" s="181" customFormat="1" x14ac:dyDescent="0.2">
      <c r="A59" s="253"/>
      <c r="B59" s="2080"/>
      <c r="C59" s="2081"/>
      <c r="D59" s="2081"/>
      <c r="E59" s="2081"/>
      <c r="F59" s="2081"/>
      <c r="G59" s="2081"/>
      <c r="H59" s="2081"/>
      <c r="I59" s="2081"/>
      <c r="J59" s="2082"/>
    </row>
    <row r="60" spans="1:10" s="181" customFormat="1" x14ac:dyDescent="0.2">
      <c r="A60" s="253"/>
      <c r="B60" s="2080"/>
      <c r="C60" s="2081"/>
      <c r="D60" s="2081"/>
      <c r="E60" s="2081"/>
      <c r="F60" s="2081"/>
      <c r="G60" s="2081"/>
      <c r="H60" s="2081"/>
      <c r="I60" s="2081"/>
      <c r="J60" s="2082"/>
    </row>
    <row r="61" spans="1:10" s="181" customFormat="1" x14ac:dyDescent="0.2">
      <c r="A61" s="253"/>
      <c r="B61" s="2080"/>
      <c r="C61" s="2081"/>
      <c r="D61" s="2081"/>
      <c r="E61" s="2081"/>
      <c r="F61" s="2081"/>
      <c r="G61" s="2081"/>
      <c r="H61" s="2081"/>
      <c r="I61" s="2081"/>
      <c r="J61" s="2082"/>
    </row>
    <row r="62" spans="1:10" s="181" customFormat="1" x14ac:dyDescent="0.2">
      <c r="A62" s="253"/>
      <c r="B62" s="2080"/>
      <c r="C62" s="2081"/>
      <c r="D62" s="2081"/>
      <c r="E62" s="2081"/>
      <c r="F62" s="2081"/>
      <c r="G62" s="2081"/>
      <c r="H62" s="2081"/>
      <c r="I62" s="2081"/>
      <c r="J62" s="2082"/>
    </row>
    <row r="63" spans="1:10" s="181" customFormat="1" x14ac:dyDescent="0.2">
      <c r="A63" s="253"/>
      <c r="B63" s="2080"/>
      <c r="C63" s="2081"/>
      <c r="D63" s="2081"/>
      <c r="E63" s="2081"/>
      <c r="F63" s="2081"/>
      <c r="G63" s="2081"/>
      <c r="H63" s="2081"/>
      <c r="I63" s="2081"/>
      <c r="J63" s="2082"/>
    </row>
    <row r="64" spans="1:10" s="181" customFormat="1" x14ac:dyDescent="0.2">
      <c r="A64" s="253"/>
      <c r="B64" s="2080"/>
      <c r="C64" s="2081"/>
      <c r="D64" s="2081"/>
      <c r="E64" s="2081"/>
      <c r="F64" s="2081"/>
      <c r="G64" s="2081"/>
      <c r="H64" s="2081"/>
      <c r="I64" s="2081"/>
      <c r="J64" s="2082"/>
    </row>
    <row r="65" spans="1:10" s="181" customFormat="1" x14ac:dyDescent="0.2">
      <c r="A65" s="253"/>
      <c r="B65" s="2080"/>
      <c r="C65" s="2081"/>
      <c r="D65" s="2081"/>
      <c r="E65" s="2081"/>
      <c r="F65" s="2081"/>
      <c r="G65" s="2081"/>
      <c r="H65" s="2081"/>
      <c r="I65" s="2081"/>
      <c r="J65" s="2082"/>
    </row>
    <row r="66" spans="1:10" s="181" customFormat="1" x14ac:dyDescent="0.2">
      <c r="A66" s="253"/>
      <c r="B66" s="2080"/>
      <c r="C66" s="2081"/>
      <c r="D66" s="2081"/>
      <c r="E66" s="2081"/>
      <c r="F66" s="2081"/>
      <c r="G66" s="2081"/>
      <c r="H66" s="2081"/>
      <c r="I66" s="2081"/>
      <c r="J66" s="2082"/>
    </row>
    <row r="67" spans="1:10" s="181" customFormat="1" ht="9" customHeight="1" x14ac:dyDescent="0.2">
      <c r="A67" s="254"/>
      <c r="B67" s="2083"/>
      <c r="C67" s="2084"/>
      <c r="D67" s="2084"/>
      <c r="E67" s="2084"/>
      <c r="F67" s="2084"/>
      <c r="G67" s="2084"/>
      <c r="H67" s="2084"/>
      <c r="I67" s="2084"/>
      <c r="J67" s="2085"/>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0" t="s">
        <v>1323</v>
      </c>
      <c r="B70" s="2073"/>
      <c r="C70" s="2073"/>
      <c r="D70" s="2073"/>
      <c r="E70" s="2074"/>
      <c r="F70" s="2074"/>
      <c r="G70" s="2074"/>
      <c r="H70" s="2074"/>
      <c r="I70" s="2074"/>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5" t="s">
        <v>1320</v>
      </c>
      <c r="B83" s="2075"/>
      <c r="C83" s="2075"/>
      <c r="D83" s="2076"/>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c r="G85" s="276"/>
      <c r="H85" s="276"/>
      <c r="I85" s="276"/>
      <c r="J85" s="277">
        <f>SUM(E85:I85)</f>
        <v>0</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0</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7"/>
      <c r="C102" s="2058"/>
      <c r="D102" s="2058"/>
      <c r="E102" s="2058"/>
      <c r="F102" s="2058"/>
      <c r="G102" s="2058"/>
      <c r="H102" s="2058"/>
      <c r="I102" s="2059"/>
    </row>
    <row r="103" spans="1:9" s="181" customFormat="1" ht="11.25" customHeight="1" x14ac:dyDescent="0.2">
      <c r="A103" s="316"/>
      <c r="B103" s="2060"/>
      <c r="C103" s="2061"/>
      <c r="D103" s="2061"/>
      <c r="E103" s="2061"/>
      <c r="F103" s="2061"/>
      <c r="G103" s="2061"/>
      <c r="H103" s="2061"/>
      <c r="I103" s="2062"/>
    </row>
    <row r="104" spans="1:9" s="181" customFormat="1" ht="11.25" customHeight="1" x14ac:dyDescent="0.2">
      <c r="A104" s="316"/>
      <c r="B104" s="2060"/>
      <c r="C104" s="2061"/>
      <c r="D104" s="2061"/>
      <c r="E104" s="2061"/>
      <c r="F104" s="2061"/>
      <c r="G104" s="2061"/>
      <c r="H104" s="2061"/>
      <c r="I104" s="2062"/>
    </row>
    <row r="105" spans="1:9" s="181" customFormat="1" x14ac:dyDescent="0.2">
      <c r="A105" s="316"/>
      <c r="B105" s="2060"/>
      <c r="C105" s="2061"/>
      <c r="D105" s="2061"/>
      <c r="E105" s="2061"/>
      <c r="F105" s="2061"/>
      <c r="G105" s="2061"/>
      <c r="H105" s="2061"/>
      <c r="I105" s="2062"/>
    </row>
    <row r="106" spans="1:9" s="181" customFormat="1" ht="11.25" customHeight="1" x14ac:dyDescent="0.2">
      <c r="A106" s="316"/>
      <c r="B106" s="2060"/>
      <c r="C106" s="2061"/>
      <c r="D106" s="2061"/>
      <c r="E106" s="2061"/>
      <c r="F106" s="2061"/>
      <c r="G106" s="2061"/>
      <c r="H106" s="2061"/>
      <c r="I106" s="2062"/>
    </row>
    <row r="107" spans="1:9" s="181" customFormat="1" ht="11.25" customHeight="1" x14ac:dyDescent="0.2">
      <c r="A107" s="316"/>
      <c r="B107" s="2060"/>
      <c r="C107" s="2061"/>
      <c r="D107" s="2061"/>
      <c r="E107" s="2061"/>
      <c r="F107" s="2061"/>
      <c r="G107" s="2061"/>
      <c r="H107" s="2061"/>
      <c r="I107" s="2062"/>
    </row>
    <row r="108" spans="1:9" s="181" customFormat="1" ht="11.25" customHeight="1" x14ac:dyDescent="0.2">
      <c r="A108" s="316"/>
      <c r="B108" s="2060"/>
      <c r="C108" s="2061"/>
      <c r="D108" s="2061"/>
      <c r="E108" s="2061"/>
      <c r="F108" s="2061"/>
      <c r="G108" s="2061"/>
      <c r="H108" s="2061"/>
      <c r="I108" s="2062"/>
    </row>
    <row r="109" spans="1:9" s="181" customFormat="1" ht="11.25" customHeight="1" x14ac:dyDescent="0.2">
      <c r="A109" s="316"/>
      <c r="B109" s="2060"/>
      <c r="C109" s="2061"/>
      <c r="D109" s="2061"/>
      <c r="E109" s="2061"/>
      <c r="F109" s="2061"/>
      <c r="G109" s="2061"/>
      <c r="H109" s="2061"/>
      <c r="I109" s="2062"/>
    </row>
    <row r="110" spans="1:9" s="181" customFormat="1" ht="11.25" customHeight="1" x14ac:dyDescent="0.2">
      <c r="A110" s="316"/>
      <c r="B110" s="2060"/>
      <c r="C110" s="2061"/>
      <c r="D110" s="2061"/>
      <c r="E110" s="2061"/>
      <c r="F110" s="2061"/>
      <c r="G110" s="2061"/>
      <c r="H110" s="2061"/>
      <c r="I110" s="2062"/>
    </row>
    <row r="111" spans="1:9" s="181" customFormat="1" ht="11.25" customHeight="1" x14ac:dyDescent="0.2">
      <c r="A111" s="316"/>
      <c r="B111" s="2060"/>
      <c r="C111" s="2061"/>
      <c r="D111" s="2061"/>
      <c r="E111" s="2061"/>
      <c r="F111" s="2061"/>
      <c r="G111" s="2061"/>
      <c r="H111" s="2061"/>
      <c r="I111" s="2062"/>
    </row>
    <row r="112" spans="1:9" s="181" customFormat="1" ht="11.25" customHeight="1" x14ac:dyDescent="0.2">
      <c r="A112" s="316"/>
      <c r="B112" s="2063"/>
      <c r="C112" s="2064"/>
      <c r="D112" s="2064"/>
      <c r="E112" s="2064"/>
      <c r="F112" s="2064"/>
      <c r="G112" s="2064"/>
      <c r="H112" s="2064"/>
      <c r="I112" s="2065"/>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6" t="s">
        <v>2064</v>
      </c>
      <c r="D114" s="2066"/>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7" t="s">
        <v>1330</v>
      </c>
      <c r="D117" s="2068"/>
      <c r="E117" s="2069"/>
      <c r="F117" s="2069"/>
      <c r="G117" s="2069"/>
      <c r="H117" s="2069"/>
      <c r="I117" s="304"/>
    </row>
    <row r="118" spans="1:9" s="181" customFormat="1" ht="24" customHeight="1" x14ac:dyDescent="0.2">
      <c r="A118" s="316"/>
      <c r="B118" s="316"/>
      <c r="C118" s="316"/>
      <c r="D118" s="323" t="s">
        <v>2080</v>
      </c>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4"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65" t="str">
        <f>'Single Audit Cover'!A7</f>
        <v>Saratoga CCSD 60C</v>
      </c>
      <c r="C1" s="2466"/>
      <c r="D1" s="2466"/>
      <c r="E1" s="2466"/>
      <c r="F1" s="2466"/>
      <c r="G1" s="2466"/>
      <c r="H1" s="2466"/>
      <c r="I1" s="2466"/>
      <c r="J1" s="1406"/>
    </row>
    <row r="2" spans="2:10" s="317" customFormat="1" ht="12.75" customHeight="1" x14ac:dyDescent="0.2">
      <c r="B2" s="2467" t="str">
        <f>'Single Audit Cover'!E7</f>
        <v>24032060C04</v>
      </c>
      <c r="C2" s="2468"/>
      <c r="D2" s="2468"/>
      <c r="E2" s="2468"/>
      <c r="F2" s="2468"/>
      <c r="G2" s="2468"/>
      <c r="H2" s="2468"/>
      <c r="I2" s="2468"/>
      <c r="J2" s="1406"/>
    </row>
    <row r="3" spans="2:10" s="317" customFormat="1" ht="12.75" customHeight="1" x14ac:dyDescent="0.2">
      <c r="B3" s="2469" t="s">
        <v>1285</v>
      </c>
      <c r="C3" s="2470"/>
      <c r="D3" s="2470"/>
      <c r="E3" s="2470"/>
      <c r="F3" s="2470"/>
      <c r="G3" s="2470"/>
      <c r="H3" s="2470"/>
      <c r="I3" s="2470"/>
      <c r="J3" s="1407"/>
    </row>
    <row r="4" spans="2:10" s="317" customFormat="1" ht="12.75" customHeight="1" x14ac:dyDescent="0.2">
      <c r="B4" s="2469" t="str">
        <f>'Single Audit Cover'!A4</f>
        <v>Year Ending June 30, 2019</v>
      </c>
      <c r="C4" s="2470"/>
      <c r="D4" s="2470"/>
      <c r="E4" s="2470"/>
      <c r="F4" s="2470"/>
      <c r="G4" s="2470"/>
      <c r="H4" s="2470"/>
      <c r="I4" s="2470"/>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9" t="s">
        <v>1284</v>
      </c>
      <c r="C7" s="2470"/>
      <c r="D7" s="2470"/>
      <c r="E7" s="2470"/>
      <c r="F7" s="2470"/>
      <c r="G7" s="2470"/>
      <c r="H7" s="2470"/>
      <c r="I7" s="2470"/>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71"/>
      <c r="D11" s="2471"/>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72"/>
      <c r="E29" s="2472"/>
      <c r="F29" s="2472"/>
      <c r="G29" s="2472"/>
      <c r="H29" s="2472"/>
      <c r="I29" s="2472"/>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73" t="s">
        <v>1751</v>
      </c>
      <c r="D37" s="2474"/>
      <c r="E37" s="2474"/>
      <c r="F37" s="2475"/>
      <c r="G37" s="2473" t="s">
        <v>1592</v>
      </c>
      <c r="H37" s="2474"/>
      <c r="I37" s="2475"/>
    </row>
    <row r="38" spans="2:9" ht="16.5" customHeight="1" x14ac:dyDescent="0.2">
      <c r="B38" s="1428"/>
      <c r="C38" s="2461"/>
      <c r="D38" s="2462"/>
      <c r="E38" s="2462"/>
      <c r="F38" s="2463"/>
      <c r="G38" s="2476"/>
      <c r="H38" s="2477"/>
      <c r="I38" s="2478"/>
    </row>
    <row r="39" spans="2:9" ht="16.5" customHeight="1" x14ac:dyDescent="0.2">
      <c r="B39" s="1428"/>
      <c r="C39" s="2461"/>
      <c r="D39" s="2462"/>
      <c r="E39" s="2462"/>
      <c r="F39" s="2463"/>
      <c r="G39" s="2464"/>
      <c r="H39" s="2464"/>
      <c r="I39" s="2464"/>
    </row>
    <row r="40" spans="2:9" ht="16.5" customHeight="1" x14ac:dyDescent="0.2">
      <c r="B40" s="1428"/>
      <c r="C40" s="2461"/>
      <c r="D40" s="2462"/>
      <c r="E40" s="2462"/>
      <c r="F40" s="2463"/>
      <c r="G40" s="2464"/>
      <c r="H40" s="2464"/>
      <c r="I40" s="2464"/>
    </row>
    <row r="41" spans="2:9" ht="16.5" customHeight="1" x14ac:dyDescent="0.2">
      <c r="B41" s="1428"/>
      <c r="C41" s="2461"/>
      <c r="D41" s="2462"/>
      <c r="E41" s="2462"/>
      <c r="F41" s="2463"/>
      <c r="G41" s="2464"/>
      <c r="H41" s="2464"/>
      <c r="I41" s="2464"/>
    </row>
    <row r="42" spans="2:9" ht="16.5" customHeight="1" x14ac:dyDescent="0.2">
      <c r="B42" s="1428"/>
      <c r="C42" s="2461"/>
      <c r="D42" s="2462"/>
      <c r="E42" s="2462"/>
      <c r="F42" s="2463"/>
      <c r="G42" s="2464"/>
      <c r="H42" s="2464"/>
      <c r="I42" s="2464"/>
    </row>
    <row r="43" spans="2:9" ht="16.5" customHeight="1" x14ac:dyDescent="0.2">
      <c r="B43" s="1428"/>
      <c r="C43" s="2454" t="s">
        <v>1593</v>
      </c>
      <c r="D43" s="2455"/>
      <c r="E43" s="2455"/>
      <c r="F43" s="2456"/>
      <c r="G43" s="2457">
        <f>SUM(G38:I42)</f>
        <v>0</v>
      </c>
      <c r="H43" s="2457"/>
      <c r="I43" s="2457"/>
    </row>
    <row r="44" spans="2:9" ht="12.75" customHeight="1" x14ac:dyDescent="0.2"/>
    <row r="45" spans="2:9" ht="12.75" customHeight="1" x14ac:dyDescent="0.2">
      <c r="B45" s="1419" t="s">
        <v>2062</v>
      </c>
      <c r="D45" s="2458">
        <v>0</v>
      </c>
      <c r="E45" s="2459"/>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60"/>
      <c r="F49" s="2460"/>
      <c r="G49" s="2460"/>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65" t="str">
        <f>'Single Audit Cover'!A7</f>
        <v>Saratoga CCSD 60C</v>
      </c>
      <c r="C1" s="2465"/>
      <c r="D1" s="2465"/>
      <c r="E1" s="2465"/>
      <c r="F1" s="2465"/>
      <c r="G1" s="2465"/>
      <c r="H1" s="2465"/>
      <c r="I1" s="2465"/>
      <c r="J1" s="2465"/>
      <c r="K1" s="2465"/>
      <c r="L1" s="1371"/>
      <c r="M1" s="1371"/>
    </row>
    <row r="2" spans="1:13" ht="12" customHeight="1" x14ac:dyDescent="0.2">
      <c r="B2" s="2467" t="str">
        <f>'Single Audit Cover'!E7</f>
        <v>24032060C04</v>
      </c>
      <c r="C2" s="2467"/>
      <c r="D2" s="2467"/>
      <c r="E2" s="2467"/>
      <c r="F2" s="2467"/>
      <c r="G2" s="2467"/>
      <c r="H2" s="2467"/>
      <c r="I2" s="2467"/>
      <c r="J2" s="2467"/>
      <c r="K2" s="2467"/>
      <c r="L2" s="1372"/>
      <c r="M2" s="1373"/>
    </row>
    <row r="3" spans="1:13" ht="10.35" customHeight="1" x14ac:dyDescent="0.2">
      <c r="B3" s="2481" t="s">
        <v>1285</v>
      </c>
      <c r="C3" s="2481"/>
      <c r="D3" s="2481"/>
      <c r="E3" s="2481"/>
      <c r="F3" s="2481"/>
      <c r="G3" s="2481"/>
      <c r="H3" s="2481"/>
      <c r="I3" s="2481"/>
      <c r="J3" s="2481"/>
      <c r="K3" s="2481"/>
      <c r="L3" s="1374"/>
      <c r="M3" s="1374"/>
    </row>
    <row r="4" spans="1:13" ht="14.25" customHeight="1" x14ac:dyDescent="0.2">
      <c r="B4" s="2482" t="str">
        <f>'Single Audit Cover'!A4</f>
        <v>Year Ending June 30, 2019</v>
      </c>
      <c r="C4" s="2482"/>
      <c r="D4" s="2482"/>
      <c r="E4" s="2482"/>
      <c r="F4" s="2482"/>
      <c r="G4" s="2482"/>
      <c r="H4" s="2482"/>
      <c r="I4" s="2482"/>
      <c r="J4" s="2482"/>
      <c r="K4" s="2482"/>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2" t="s">
        <v>1296</v>
      </c>
      <c r="C7" s="2482"/>
      <c r="D7" s="2483"/>
      <c r="E7" s="2483"/>
      <c r="F7" s="2483"/>
      <c r="G7" s="2483"/>
      <c r="H7" s="2483"/>
      <c r="I7" s="2483"/>
      <c r="J7" s="2483"/>
      <c r="K7" s="2483"/>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80"/>
      <c r="C14" s="2480"/>
      <c r="D14" s="2480"/>
      <c r="E14" s="2480"/>
      <c r="F14" s="2480"/>
      <c r="G14" s="2480"/>
      <c r="H14" s="2480"/>
      <c r="I14" s="2480"/>
      <c r="J14" s="2480"/>
      <c r="K14" s="2480"/>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80"/>
      <c r="C17" s="2480"/>
      <c r="D17" s="2480"/>
      <c r="E17" s="2480"/>
      <c r="F17" s="2480"/>
      <c r="G17" s="2480"/>
      <c r="H17" s="2480"/>
      <c r="I17" s="2480"/>
      <c r="J17" s="2480"/>
      <c r="K17" s="2480"/>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4"/>
      <c r="C20" s="2484"/>
      <c r="D20" s="2480"/>
      <c r="E20" s="2480"/>
      <c r="F20" s="2480"/>
      <c r="G20" s="2480"/>
      <c r="H20" s="2480"/>
      <c r="I20" s="2480"/>
      <c r="J20" s="2480"/>
      <c r="K20" s="2480"/>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80"/>
      <c r="C23" s="2480"/>
      <c r="D23" s="2480"/>
      <c r="E23" s="2480"/>
      <c r="F23" s="2480"/>
      <c r="G23" s="2480"/>
      <c r="H23" s="2480"/>
      <c r="I23" s="2480"/>
      <c r="J23" s="2480"/>
      <c r="K23" s="2480"/>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80"/>
      <c r="C26" s="2480"/>
      <c r="D26" s="2480"/>
      <c r="E26" s="2480"/>
      <c r="F26" s="2480"/>
      <c r="G26" s="2480"/>
      <c r="H26" s="2480"/>
      <c r="I26" s="2480"/>
      <c r="J26" s="2480"/>
      <c r="K26" s="2480"/>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9"/>
      <c r="C29" s="2479"/>
      <c r="D29" s="2480"/>
      <c r="E29" s="2480"/>
      <c r="F29" s="2480"/>
      <c r="G29" s="2480"/>
      <c r="H29" s="2480"/>
      <c r="I29" s="2480"/>
      <c r="J29" s="2480"/>
      <c r="K29" s="2480"/>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9"/>
      <c r="C32" s="2479"/>
      <c r="D32" s="2480"/>
      <c r="E32" s="2480"/>
      <c r="F32" s="2480"/>
      <c r="G32" s="2480"/>
      <c r="H32" s="2480"/>
      <c r="I32" s="2480"/>
      <c r="J32" s="2480"/>
      <c r="K32" s="2480"/>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8" t="str">
        <f>'Single Audit Cover'!A7</f>
        <v>Saratoga CCSD 60C</v>
      </c>
      <c r="C1" s="2488"/>
      <c r="D1" s="2488"/>
      <c r="E1" s="2488"/>
      <c r="F1" s="2488"/>
      <c r="G1" s="2488"/>
      <c r="H1" s="2488"/>
      <c r="I1" s="2488"/>
      <c r="J1" s="2488"/>
      <c r="K1" s="2488"/>
      <c r="L1" s="1449"/>
    </row>
    <row r="2" spans="1:12" ht="12.75" customHeight="1" x14ac:dyDescent="0.2">
      <c r="B2" s="2489" t="str">
        <f>'Single Audit Cover'!E7</f>
        <v>24032060C04</v>
      </c>
      <c r="C2" s="2489"/>
      <c r="D2" s="2489"/>
      <c r="E2" s="2489"/>
      <c r="F2" s="2489"/>
      <c r="G2" s="2489"/>
      <c r="H2" s="2489"/>
      <c r="I2" s="2489"/>
      <c r="J2" s="2489"/>
      <c r="K2" s="2489"/>
      <c r="L2" s="1450"/>
    </row>
    <row r="3" spans="1:12" ht="12.75" customHeight="1" x14ac:dyDescent="0.2">
      <c r="B3" s="2481" t="s">
        <v>1285</v>
      </c>
      <c r="C3" s="2481"/>
      <c r="D3" s="2481"/>
      <c r="E3" s="2481"/>
      <c r="F3" s="2481"/>
      <c r="G3" s="2481"/>
      <c r="H3" s="2481"/>
      <c r="I3" s="2481"/>
      <c r="J3" s="2481"/>
      <c r="K3" s="2481"/>
      <c r="L3" s="1374"/>
    </row>
    <row r="4" spans="1:12" ht="12.75" customHeight="1" x14ac:dyDescent="0.2">
      <c r="B4" s="2481" t="str">
        <f>'Single Audit Cover'!A4</f>
        <v>Year Ending June 30, 2019</v>
      </c>
      <c r="C4" s="2481"/>
      <c r="D4" s="2481"/>
      <c r="E4" s="2481"/>
      <c r="F4" s="2481"/>
      <c r="G4" s="2481"/>
      <c r="H4" s="2481"/>
      <c r="I4" s="2481"/>
      <c r="J4" s="2481"/>
      <c r="K4" s="2481"/>
      <c r="L4" s="1374"/>
    </row>
    <row r="5" spans="1:12" ht="5.25" customHeight="1" x14ac:dyDescent="0.2">
      <c r="B5" s="1257" t="s">
        <v>1169</v>
      </c>
      <c r="C5" s="1257"/>
      <c r="L5" s="322"/>
    </row>
    <row r="6" spans="1:12" ht="30.75" customHeight="1" x14ac:dyDescent="0.2">
      <c r="A6" s="322"/>
      <c r="B6" s="2490" t="s">
        <v>1308</v>
      </c>
      <c r="C6" s="2490"/>
      <c r="D6" s="2490"/>
      <c r="E6" s="2490"/>
      <c r="F6" s="2490"/>
      <c r="G6" s="2490"/>
      <c r="H6" s="2490"/>
      <c r="I6" s="2490"/>
      <c r="J6" s="2490"/>
      <c r="K6" s="2490"/>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72"/>
      <c r="G12" s="2472"/>
      <c r="H12" s="2472"/>
      <c r="I12" s="2472"/>
      <c r="J12" s="2472"/>
      <c r="K12" s="2472"/>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5"/>
      <c r="E14" s="2485"/>
      <c r="F14" s="2485"/>
      <c r="H14" s="1459" t="s">
        <v>1303</v>
      </c>
      <c r="I14" s="2486"/>
      <c r="J14" s="2486"/>
      <c r="K14" s="2486"/>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6"/>
      <c r="E16" s="2486"/>
      <c r="F16" s="2486"/>
      <c r="G16" s="2486"/>
      <c r="H16" s="2486"/>
      <c r="I16" s="2486"/>
      <c r="J16" s="2486"/>
      <c r="K16" s="2486"/>
      <c r="L16" s="322"/>
    </row>
    <row r="17" spans="2:12" ht="13.5" customHeight="1" x14ac:dyDescent="0.2">
      <c r="B17" s="1384" t="s">
        <v>1301</v>
      </c>
      <c r="C17" s="1384"/>
      <c r="D17" s="2487"/>
      <c r="E17" s="2487"/>
      <c r="F17" s="2487"/>
      <c r="G17" s="2487"/>
      <c r="H17" s="2487"/>
      <c r="I17" s="2487"/>
      <c r="J17" s="2487"/>
      <c r="K17" s="2487"/>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80"/>
      <c r="C20" s="2480"/>
      <c r="D20" s="2480"/>
      <c r="E20" s="2480"/>
      <c r="F20" s="2480"/>
      <c r="G20" s="2480"/>
      <c r="H20" s="2480"/>
      <c r="I20" s="2480"/>
      <c r="J20" s="2480"/>
      <c r="K20" s="2480"/>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80"/>
      <c r="C23" s="2480"/>
      <c r="D23" s="2480"/>
      <c r="E23" s="2480"/>
      <c r="F23" s="2480"/>
      <c r="G23" s="2480"/>
      <c r="H23" s="2480"/>
      <c r="I23" s="2480"/>
      <c r="J23" s="2480"/>
      <c r="K23" s="2480"/>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80"/>
      <c r="C26" s="2480"/>
      <c r="D26" s="2480"/>
      <c r="E26" s="2480"/>
      <c r="F26" s="2480"/>
      <c r="G26" s="2480"/>
      <c r="H26" s="2480"/>
      <c r="I26" s="2480"/>
      <c r="J26" s="2480"/>
      <c r="K26" s="2480"/>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80"/>
      <c r="C29" s="2480"/>
      <c r="D29" s="2480"/>
      <c r="E29" s="2480"/>
      <c r="F29" s="2480"/>
      <c r="G29" s="2480"/>
      <c r="H29" s="2480"/>
      <c r="I29" s="2480"/>
      <c r="J29" s="2480"/>
      <c r="K29" s="2480"/>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80"/>
      <c r="C32" s="2480"/>
      <c r="D32" s="2480"/>
      <c r="E32" s="2480"/>
      <c r="F32" s="2480"/>
      <c r="G32" s="2480"/>
      <c r="H32" s="2480"/>
      <c r="I32" s="2480"/>
      <c r="J32" s="2480"/>
      <c r="K32" s="2480"/>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80"/>
      <c r="C35" s="2480"/>
      <c r="D35" s="2480"/>
      <c r="E35" s="2480"/>
      <c r="F35" s="2480"/>
      <c r="G35" s="2480"/>
      <c r="H35" s="2480"/>
      <c r="I35" s="2480"/>
      <c r="J35" s="2480"/>
      <c r="K35" s="2480"/>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80"/>
      <c r="C38" s="2480"/>
      <c r="D38" s="2480"/>
      <c r="E38" s="2480"/>
      <c r="F38" s="2480"/>
      <c r="G38" s="2480"/>
      <c r="H38" s="2480"/>
      <c r="I38" s="2480"/>
      <c r="J38" s="2480"/>
      <c r="K38" s="2480"/>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80"/>
      <c r="C41" s="2480"/>
      <c r="D41" s="2480"/>
      <c r="E41" s="2480"/>
      <c r="F41" s="2480"/>
      <c r="G41" s="2480"/>
      <c r="H41" s="2480"/>
      <c r="I41" s="2480"/>
      <c r="J41" s="2480"/>
      <c r="K41" s="2480"/>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65" t="str">
        <f>'Single Audit Cover'!A7</f>
        <v>Saratoga CCSD 60C</v>
      </c>
      <c r="C1" s="2465"/>
      <c r="D1" s="2465"/>
      <c r="E1" s="1469"/>
    </row>
    <row r="2" spans="2:5" s="1279" customFormat="1" ht="12.75" customHeight="1" x14ac:dyDescent="0.2">
      <c r="B2" s="2467" t="str">
        <f>'Single Audit Cover'!E7</f>
        <v>24032060C04</v>
      </c>
      <c r="C2" s="2467"/>
      <c r="D2" s="2467"/>
      <c r="E2" s="1470"/>
    </row>
    <row r="3" spans="2:5" ht="12.75" customHeight="1" x14ac:dyDescent="0.2">
      <c r="B3" s="2481" t="s">
        <v>1766</v>
      </c>
      <c r="C3" s="2481"/>
      <c r="D3" s="2481"/>
      <c r="E3" s="1271"/>
    </row>
    <row r="4" spans="2:5" s="1279" customFormat="1" ht="12.75" customHeight="1" x14ac:dyDescent="0.2">
      <c r="B4" s="2491" t="str">
        <f>'Single Audit Cover'!A4</f>
        <v>Year Ending June 30, 2019</v>
      </c>
      <c r="C4" s="2491"/>
      <c r="D4" s="2491"/>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tabColor rgb="FF92D050"/>
  </sheetPr>
  <dimension ref="A1:N72"/>
  <sheetViews>
    <sheetView showGridLines="0" defaultGridColor="0" topLeftCell="A52"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6" t="s">
        <v>386</v>
      </c>
      <c r="B1" s="2086"/>
      <c r="C1" s="2086"/>
      <c r="D1" s="2086"/>
      <c r="E1" s="2086"/>
      <c r="F1" s="2086"/>
      <c r="G1" s="2086"/>
      <c r="H1" s="2086"/>
      <c r="I1" s="2086"/>
      <c r="J1" s="2086"/>
      <c r="K1" s="2086"/>
      <c r="L1" s="2086"/>
      <c r="M1" s="2086"/>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216249624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1.7899999999999999E-2</v>
      </c>
      <c r="E10" s="356" t="s">
        <v>1005</v>
      </c>
      <c r="F10" s="355">
        <v>2.5000000000000001E-3</v>
      </c>
      <c r="G10" s="356" t="s">
        <v>1005</v>
      </c>
      <c r="H10" s="355">
        <v>1.1999999999999999E-3</v>
      </c>
      <c r="I10" s="356" t="s">
        <v>1006</v>
      </c>
      <c r="J10" s="1732">
        <f>ROUND(D10+F10+H10,5)</f>
        <v>2.1600000000000001E-2</v>
      </c>
      <c r="K10" s="222"/>
      <c r="L10" s="355">
        <v>5.0000000000000001E-4</v>
      </c>
      <c r="M10" s="222"/>
    </row>
    <row r="11" spans="1:14" ht="7.5" customHeight="1" x14ac:dyDescent="0.2">
      <c r="B11" s="222"/>
      <c r="C11" s="222"/>
      <c r="D11" s="2096" t="str">
        <f>IF(SUM(J10)&lt;=0.0999999,"","Enter the Tax Rates by moving the decimal two places to the left.")</f>
        <v/>
      </c>
      <c r="E11" s="2097"/>
      <c r="F11" s="2097"/>
      <c r="G11" s="2097"/>
      <c r="H11" s="2097"/>
      <c r="I11" s="2097"/>
      <c r="J11" s="2097"/>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7928449</v>
      </c>
      <c r="E16" s="356"/>
      <c r="F16" s="1733">
        <f>SUM('Acct Summary 7-8'!C17,'Acct Summary 7-8'!D17,'Acct Summary 7-8'!F17)</f>
        <v>7805400</v>
      </c>
      <c r="G16" s="356"/>
      <c r="H16" s="1733">
        <f>SUM(D16-F16)</f>
        <v>123049</v>
      </c>
      <c r="I16" s="222"/>
      <c r="J16" s="1733">
        <f>SUM('Acct Summary 7-8'!C81,'Acct Summary 7-8'!D81,'Acct Summary 7-8'!F81,'Acct Summary 7-8'!I81)</f>
        <v>4562998</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t="s">
        <v>2073</v>
      </c>
      <c r="C31" s="367" t="s">
        <v>586</v>
      </c>
      <c r="D31" s="237" t="s">
        <v>1072</v>
      </c>
      <c r="E31" s="222"/>
      <c r="F31" s="222"/>
      <c r="G31" s="363"/>
      <c r="H31" s="1735">
        <f>IF(B31="X",(J7*0.069),IF(B32="X",(J7*0.138),"Enter x in a.or b."))</f>
        <v>14921224.056000002</v>
      </c>
      <c r="I31" s="368"/>
      <c r="J31" s="222"/>
      <c r="K31" s="222"/>
      <c r="L31" s="222"/>
      <c r="M31" s="222"/>
    </row>
    <row r="32" spans="1:13" ht="13.35" customHeight="1" x14ac:dyDescent="0.2">
      <c r="B32" s="369"/>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6715000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7"/>
      <c r="C54" s="2088"/>
      <c r="D54" s="2088"/>
      <c r="E54" s="2088"/>
      <c r="F54" s="2088"/>
      <c r="G54" s="2088"/>
      <c r="H54" s="2088"/>
      <c r="I54" s="2088"/>
      <c r="J54" s="2088"/>
      <c r="K54" s="2088"/>
      <c r="L54" s="2089"/>
      <c r="M54" s="380"/>
    </row>
    <row r="55" spans="1:13" ht="12.75" customHeight="1" x14ac:dyDescent="0.2">
      <c r="B55" s="2090"/>
      <c r="C55" s="2091"/>
      <c r="D55" s="2091"/>
      <c r="E55" s="2091"/>
      <c r="F55" s="2091"/>
      <c r="G55" s="2091"/>
      <c r="H55" s="2091"/>
      <c r="I55" s="2091"/>
      <c r="J55" s="2091"/>
      <c r="K55" s="2091"/>
      <c r="L55" s="2092"/>
      <c r="M55" s="380"/>
    </row>
    <row r="56" spans="1:13" ht="12.75" customHeight="1" x14ac:dyDescent="0.2">
      <c r="B56" s="2090"/>
      <c r="C56" s="2091"/>
      <c r="D56" s="2091"/>
      <c r="E56" s="2091"/>
      <c r="F56" s="2091"/>
      <c r="G56" s="2091"/>
      <c r="H56" s="2091"/>
      <c r="I56" s="2091"/>
      <c r="J56" s="2091"/>
      <c r="K56" s="2091"/>
      <c r="L56" s="2092"/>
      <c r="M56" s="222"/>
    </row>
    <row r="57" spans="1:13" ht="12.75" customHeight="1" x14ac:dyDescent="0.2">
      <c r="B57" s="2090"/>
      <c r="C57" s="2091"/>
      <c r="D57" s="2091"/>
      <c r="E57" s="2091"/>
      <c r="F57" s="2091"/>
      <c r="G57" s="2091"/>
      <c r="H57" s="2091"/>
      <c r="I57" s="2091"/>
      <c r="J57" s="2091"/>
      <c r="K57" s="2091"/>
      <c r="L57" s="2092"/>
      <c r="M57" s="222"/>
    </row>
    <row r="58" spans="1:13" x14ac:dyDescent="0.2">
      <c r="B58" s="2093"/>
      <c r="C58" s="2094"/>
      <c r="D58" s="2094"/>
      <c r="E58" s="2094"/>
      <c r="F58" s="2094"/>
      <c r="G58" s="2094"/>
      <c r="H58" s="2094"/>
      <c r="I58" s="2094"/>
      <c r="J58" s="2094"/>
      <c r="K58" s="2094"/>
      <c r="L58" s="2095"/>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098"/>
      <c r="D61" s="2099"/>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tabColor rgb="FF92D050"/>
  </sheetPr>
  <dimension ref="A1:R44"/>
  <sheetViews>
    <sheetView showGridLines="0" topLeftCell="A15" zoomScale="110" zoomScaleNormal="110" workbookViewId="0">
      <selection activeCell="H33" sqref="H3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1"/>
      <c r="B1" s="2102"/>
      <c r="C1" s="2102"/>
      <c r="D1" s="384"/>
      <c r="E1" s="384"/>
      <c r="F1" s="384"/>
      <c r="G1" s="384"/>
      <c r="H1" s="384"/>
      <c r="I1" s="384"/>
      <c r="J1" s="384"/>
      <c r="K1" s="384"/>
      <c r="L1" s="384"/>
      <c r="M1" s="384"/>
      <c r="N1" s="384"/>
      <c r="O1" s="2101"/>
      <c r="P1" s="2102"/>
      <c r="Q1" s="2102"/>
    </row>
    <row r="2" spans="1:18" ht="15" x14ac:dyDescent="0.2">
      <c r="A2" s="2105" t="s">
        <v>556</v>
      </c>
      <c r="B2" s="2105"/>
      <c r="C2" s="2105"/>
      <c r="D2" s="2105"/>
      <c r="E2" s="2105"/>
      <c r="F2" s="2105"/>
      <c r="G2" s="2105"/>
      <c r="H2" s="2105"/>
      <c r="I2" s="2105"/>
      <c r="J2" s="2105"/>
      <c r="K2" s="2105"/>
      <c r="L2" s="2105"/>
      <c r="M2" s="2105"/>
      <c r="N2" s="2105"/>
      <c r="O2" s="2105"/>
      <c r="P2" s="2105"/>
      <c r="Q2" s="2105"/>
      <c r="R2" s="2105"/>
    </row>
    <row r="3" spans="1:18" ht="12.75" x14ac:dyDescent="0.2">
      <c r="A3" s="2106" t="s">
        <v>1413</v>
      </c>
      <c r="B3" s="2106"/>
      <c r="C3" s="2106"/>
      <c r="D3" s="2106"/>
      <c r="E3" s="2106"/>
      <c r="F3" s="2106"/>
      <c r="G3" s="2106"/>
      <c r="H3" s="2106"/>
      <c r="I3" s="2106"/>
      <c r="J3" s="2106"/>
      <c r="K3" s="2106"/>
      <c r="L3" s="2106"/>
      <c r="M3" s="2106"/>
      <c r="N3" s="2106"/>
      <c r="O3" s="2106"/>
      <c r="P3" s="2106"/>
      <c r="Q3" s="2106"/>
      <c r="R3" s="2106"/>
    </row>
    <row r="4" spans="1:18" x14ac:dyDescent="0.2">
      <c r="A4" s="2107" t="s">
        <v>1554</v>
      </c>
      <c r="B4" s="2107"/>
      <c r="C4" s="2107"/>
      <c r="D4" s="2107"/>
      <c r="E4" s="2107"/>
      <c r="F4" s="2107"/>
      <c r="G4" s="2107"/>
      <c r="H4" s="2107"/>
      <c r="I4" s="2107"/>
      <c r="J4" s="2107"/>
      <c r="K4" s="2107"/>
      <c r="L4" s="2107"/>
      <c r="M4" s="2107"/>
      <c r="N4" s="2107"/>
      <c r="O4" s="2107"/>
      <c r="P4" s="2107"/>
      <c r="Q4" s="2107"/>
      <c r="R4" s="2107"/>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Saratoga CCSD 60C</v>
      </c>
      <c r="E7" s="391"/>
      <c r="G7" s="252"/>
      <c r="H7" s="387"/>
      <c r="I7" s="387"/>
      <c r="J7" s="387"/>
      <c r="K7" s="387"/>
      <c r="L7" s="329"/>
      <c r="M7" s="329"/>
      <c r="N7" s="329"/>
      <c r="O7" s="329"/>
      <c r="P7" s="329"/>
    </row>
    <row r="8" spans="1:18" ht="12.75" x14ac:dyDescent="0.2">
      <c r="A8" s="329"/>
      <c r="B8" s="329"/>
      <c r="C8" s="389" t="s">
        <v>1125</v>
      </c>
      <c r="D8" s="392" t="str">
        <f>COVER!A13</f>
        <v>24032060C04</v>
      </c>
      <c r="E8" s="393"/>
      <c r="G8" s="329"/>
      <c r="H8" s="329"/>
      <c r="I8" s="329"/>
      <c r="J8" s="329"/>
      <c r="K8" s="329"/>
      <c r="L8" s="329"/>
      <c r="M8" s="329"/>
      <c r="N8" s="329"/>
      <c r="O8" s="329"/>
      <c r="P8" s="329"/>
    </row>
    <row r="9" spans="1:18" ht="12.75" x14ac:dyDescent="0.2">
      <c r="A9" s="329"/>
      <c r="B9" s="329"/>
      <c r="C9" s="389" t="s">
        <v>713</v>
      </c>
      <c r="D9" s="394" t="str">
        <f>COVER!A15</f>
        <v>Grundy</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4</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4562998</v>
      </c>
      <c r="I12" s="404"/>
      <c r="J12" s="404"/>
      <c r="K12" s="405">
        <f>TRUNC((H12/H13*100000),5)/100000</f>
        <v>0.57552214810000002</v>
      </c>
      <c r="L12" s="406"/>
      <c r="M12" s="360" t="s">
        <v>1144</v>
      </c>
      <c r="N12" s="360"/>
      <c r="O12" s="407">
        <v>0.35</v>
      </c>
      <c r="P12" s="218"/>
      <c r="Q12" s="218"/>
    </row>
    <row r="13" spans="1:18" s="408" customFormat="1" ht="12.75" x14ac:dyDescent="0.2">
      <c r="A13" s="218"/>
      <c r="B13" s="401"/>
      <c r="C13" s="2103" t="s">
        <v>1324</v>
      </c>
      <c r="D13" s="2104"/>
      <c r="E13" s="218"/>
      <c r="F13" s="409" t="s">
        <v>793</v>
      </c>
      <c r="G13" s="402"/>
      <c r="H13" s="403">
        <f>SUM('Acct Summary 7-8'!C8+'Acct Summary 7-8'!D8+'Acct Summary 7-8'!F8+'Acct Summary 7-8'!I8)+H14</f>
        <v>7928449</v>
      </c>
      <c r="I13" s="404"/>
      <c r="J13" s="404"/>
      <c r="K13" s="410"/>
      <c r="L13" s="218"/>
      <c r="M13" s="360" t="s">
        <v>1145</v>
      </c>
      <c r="N13" s="360"/>
      <c r="O13" s="411">
        <f>(O11*O12)</f>
        <v>1.4</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f>IF(K17&gt;1.2,"1",IF(K17&gt;1.1,"2",IF(K17&gt;1,"3",4)))</f>
        <v>4</v>
      </c>
      <c r="P16" s="216"/>
      <c r="R16" s="384"/>
    </row>
    <row r="17" spans="1:18" s="408" customFormat="1" ht="11.25" x14ac:dyDescent="0.2">
      <c r="A17" s="218"/>
      <c r="B17" s="401"/>
      <c r="C17" s="218" t="s">
        <v>797</v>
      </c>
      <c r="D17" s="218"/>
      <c r="E17" s="218"/>
      <c r="F17" s="218" t="s">
        <v>444</v>
      </c>
      <c r="G17" s="402"/>
      <c r="H17" s="403">
        <f>SUM('Acct Summary 7-8'!C17+'Acct Summary 7-8'!D17+'Acct Summary 7-8'!F17)</f>
        <v>7805400</v>
      </c>
      <c r="I17" s="404"/>
      <c r="J17" s="416"/>
      <c r="K17" s="405">
        <f>TRUNC((H17/H18*100000),5)/100000</f>
        <v>0.98448006659999998</v>
      </c>
      <c r="L17" s="406"/>
      <c r="M17" s="417" t="s">
        <v>1171</v>
      </c>
      <c r="O17" s="418" t="str">
        <f>IF(AND(O16="2", J20 &gt; 2),"1",IF(AND(O16 = "1", J20 &gt; 2),"2",IF(AND(O16="1", J20 &gt;1),"1","0")))</f>
        <v>0</v>
      </c>
      <c r="P17" s="218"/>
    </row>
    <row r="18" spans="1:18" s="408" customFormat="1" ht="11.25" x14ac:dyDescent="0.2">
      <c r="A18" s="218"/>
      <c r="B18" s="401"/>
      <c r="C18" s="2103" t="s">
        <v>1317</v>
      </c>
      <c r="D18" s="2104"/>
      <c r="E18" s="218"/>
      <c r="F18" s="419" t="s">
        <v>794</v>
      </c>
      <c r="G18" s="402"/>
      <c r="H18" s="403">
        <f>SUM('Acct Summary 7-8'!C8+'Acct Summary 7-8'!D8+'Acct Summary 7-8'!F8+'Acct Summary 7-8'!I8)+H19</f>
        <v>7928449</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1145</v>
      </c>
      <c r="N20" s="360"/>
      <c r="O20" s="411">
        <f>(O16+O17)*O18</f>
        <v>1.4</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4</v>
      </c>
      <c r="P23" s="216"/>
      <c r="R23" s="384"/>
    </row>
    <row r="24" spans="1:18" s="408" customFormat="1" ht="11.25" x14ac:dyDescent="0.2">
      <c r="A24" s="218"/>
      <c r="B24" s="401"/>
      <c r="C24" s="2100" t="s">
        <v>1412</v>
      </c>
      <c r="D24" s="2100"/>
      <c r="E24" s="218"/>
      <c r="F24" s="218" t="s">
        <v>445</v>
      </c>
      <c r="G24" s="402"/>
      <c r="H24" s="403">
        <f>SUM('Assets-Liab 5-6'!C4+'Assets-Liab 5-6'!D4+'Assets-Liab 5-6'!F4+'Assets-Liab 5-6'!I4+'Assets-Liab 5-6'!C5+'Assets-Liab 5-6'!D5+'Assets-Liab 5-6'!F5+'Assets-Liab 5-6'!I5)</f>
        <v>4562998</v>
      </c>
      <c r="I24" s="422"/>
      <c r="J24" s="422"/>
      <c r="K24" s="423">
        <f>TRUNC(((H24/H25*100000)/100000),2)</f>
        <v>210.45</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21681.666669999999</v>
      </c>
      <c r="I25" s="425"/>
      <c r="J25" s="425"/>
      <c r="K25" s="410"/>
      <c r="L25" s="218"/>
      <c r="M25" s="360" t="s">
        <v>1145</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3970343.0966400001</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t="str">
        <f>IF(K32&gt;=75,"4",IF(K32&gt;=50,"3",IF(K32&gt;=25,"2",1)))</f>
        <v>3</v>
      </c>
      <c r="P31" s="216"/>
    </row>
    <row r="32" spans="1:18" s="408" customFormat="1" ht="11.25" x14ac:dyDescent="0.2">
      <c r="A32" s="218"/>
      <c r="B32" s="401"/>
      <c r="C32" s="218" t="s">
        <v>847</v>
      </c>
      <c r="D32" s="218"/>
      <c r="E32" s="218"/>
      <c r="F32" s="218"/>
      <c r="G32" s="402"/>
      <c r="H32" s="403">
        <f>'FP Info 3'!H37</f>
        <v>6715000</v>
      </c>
      <c r="I32" s="420"/>
      <c r="J32" s="420"/>
      <c r="K32" s="423">
        <f>TRUNC(100-((((H32/H33*100))*100)/100),2)</f>
        <v>54.99</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14921224.056000002</v>
      </c>
      <c r="I33" s="420"/>
      <c r="J33" s="420"/>
      <c r="K33" s="403"/>
      <c r="L33" s="218"/>
      <c r="M33" s="435" t="s">
        <v>1145</v>
      </c>
      <c r="N33" s="435"/>
      <c r="O33" s="434">
        <f>(O31*O32)</f>
        <v>0.30000000000000004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3.8999999999999995</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tabColor rgb="FF92D050"/>
  </sheetPr>
  <dimension ref="A1:N44"/>
  <sheetViews>
    <sheetView showGridLines="0" defaultGridColor="0" colorId="8" zoomScale="80" zoomScaleNormal="80" workbookViewId="0">
      <pane ySplit="2" topLeftCell="A3" activePane="bottomLeft" state="frozen"/>
      <selection pane="bottomLeft" activeCell="M38" sqref="M38"/>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08"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09"/>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0" t="s">
        <v>973</v>
      </c>
      <c r="B3" s="2111"/>
      <c r="C3" s="1559"/>
      <c r="D3" s="1560"/>
      <c r="E3" s="1560"/>
      <c r="F3" s="1560"/>
      <c r="G3" s="1560"/>
      <c r="H3" s="1560"/>
      <c r="I3" s="1560"/>
      <c r="J3" s="1560"/>
      <c r="K3" s="1560"/>
      <c r="L3" s="1560"/>
      <c r="M3" s="1561"/>
      <c r="N3" s="1562"/>
    </row>
    <row r="4" spans="1:14" ht="13.5" customHeight="1" x14ac:dyDescent="0.2">
      <c r="A4" s="463" t="s">
        <v>1651</v>
      </c>
      <c r="B4" s="464"/>
      <c r="C4" s="465">
        <v>882238</v>
      </c>
      <c r="D4" s="466">
        <v>357491</v>
      </c>
      <c r="E4" s="466">
        <v>676942</v>
      </c>
      <c r="F4" s="466">
        <v>470364</v>
      </c>
      <c r="G4" s="466">
        <v>109754</v>
      </c>
      <c r="H4" s="466">
        <v>99017</v>
      </c>
      <c r="I4" s="466">
        <v>8722</v>
      </c>
      <c r="J4" s="467">
        <v>70620</v>
      </c>
      <c r="K4" s="466">
        <v>96657</v>
      </c>
      <c r="L4" s="466">
        <v>69361</v>
      </c>
      <c r="M4" s="468"/>
      <c r="N4" s="469"/>
    </row>
    <row r="5" spans="1:14" x14ac:dyDescent="0.2">
      <c r="A5" s="463" t="s">
        <v>992</v>
      </c>
      <c r="B5" s="470">
        <v>120</v>
      </c>
      <c r="C5" s="465">
        <v>1754935</v>
      </c>
      <c r="D5" s="466">
        <v>341567</v>
      </c>
      <c r="E5" s="466">
        <v>273040</v>
      </c>
      <c r="F5" s="466">
        <v>225876</v>
      </c>
      <c r="G5" s="466">
        <v>47104</v>
      </c>
      <c r="H5" s="466">
        <v>60101</v>
      </c>
      <c r="I5" s="466">
        <v>521805</v>
      </c>
      <c r="J5" s="467">
        <v>67006</v>
      </c>
      <c r="K5" s="471">
        <v>233188</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c r="D12" s="466"/>
      <c r="E12" s="466"/>
      <c r="F12" s="466"/>
      <c r="G12" s="466"/>
      <c r="H12" s="466"/>
      <c r="I12" s="466"/>
      <c r="J12" s="467"/>
      <c r="K12" s="466"/>
      <c r="L12" s="466"/>
      <c r="M12" s="469"/>
      <c r="N12" s="469"/>
    </row>
    <row r="13" spans="1:14" ht="13.5" customHeight="1" thickBot="1" x14ac:dyDescent="0.25">
      <c r="A13" s="1736" t="s">
        <v>644</v>
      </c>
      <c r="B13" s="1709"/>
      <c r="C13" s="1737">
        <f>SUM(C4:C12)</f>
        <v>2637173</v>
      </c>
      <c r="D13" s="1737">
        <f t="shared" ref="D13:L13" si="0">SUM(D4:D12)</f>
        <v>699058</v>
      </c>
      <c r="E13" s="1737">
        <f t="shared" si="0"/>
        <v>949982</v>
      </c>
      <c r="F13" s="1737">
        <f t="shared" si="0"/>
        <v>696240</v>
      </c>
      <c r="G13" s="1737">
        <f t="shared" si="0"/>
        <v>156858</v>
      </c>
      <c r="H13" s="1737">
        <f t="shared" si="0"/>
        <v>159118</v>
      </c>
      <c r="I13" s="1737">
        <f t="shared" si="0"/>
        <v>530527</v>
      </c>
      <c r="J13" s="1737">
        <f t="shared" si="0"/>
        <v>137626</v>
      </c>
      <c r="K13" s="1737">
        <f t="shared" si="0"/>
        <v>329845</v>
      </c>
      <c r="L13" s="1737">
        <f t="shared" si="0"/>
        <v>69361</v>
      </c>
      <c r="M13" s="468"/>
      <c r="N13" s="469"/>
    </row>
    <row r="14" spans="1:14" ht="18" customHeight="1" thickTop="1" x14ac:dyDescent="0.2">
      <c r="A14" s="2112" t="s">
        <v>147</v>
      </c>
      <c r="B14" s="2113"/>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510156</v>
      </c>
      <c r="N16" s="484"/>
    </row>
    <row r="17" spans="1:14" s="485" customFormat="1" ht="12.75" customHeight="1" x14ac:dyDescent="0.2">
      <c r="A17" s="482" t="s">
        <v>1403</v>
      </c>
      <c r="B17" s="483">
        <v>230</v>
      </c>
      <c r="C17" s="477"/>
      <c r="D17" s="477"/>
      <c r="E17" s="477"/>
      <c r="F17" s="477"/>
      <c r="G17" s="477"/>
      <c r="H17" s="477"/>
      <c r="I17" s="477"/>
      <c r="J17" s="477"/>
      <c r="K17" s="477"/>
      <c r="L17" s="477"/>
      <c r="M17" s="467">
        <v>12971371</v>
      </c>
      <c r="N17" s="484"/>
    </row>
    <row r="18" spans="1:14" s="485" customFormat="1" ht="12.75" customHeight="1" x14ac:dyDescent="0.2">
      <c r="A18" s="482" t="s">
        <v>1404</v>
      </c>
      <c r="B18" s="483">
        <v>240</v>
      </c>
      <c r="C18" s="477"/>
      <c r="D18" s="477"/>
      <c r="E18" s="477"/>
      <c r="F18" s="477"/>
      <c r="G18" s="477"/>
      <c r="H18" s="477"/>
      <c r="I18" s="477"/>
      <c r="J18" s="477"/>
      <c r="K18" s="477"/>
      <c r="L18" s="477"/>
      <c r="M18" s="467">
        <v>55542</v>
      </c>
      <c r="N18" s="484"/>
    </row>
    <row r="19" spans="1:14" s="485" customFormat="1" ht="12.75" customHeight="1" x14ac:dyDescent="0.2">
      <c r="A19" s="482" t="s">
        <v>1405</v>
      </c>
      <c r="B19" s="483">
        <v>250</v>
      </c>
      <c r="C19" s="477"/>
      <c r="D19" s="477"/>
      <c r="E19" s="477"/>
      <c r="F19" s="477"/>
      <c r="G19" s="477"/>
      <c r="H19" s="477"/>
      <c r="I19" s="477"/>
      <c r="J19" s="477"/>
      <c r="K19" s="477"/>
      <c r="L19" s="477"/>
      <c r="M19" s="467">
        <v>144319</v>
      </c>
      <c r="N19" s="484"/>
    </row>
    <row r="20" spans="1:14" s="485" customFormat="1" ht="12.75" customHeight="1" x14ac:dyDescent="0.2">
      <c r="A20" s="482" t="s">
        <v>1406</v>
      </c>
      <c r="B20" s="483">
        <v>260</v>
      </c>
      <c r="C20" s="477"/>
      <c r="D20" s="477"/>
      <c r="E20" s="477"/>
      <c r="F20" s="477"/>
      <c r="G20" s="477"/>
      <c r="H20" s="477"/>
      <c r="I20" s="477"/>
      <c r="J20" s="477"/>
      <c r="K20" s="477"/>
      <c r="L20" s="477"/>
      <c r="M20" s="467">
        <v>250498</v>
      </c>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949982</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5765018</v>
      </c>
    </row>
    <row r="23" spans="1:14" ht="13.5" customHeight="1" thickBot="1" x14ac:dyDescent="0.25">
      <c r="A23" s="1736" t="s">
        <v>643</v>
      </c>
      <c r="B23" s="1741"/>
      <c r="C23" s="468"/>
      <c r="D23" s="468"/>
      <c r="E23" s="468"/>
      <c r="F23" s="468"/>
      <c r="G23" s="468"/>
      <c r="H23" s="468"/>
      <c r="I23" s="468"/>
      <c r="J23" s="468"/>
      <c r="K23" s="468"/>
      <c r="L23" s="468"/>
      <c r="M23" s="1688">
        <f>SUM(M15:M22)</f>
        <v>13931886</v>
      </c>
      <c r="N23" s="1688">
        <f>SUM(N21:N22)</f>
        <v>6715000</v>
      </c>
    </row>
    <row r="24" spans="1:14" ht="18" customHeight="1" thickTop="1" x14ac:dyDescent="0.2">
      <c r="A24" s="2114" t="s">
        <v>598</v>
      </c>
      <c r="B24" s="2115"/>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69361</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69361</v>
      </c>
      <c r="M34" s="468"/>
      <c r="N34" s="480"/>
    </row>
    <row r="35" spans="1:14" ht="18" customHeight="1" thickTop="1" x14ac:dyDescent="0.2">
      <c r="A35" s="2116" t="s">
        <v>529</v>
      </c>
      <c r="B35" s="2117"/>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6715000</v>
      </c>
    </row>
    <row r="37" spans="1:14" ht="13.5" thickBot="1" x14ac:dyDescent="0.25">
      <c r="A37" s="1736" t="s">
        <v>653</v>
      </c>
      <c r="B37" s="1741"/>
      <c r="C37" s="477"/>
      <c r="D37" s="477"/>
      <c r="E37" s="477"/>
      <c r="F37" s="477"/>
      <c r="G37" s="477"/>
      <c r="H37" s="477"/>
      <c r="I37" s="477"/>
      <c r="J37" s="477"/>
      <c r="K37" s="477"/>
      <c r="L37" s="480"/>
      <c r="M37" s="468"/>
      <c r="N37" s="1688">
        <f>SUM(N36:N36)</f>
        <v>6715000</v>
      </c>
    </row>
    <row r="38" spans="1:14" s="329" customFormat="1" ht="13.5" customHeight="1" thickTop="1" x14ac:dyDescent="0.2">
      <c r="A38" s="496" t="s">
        <v>420</v>
      </c>
      <c r="B38" s="483">
        <v>714</v>
      </c>
      <c r="C38" s="466">
        <v>500544</v>
      </c>
      <c r="D38" s="466"/>
      <c r="E38" s="466">
        <v>949982</v>
      </c>
      <c r="F38" s="466"/>
      <c r="G38" s="466">
        <v>156858</v>
      </c>
      <c r="H38" s="466"/>
      <c r="I38" s="466"/>
      <c r="J38" s="467">
        <v>137626</v>
      </c>
      <c r="K38" s="466">
        <v>329845</v>
      </c>
      <c r="L38" s="481"/>
      <c r="M38" s="497"/>
      <c r="N38" s="497"/>
    </row>
    <row r="39" spans="1:14" s="329" customFormat="1" ht="13.5" customHeight="1" x14ac:dyDescent="0.2">
      <c r="A39" s="496" t="s">
        <v>342</v>
      </c>
      <c r="B39" s="483">
        <v>730</v>
      </c>
      <c r="C39" s="466">
        <v>2136629</v>
      </c>
      <c r="D39" s="466">
        <v>699058</v>
      </c>
      <c r="E39" s="466"/>
      <c r="F39" s="466">
        <v>696240</v>
      </c>
      <c r="G39" s="466"/>
      <c r="H39" s="466">
        <v>159118</v>
      </c>
      <c r="I39" s="466">
        <v>530527</v>
      </c>
      <c r="J39" s="467"/>
      <c r="K39" s="466"/>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13931886</v>
      </c>
      <c r="N40" s="497"/>
    </row>
    <row r="41" spans="1:14" ht="13.5" customHeight="1" thickBot="1" x14ac:dyDescent="0.25">
      <c r="A41" s="1736" t="s">
        <v>655</v>
      </c>
      <c r="B41" s="1706"/>
      <c r="C41" s="1688">
        <f>(SUM(C34,C37,C38,C39))</f>
        <v>2637173</v>
      </c>
      <c r="D41" s="1688">
        <f t="shared" ref="D41:L41" si="2">SUM(D34,D37,D38:D39)</f>
        <v>699058</v>
      </c>
      <c r="E41" s="1688">
        <f t="shared" si="2"/>
        <v>949982</v>
      </c>
      <c r="F41" s="1688">
        <f t="shared" si="2"/>
        <v>696240</v>
      </c>
      <c r="G41" s="1688">
        <f t="shared" si="2"/>
        <v>156858</v>
      </c>
      <c r="H41" s="1688">
        <f t="shared" si="2"/>
        <v>159118</v>
      </c>
      <c r="I41" s="1688">
        <f t="shared" si="2"/>
        <v>530527</v>
      </c>
      <c r="J41" s="1688">
        <f t="shared" si="2"/>
        <v>137626</v>
      </c>
      <c r="K41" s="1688">
        <f t="shared" si="2"/>
        <v>329845</v>
      </c>
      <c r="L41" s="1688">
        <f t="shared" si="2"/>
        <v>69361</v>
      </c>
      <c r="M41" s="1688">
        <f>SUM(M40)</f>
        <v>13931886</v>
      </c>
      <c r="N41" s="1688">
        <f>SUM(N37)</f>
        <v>6715000</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87"/>
  <sheetViews>
    <sheetView showGridLines="0" defaultGridColor="0" colorId="8" zoomScale="90" zoomScaleNormal="90" zoomScaleSheetLayoutView="100" workbookViewId="0">
      <pane ySplit="2" topLeftCell="A6" activePane="bottomLeft" state="frozen"/>
      <selection pane="bottomLeft" activeCell="C14" sqref="C1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6"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7"/>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38" t="s">
        <v>1175</v>
      </c>
      <c r="B3" s="2139"/>
      <c r="C3" s="1573"/>
      <c r="D3" s="1574"/>
      <c r="E3" s="1574"/>
      <c r="F3" s="1574"/>
      <c r="G3" s="1574"/>
      <c r="H3" s="1574"/>
      <c r="I3" s="1574"/>
      <c r="J3" s="1574"/>
      <c r="K3" s="1575"/>
      <c r="L3" s="506"/>
    </row>
    <row r="4" spans="1:13" ht="15.75" customHeight="1" x14ac:dyDescent="0.2">
      <c r="A4" s="1928" t="s">
        <v>1499</v>
      </c>
      <c r="B4" s="1929">
        <v>1000</v>
      </c>
      <c r="C4" s="1742">
        <f>'Revenues 9-14'!C109</f>
        <v>4124294</v>
      </c>
      <c r="D4" s="1742">
        <f>'Revenues 9-14'!D109</f>
        <v>517367</v>
      </c>
      <c r="E4" s="1742">
        <f>'Revenues 9-14'!E109</f>
        <v>1313857</v>
      </c>
      <c r="F4" s="1742">
        <f>'Revenues 9-14'!F109</f>
        <v>1335704</v>
      </c>
      <c r="G4" s="1742">
        <f>'Revenues 9-14'!G109</f>
        <v>267004</v>
      </c>
      <c r="H4" s="1742">
        <f>'Revenues 9-14'!H109</f>
        <v>42378</v>
      </c>
      <c r="I4" s="1742">
        <f>'Revenues 9-14'!I109</f>
        <v>104693</v>
      </c>
      <c r="J4" s="1742">
        <f>'Revenues 9-14'!J109</f>
        <v>232951</v>
      </c>
      <c r="K4" s="1742">
        <f>'Revenues 9-14'!K109</f>
        <v>102429</v>
      </c>
      <c r="L4" s="347"/>
    </row>
    <row r="5" spans="1:13" ht="15.75" customHeight="1" x14ac:dyDescent="0.2">
      <c r="A5" s="1576" t="s">
        <v>1500</v>
      </c>
      <c r="B5" s="1577">
        <v>2000</v>
      </c>
      <c r="C5" s="1743">
        <f>'Revenues 9-14'!C114</f>
        <v>9007</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1255791</v>
      </c>
      <c r="D6" s="1743">
        <f>'Revenues 9-14'!D170</f>
        <v>0</v>
      </c>
      <c r="E6" s="1743">
        <f>'Revenues 9-14'!E170</f>
        <v>0</v>
      </c>
      <c r="F6" s="1743">
        <f>'Revenues 9-14'!F170</f>
        <v>214888</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358347</v>
      </c>
      <c r="D7" s="1743">
        <f>'Revenues 9-14'!D267</f>
        <v>8358</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5747439</v>
      </c>
      <c r="D8" s="1688">
        <f t="shared" ref="D8:K8" si="0">SUM(D4:D7)</f>
        <v>525725</v>
      </c>
      <c r="E8" s="1688">
        <f t="shared" si="0"/>
        <v>1313857</v>
      </c>
      <c r="F8" s="1688">
        <f t="shared" si="0"/>
        <v>1550592</v>
      </c>
      <c r="G8" s="1688">
        <f t="shared" si="0"/>
        <v>267004</v>
      </c>
      <c r="H8" s="1688">
        <f t="shared" si="0"/>
        <v>42378</v>
      </c>
      <c r="I8" s="1688">
        <f t="shared" si="0"/>
        <v>104693</v>
      </c>
      <c r="J8" s="1688">
        <f t="shared" si="0"/>
        <v>232951</v>
      </c>
      <c r="K8" s="1688">
        <f t="shared" si="0"/>
        <v>102429</v>
      </c>
      <c r="L8" s="347"/>
    </row>
    <row r="9" spans="1:13" ht="15.75" thickTop="1" x14ac:dyDescent="0.2">
      <c r="A9" s="514" t="s">
        <v>1653</v>
      </c>
      <c r="B9" s="515">
        <v>3998</v>
      </c>
      <c r="C9" s="481">
        <v>397173</v>
      </c>
      <c r="D9" s="516">
        <v>2816</v>
      </c>
      <c r="E9" s="481"/>
      <c r="F9" s="481">
        <v>2379</v>
      </c>
      <c r="G9" s="517"/>
      <c r="H9" s="481"/>
      <c r="I9" s="509" t="s">
        <v>1169</v>
      </c>
      <c r="J9" s="478">
        <v>5405</v>
      </c>
      <c r="K9" s="481"/>
      <c r="L9" s="347"/>
    </row>
    <row r="10" spans="1:13" s="519" customFormat="1" ht="13.5" thickBot="1" x14ac:dyDescent="0.25">
      <c r="A10" s="1736" t="s">
        <v>1173</v>
      </c>
      <c r="B10" s="1709"/>
      <c r="C10" s="1688">
        <f>SUM(C8:C9)</f>
        <v>6144612</v>
      </c>
      <c r="D10" s="1688">
        <f t="shared" ref="D10:K10" si="1">SUM(D8:D9)</f>
        <v>528541</v>
      </c>
      <c r="E10" s="1688">
        <f t="shared" si="1"/>
        <v>1313857</v>
      </c>
      <c r="F10" s="1688">
        <f t="shared" si="1"/>
        <v>1552971</v>
      </c>
      <c r="G10" s="1688">
        <f t="shared" si="1"/>
        <v>267004</v>
      </c>
      <c r="H10" s="1688">
        <f t="shared" si="1"/>
        <v>42378</v>
      </c>
      <c r="I10" s="1688">
        <f t="shared" si="1"/>
        <v>104693</v>
      </c>
      <c r="J10" s="1688">
        <f t="shared" si="1"/>
        <v>238356</v>
      </c>
      <c r="K10" s="1688">
        <f t="shared" si="1"/>
        <v>102429</v>
      </c>
      <c r="L10" s="518"/>
    </row>
    <row r="11" spans="1:13" s="519" customFormat="1" ht="16.7" customHeight="1" thickTop="1" x14ac:dyDescent="0.2">
      <c r="A11" s="2112" t="s">
        <v>1176</v>
      </c>
      <c r="B11" s="2113"/>
      <c r="C11" s="1570"/>
      <c r="D11" s="1571"/>
      <c r="E11" s="1571"/>
      <c r="F11" s="1571"/>
      <c r="G11" s="1571"/>
      <c r="H11" s="1571"/>
      <c r="I11" s="1571"/>
      <c r="J11" s="1571"/>
      <c r="K11" s="1572"/>
      <c r="L11" s="518"/>
    </row>
    <row r="12" spans="1:13" ht="15.75" customHeight="1" x14ac:dyDescent="0.2">
      <c r="A12" s="1576" t="s">
        <v>456</v>
      </c>
      <c r="B12" s="1578">
        <v>1000</v>
      </c>
      <c r="C12" s="1742">
        <f>'Expenditures 15-22'!K33</f>
        <v>3908475</v>
      </c>
      <c r="D12" s="520" t="s">
        <v>1169</v>
      </c>
      <c r="E12" s="468" t="s">
        <v>1169</v>
      </c>
      <c r="F12" s="468" t="s">
        <v>1169</v>
      </c>
      <c r="G12" s="1742">
        <f>'Expenditures 15-22'!K229</f>
        <v>88891</v>
      </c>
      <c r="H12" s="521"/>
      <c r="I12" s="468" t="s">
        <v>1169</v>
      </c>
      <c r="J12" s="468" t="s">
        <v>1169</v>
      </c>
      <c r="K12" s="521" t="s">
        <v>1169</v>
      </c>
      <c r="L12" s="347"/>
    </row>
    <row r="13" spans="1:13" ht="15.75" customHeight="1" x14ac:dyDescent="0.2">
      <c r="A13" s="1576" t="s">
        <v>457</v>
      </c>
      <c r="B13" s="1578">
        <v>2000</v>
      </c>
      <c r="C13" s="1743">
        <f>'Expenditures 15-22'!K74</f>
        <v>1453239</v>
      </c>
      <c r="D13" s="1743">
        <f>'Expenditures 15-22'!K129</f>
        <v>439235</v>
      </c>
      <c r="E13" s="469" t="s">
        <v>1169</v>
      </c>
      <c r="F13" s="1743">
        <f>'Expenditures 15-22'!K184</f>
        <v>1575592</v>
      </c>
      <c r="G13" s="1743">
        <f>'Expenditures 15-22'!K279</f>
        <v>222688</v>
      </c>
      <c r="H13" s="1743">
        <f>'Expenditures 15-22'!K303</f>
        <v>346172</v>
      </c>
      <c r="I13" s="468" t="s">
        <v>1169</v>
      </c>
      <c r="J13" s="1743">
        <f>'Expenditures 15-22'!K330</f>
        <v>320998</v>
      </c>
      <c r="K13" s="1747">
        <f>'Expenditures 15-22'!K352</f>
        <v>0</v>
      </c>
      <c r="L13" s="347"/>
    </row>
    <row r="14" spans="1:13" ht="15.75" customHeight="1" x14ac:dyDescent="0.2">
      <c r="A14" s="1576" t="s">
        <v>449</v>
      </c>
      <c r="B14" s="1578">
        <v>3000</v>
      </c>
      <c r="C14" s="1743">
        <f>'Expenditures 15-22'!K75</f>
        <v>6899</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421960</v>
      </c>
      <c r="D15" s="1743">
        <f>'Expenditures 15-22'!K139</f>
        <v>0</v>
      </c>
      <c r="E15" s="1743">
        <f>'Expenditures 15-22'!K160</f>
        <v>0</v>
      </c>
      <c r="F15" s="1743">
        <f>'Expenditures 15-22'!K196</f>
        <v>0</v>
      </c>
      <c r="G15" s="1743">
        <f>'Expenditures 15-22'!K285</f>
        <v>0</v>
      </c>
      <c r="H15" s="1743">
        <f>'Expenditures 15-22'!K310</f>
        <v>6557</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997050</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5790573</v>
      </c>
      <c r="D17" s="1688">
        <f t="shared" si="2"/>
        <v>439235</v>
      </c>
      <c r="E17" s="1688">
        <f t="shared" si="2"/>
        <v>997050</v>
      </c>
      <c r="F17" s="1688">
        <f t="shared" si="2"/>
        <v>1575592</v>
      </c>
      <c r="G17" s="1688">
        <f t="shared" si="2"/>
        <v>311579</v>
      </c>
      <c r="H17" s="1688">
        <f t="shared" si="2"/>
        <v>352729</v>
      </c>
      <c r="I17" s="468"/>
      <c r="J17" s="1688">
        <f>SUM(J12:J16)</f>
        <v>320998</v>
      </c>
      <c r="K17" s="1688">
        <f>SUM(K12:K16)</f>
        <v>0</v>
      </c>
      <c r="L17" s="347"/>
    </row>
    <row r="18" spans="1:12" ht="15" customHeight="1" thickTop="1" x14ac:dyDescent="0.2">
      <c r="A18" s="1744" t="s">
        <v>1654</v>
      </c>
      <c r="B18" s="1745">
        <v>4180</v>
      </c>
      <c r="C18" s="1742">
        <f t="shared" ref="C18:H18" si="3">C9</f>
        <v>397173</v>
      </c>
      <c r="D18" s="1742">
        <f t="shared" si="3"/>
        <v>2816</v>
      </c>
      <c r="E18" s="1742">
        <f t="shared" si="3"/>
        <v>0</v>
      </c>
      <c r="F18" s="1742">
        <f t="shared" si="3"/>
        <v>2379</v>
      </c>
      <c r="G18" s="1742">
        <f t="shared" si="3"/>
        <v>0</v>
      </c>
      <c r="H18" s="1742">
        <f t="shared" si="3"/>
        <v>0</v>
      </c>
      <c r="I18" s="468"/>
      <c r="J18" s="1742">
        <f>J9</f>
        <v>5405</v>
      </c>
      <c r="K18" s="1742">
        <f>K9</f>
        <v>0</v>
      </c>
      <c r="L18" s="347"/>
    </row>
    <row r="19" spans="1:12" ht="13.5" thickBot="1" x14ac:dyDescent="0.25">
      <c r="A19" s="1708" t="s">
        <v>505</v>
      </c>
      <c r="B19" s="1709"/>
      <c r="C19" s="1688">
        <f t="shared" ref="C19:H19" si="4">SUM(C17:C18)</f>
        <v>6187746</v>
      </c>
      <c r="D19" s="1688">
        <f t="shared" si="4"/>
        <v>442051</v>
      </c>
      <c r="E19" s="1688">
        <f t="shared" si="4"/>
        <v>997050</v>
      </c>
      <c r="F19" s="1688">
        <f t="shared" si="4"/>
        <v>1577971</v>
      </c>
      <c r="G19" s="1688">
        <f t="shared" si="4"/>
        <v>311579</v>
      </c>
      <c r="H19" s="1688">
        <f t="shared" si="4"/>
        <v>352729</v>
      </c>
      <c r="I19" s="468"/>
      <c r="J19" s="1688">
        <f>SUM(J17:J18)</f>
        <v>326403</v>
      </c>
      <c r="K19" s="1688">
        <f>SUM(K17:K18)</f>
        <v>0</v>
      </c>
      <c r="L19" s="347"/>
    </row>
    <row r="20" spans="1:12" ht="16.5" thickTop="1" thickBot="1" x14ac:dyDescent="0.25">
      <c r="A20" s="2128" t="s">
        <v>1655</v>
      </c>
      <c r="B20" s="2129"/>
      <c r="C20" s="1746">
        <f>C8-C17</f>
        <v>-43134</v>
      </c>
      <c r="D20" s="1746">
        <f t="shared" ref="D20:K20" si="5">D8-D17</f>
        <v>86490</v>
      </c>
      <c r="E20" s="1746">
        <f t="shared" si="5"/>
        <v>316807</v>
      </c>
      <c r="F20" s="1746">
        <f t="shared" si="5"/>
        <v>-25000</v>
      </c>
      <c r="G20" s="1746">
        <f t="shared" si="5"/>
        <v>-44575</v>
      </c>
      <c r="H20" s="1746">
        <f t="shared" si="5"/>
        <v>-310351</v>
      </c>
      <c r="I20" s="1746">
        <f t="shared" si="5"/>
        <v>104693</v>
      </c>
      <c r="J20" s="1746">
        <f t="shared" si="5"/>
        <v>-88047</v>
      </c>
      <c r="K20" s="1746">
        <f t="shared" si="5"/>
        <v>102429</v>
      </c>
      <c r="L20" s="347"/>
    </row>
    <row r="21" spans="1:12" ht="16.7" customHeight="1" thickTop="1" x14ac:dyDescent="0.2">
      <c r="A21" s="2140" t="s">
        <v>595</v>
      </c>
      <c r="B21" s="2141"/>
      <c r="C21" s="1570"/>
      <c r="D21" s="1571"/>
      <c r="E21" s="1571"/>
      <c r="F21" s="1571"/>
      <c r="G21" s="1571"/>
      <c r="H21" s="1571"/>
      <c r="I21" s="1571"/>
      <c r="J21" s="1571"/>
      <c r="K21" s="1572"/>
      <c r="L21" s="524"/>
    </row>
    <row r="22" spans="1:12" ht="15.75" customHeight="1" collapsed="1" x14ac:dyDescent="0.2">
      <c r="A22" s="2136" t="s">
        <v>596</v>
      </c>
      <c r="B22" s="2137"/>
      <c r="C22" s="477"/>
      <c r="D22" s="477"/>
      <c r="E22" s="477"/>
      <c r="F22" s="477"/>
      <c r="G22" s="477"/>
      <c r="H22" s="477"/>
      <c r="I22" s="477"/>
      <c r="J22" s="477"/>
      <c r="K22" s="477"/>
      <c r="L22" s="347"/>
    </row>
    <row r="23" spans="1:12" s="485" customFormat="1" ht="15.75" customHeight="1" x14ac:dyDescent="0.2">
      <c r="A23" s="2132" t="s">
        <v>293</v>
      </c>
      <c r="B23" s="2133"/>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v>100000</v>
      </c>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v>80000</v>
      </c>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4" t="s">
        <v>981</v>
      </c>
      <c r="B32" s="2135"/>
      <c r="C32" s="477"/>
      <c r="D32" s="477"/>
      <c r="E32" s="475"/>
      <c r="F32" s="477"/>
      <c r="G32" s="477"/>
      <c r="H32" s="477"/>
      <c r="I32" s="477"/>
      <c r="J32" s="477"/>
      <c r="K32" s="477"/>
      <c r="L32" s="524"/>
    </row>
    <row r="33" spans="1:12" s="485" customFormat="1" x14ac:dyDescent="0.2">
      <c r="A33" s="1489" t="s">
        <v>412</v>
      </c>
      <c r="B33" s="525">
        <v>7210</v>
      </c>
      <c r="C33" s="467"/>
      <c r="D33" s="467"/>
      <c r="E33" s="467"/>
      <c r="F33" s="467"/>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0</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c r="F43" s="467"/>
      <c r="G43" s="467"/>
      <c r="H43" s="467"/>
      <c r="I43" s="467"/>
      <c r="J43" s="467"/>
      <c r="K43" s="467"/>
      <c r="L43" s="524"/>
    </row>
    <row r="44" spans="1:12" s="485" customFormat="1" ht="13.5" customHeight="1" thickBot="1" x14ac:dyDescent="0.25">
      <c r="A44" s="2142" t="s">
        <v>374</v>
      </c>
      <c r="B44" s="2143"/>
      <c r="C44" s="1703">
        <f>SUM(C24:C43)</f>
        <v>180000</v>
      </c>
      <c r="D44" s="1703">
        <f t="shared" ref="D44:K44" si="6">SUM(D24:D43)</f>
        <v>0</v>
      </c>
      <c r="E44" s="1703">
        <f t="shared" si="6"/>
        <v>0</v>
      </c>
      <c r="F44" s="1703">
        <f t="shared" si="6"/>
        <v>0</v>
      </c>
      <c r="G44" s="1703">
        <f t="shared" si="6"/>
        <v>0</v>
      </c>
      <c r="H44" s="1703">
        <f t="shared" si="6"/>
        <v>0</v>
      </c>
      <c r="I44" s="1703">
        <f t="shared" si="6"/>
        <v>0</v>
      </c>
      <c r="J44" s="1703">
        <f t="shared" si="6"/>
        <v>0</v>
      </c>
      <c r="K44" s="1703">
        <f t="shared" si="6"/>
        <v>0</v>
      </c>
      <c r="L44" s="524"/>
    </row>
    <row r="45" spans="1:12" ht="15.75" customHeight="1" thickTop="1" x14ac:dyDescent="0.2">
      <c r="A45" s="2136" t="s">
        <v>108</v>
      </c>
      <c r="B45" s="2137"/>
      <c r="C45" s="528"/>
      <c r="D45" s="528"/>
      <c r="E45" s="528"/>
      <c r="F45" s="528"/>
      <c r="G45" s="528"/>
      <c r="H45" s="528"/>
      <c r="I45" s="528"/>
      <c r="J45" s="528"/>
      <c r="K45" s="528"/>
      <c r="L45" s="347"/>
    </row>
    <row r="46" spans="1:12" s="485" customFormat="1" ht="15.75" customHeight="1" x14ac:dyDescent="0.2">
      <c r="A46" s="2144" t="s">
        <v>109</v>
      </c>
      <c r="B46" s="2145"/>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100000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v>80000</v>
      </c>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c r="G75" s="532"/>
      <c r="H75" s="532"/>
      <c r="I75" s="530"/>
      <c r="J75" s="530"/>
      <c r="K75" s="532"/>
      <c r="L75" s="524"/>
    </row>
    <row r="76" spans="1:12" s="485" customFormat="1" ht="14.25" thickTop="1" thickBot="1" x14ac:dyDescent="0.25">
      <c r="A76" s="2118" t="s">
        <v>440</v>
      </c>
      <c r="B76" s="2119"/>
      <c r="C76" s="1703">
        <f t="shared" ref="C76:K76" si="7">SUM(C47:C75)</f>
        <v>0</v>
      </c>
      <c r="D76" s="1703">
        <f t="shared" si="7"/>
        <v>80000</v>
      </c>
      <c r="E76" s="1703">
        <f t="shared" si="7"/>
        <v>0</v>
      </c>
      <c r="F76" s="1703">
        <f t="shared" si="7"/>
        <v>0</v>
      </c>
      <c r="G76" s="1703">
        <f t="shared" si="7"/>
        <v>0</v>
      </c>
      <c r="H76" s="1703">
        <f t="shared" si="7"/>
        <v>0</v>
      </c>
      <c r="I76" s="1703">
        <f t="shared" si="7"/>
        <v>100000</v>
      </c>
      <c r="J76" s="1703">
        <f t="shared" si="7"/>
        <v>0</v>
      </c>
      <c r="K76" s="1703">
        <f t="shared" si="7"/>
        <v>0</v>
      </c>
      <c r="L76" s="524"/>
    </row>
    <row r="77" spans="1:12" ht="14.25" thickTop="1" thickBot="1" x14ac:dyDescent="0.25">
      <c r="A77" s="2120" t="s">
        <v>1177</v>
      </c>
      <c r="B77" s="2121"/>
      <c r="C77" s="1703">
        <f t="shared" ref="C77:K77" si="8">C44-C76</f>
        <v>180000</v>
      </c>
      <c r="D77" s="1703">
        <f t="shared" si="8"/>
        <v>-80000</v>
      </c>
      <c r="E77" s="1703">
        <f t="shared" si="8"/>
        <v>0</v>
      </c>
      <c r="F77" s="1703">
        <f t="shared" si="8"/>
        <v>0</v>
      </c>
      <c r="G77" s="1703">
        <f t="shared" si="8"/>
        <v>0</v>
      </c>
      <c r="H77" s="1703">
        <f t="shared" si="8"/>
        <v>0</v>
      </c>
      <c r="I77" s="1703">
        <f t="shared" si="8"/>
        <v>-100000</v>
      </c>
      <c r="J77" s="1703">
        <f t="shared" si="8"/>
        <v>0</v>
      </c>
      <c r="K77" s="1703">
        <f t="shared" si="8"/>
        <v>0</v>
      </c>
      <c r="L77" s="347"/>
    </row>
    <row r="78" spans="1:12" ht="21.75" customHeight="1" thickTop="1" thickBot="1" x14ac:dyDescent="0.25">
      <c r="A78" s="2124" t="s">
        <v>597</v>
      </c>
      <c r="B78" s="2125"/>
      <c r="C78" s="1702">
        <f t="shared" ref="C78:K78" si="9">C20+C77</f>
        <v>136866</v>
      </c>
      <c r="D78" s="1702">
        <f t="shared" si="9"/>
        <v>6490</v>
      </c>
      <c r="E78" s="1702">
        <f t="shared" si="9"/>
        <v>316807</v>
      </c>
      <c r="F78" s="1702">
        <f t="shared" si="9"/>
        <v>-25000</v>
      </c>
      <c r="G78" s="1702">
        <f t="shared" si="9"/>
        <v>-44575</v>
      </c>
      <c r="H78" s="1702">
        <f t="shared" si="9"/>
        <v>-310351</v>
      </c>
      <c r="I78" s="1702">
        <f t="shared" si="9"/>
        <v>4693</v>
      </c>
      <c r="J78" s="1702">
        <f t="shared" si="9"/>
        <v>-88047</v>
      </c>
      <c r="K78" s="1702">
        <f t="shared" si="9"/>
        <v>102429</v>
      </c>
      <c r="L78" s="533"/>
    </row>
    <row r="79" spans="1:12" ht="13.5" thickTop="1" x14ac:dyDescent="0.2">
      <c r="A79" s="1494" t="s">
        <v>1947</v>
      </c>
      <c r="B79" s="534"/>
      <c r="C79" s="478">
        <v>2500307</v>
      </c>
      <c r="D79" s="535">
        <v>692568</v>
      </c>
      <c r="E79" s="535">
        <v>633175</v>
      </c>
      <c r="F79" s="535">
        <v>721240</v>
      </c>
      <c r="G79" s="535">
        <v>201433</v>
      </c>
      <c r="H79" s="535">
        <v>469469</v>
      </c>
      <c r="I79" s="535">
        <v>525834</v>
      </c>
      <c r="J79" s="535">
        <v>225673</v>
      </c>
      <c r="K79" s="535">
        <v>227416</v>
      </c>
      <c r="L79" s="347"/>
    </row>
    <row r="80" spans="1:12" x14ac:dyDescent="0.2">
      <c r="A80" s="2130" t="s">
        <v>1795</v>
      </c>
      <c r="B80" s="2131"/>
      <c r="C80" s="467"/>
      <c r="D80" s="467"/>
      <c r="E80" s="467"/>
      <c r="F80" s="467"/>
      <c r="G80" s="467"/>
      <c r="H80" s="467"/>
      <c r="I80" s="467"/>
      <c r="J80" s="467"/>
      <c r="K80" s="467"/>
      <c r="L80" s="347"/>
    </row>
    <row r="81" spans="1:12" ht="13.5" thickBot="1" x14ac:dyDescent="0.25">
      <c r="A81" s="2122" t="s">
        <v>1948</v>
      </c>
      <c r="B81" s="2123"/>
      <c r="C81" s="1688">
        <f>(SUM(C78:C80))</f>
        <v>2637173</v>
      </c>
      <c r="D81" s="1688">
        <f>SUM(D78:D80)</f>
        <v>699058</v>
      </c>
      <c r="E81" s="1688">
        <f t="shared" ref="E81:K81" si="10">SUM(E78:E80)</f>
        <v>949982</v>
      </c>
      <c r="F81" s="1688">
        <f t="shared" si="10"/>
        <v>696240</v>
      </c>
      <c r="G81" s="1688">
        <f t="shared" si="10"/>
        <v>156858</v>
      </c>
      <c r="H81" s="1688">
        <f t="shared" si="10"/>
        <v>159118</v>
      </c>
      <c r="I81" s="1688">
        <f t="shared" si="10"/>
        <v>530527</v>
      </c>
      <c r="J81" s="1688">
        <f t="shared" si="10"/>
        <v>137626</v>
      </c>
      <c r="K81" s="1688">
        <f t="shared" si="10"/>
        <v>329845</v>
      </c>
      <c r="L81" s="347"/>
    </row>
    <row r="82" spans="1:12" ht="0.75" customHeight="1" thickTop="1" thickBot="1" x14ac:dyDescent="0.25">
      <c r="A82" s="536" t="s">
        <v>343</v>
      </c>
      <c r="B82" s="537"/>
      <c r="C82" s="538">
        <f>(C81-C79)</f>
        <v>136866</v>
      </c>
      <c r="D82" s="538">
        <f t="shared" ref="D82:K82" si="11">(D81-D79)</f>
        <v>6490</v>
      </c>
      <c r="E82" s="538">
        <f t="shared" si="11"/>
        <v>316807</v>
      </c>
      <c r="F82" s="538">
        <f t="shared" si="11"/>
        <v>-25000</v>
      </c>
      <c r="G82" s="538">
        <f t="shared" si="11"/>
        <v>-44575</v>
      </c>
      <c r="H82" s="538">
        <f t="shared" si="11"/>
        <v>-310351</v>
      </c>
      <c r="I82" s="538">
        <f t="shared" si="11"/>
        <v>4693</v>
      </c>
      <c r="J82" s="538">
        <f t="shared" si="11"/>
        <v>-88047</v>
      </c>
      <c r="K82" s="538">
        <f t="shared" si="11"/>
        <v>102429</v>
      </c>
    </row>
    <row r="83" spans="1:12" ht="14.25" hidden="1" thickTop="1" thickBot="1" x14ac:dyDescent="0.25">
      <c r="A83" s="539" t="s">
        <v>344</v>
      </c>
      <c r="B83" s="464"/>
      <c r="C83" s="540">
        <f>C82/C81</f>
        <v>5.18987567368542E-2</v>
      </c>
      <c r="D83" s="540">
        <f t="shared" ref="D83:K83" si="12">D82/D81</f>
        <v>9.2839220779963889E-3</v>
      </c>
      <c r="E83" s="540">
        <f t="shared" si="12"/>
        <v>0.33348737133966749</v>
      </c>
      <c r="F83" s="540">
        <f t="shared" si="12"/>
        <v>-3.5907158451108812E-2</v>
      </c>
      <c r="G83" s="540">
        <f t="shared" si="12"/>
        <v>-0.28417422127019343</v>
      </c>
      <c r="H83" s="540">
        <f t="shared" si="12"/>
        <v>-1.950445581266733</v>
      </c>
      <c r="I83" s="540">
        <f t="shared" si="12"/>
        <v>8.8459211312525085E-3</v>
      </c>
      <c r="J83" s="540">
        <f t="shared" si="12"/>
        <v>-0.63975556944182055</v>
      </c>
      <c r="K83" s="540">
        <f t="shared" si="12"/>
        <v>0.31053676726947504</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L279"/>
  <sheetViews>
    <sheetView showGridLines="0" defaultGridColor="0" colorId="8" zoomScale="90" zoomScaleNormal="90" zoomScaleSheetLayoutView="75" workbookViewId="0">
      <pane ySplit="2" topLeftCell="A3" activePane="bottomLeft" state="frozen"/>
      <selection pane="bottomLeft" activeCell="C5" sqref="C5"/>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6" t="s">
        <v>1802</v>
      </c>
      <c r="B1" s="452"/>
      <c r="C1" s="453" t="s">
        <v>425</v>
      </c>
      <c r="D1" s="453" t="s">
        <v>426</v>
      </c>
      <c r="E1" s="453" t="s">
        <v>427</v>
      </c>
      <c r="F1" s="453" t="s">
        <v>428</v>
      </c>
      <c r="G1" s="453" t="s">
        <v>429</v>
      </c>
      <c r="H1" s="453" t="s">
        <v>430</v>
      </c>
      <c r="I1" s="453" t="s">
        <v>431</v>
      </c>
      <c r="J1" s="453" t="s">
        <v>432</v>
      </c>
      <c r="K1" s="453" t="s">
        <v>756</v>
      </c>
    </row>
    <row r="2" spans="1:12" ht="36" x14ac:dyDescent="0.2">
      <c r="A2" s="2127"/>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3373433</v>
      </c>
      <c r="D5" s="481">
        <v>471150</v>
      </c>
      <c r="E5" s="466">
        <v>865762</v>
      </c>
      <c r="F5" s="548">
        <v>226152</v>
      </c>
      <c r="G5" s="466">
        <v>69374</v>
      </c>
      <c r="H5" s="466"/>
      <c r="I5" s="466">
        <v>94230</v>
      </c>
      <c r="J5" s="467">
        <v>144569</v>
      </c>
      <c r="K5" s="466">
        <v>94231</v>
      </c>
    </row>
    <row r="6" spans="1:12" ht="15" x14ac:dyDescent="0.2">
      <c r="A6" s="463" t="s">
        <v>1662</v>
      </c>
      <c r="B6" s="470">
        <v>1130</v>
      </c>
      <c r="C6" s="466">
        <v>94230</v>
      </c>
      <c r="D6" s="466"/>
      <c r="E6" s="475"/>
      <c r="F6" s="475"/>
      <c r="G6" s="468"/>
      <c r="H6" s="468"/>
      <c r="I6" s="468"/>
      <c r="J6" s="468"/>
      <c r="K6" s="468"/>
    </row>
    <row r="7" spans="1:12" x14ac:dyDescent="0.2">
      <c r="A7" s="463" t="s">
        <v>110</v>
      </c>
      <c r="B7" s="549">
        <v>1140</v>
      </c>
      <c r="C7" s="466">
        <v>37692</v>
      </c>
      <c r="D7" s="466"/>
      <c r="E7" s="468"/>
      <c r="F7" s="467"/>
      <c r="G7" s="467"/>
      <c r="H7" s="467"/>
      <c r="I7" s="468"/>
      <c r="J7" s="468"/>
      <c r="K7" s="468"/>
    </row>
    <row r="8" spans="1:12" x14ac:dyDescent="0.2">
      <c r="A8" s="463" t="s">
        <v>413</v>
      </c>
      <c r="B8" s="470">
        <v>1150</v>
      </c>
      <c r="C8" s="475"/>
      <c r="D8" s="475"/>
      <c r="E8" s="477"/>
      <c r="F8" s="477"/>
      <c r="G8" s="481">
        <v>84793</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3505355</v>
      </c>
      <c r="D12" s="1707">
        <f t="shared" si="0"/>
        <v>471150</v>
      </c>
      <c r="E12" s="1707">
        <f t="shared" si="0"/>
        <v>865762</v>
      </c>
      <c r="F12" s="1707">
        <f t="shared" si="0"/>
        <v>226152</v>
      </c>
      <c r="G12" s="1707">
        <f t="shared" si="0"/>
        <v>154167</v>
      </c>
      <c r="H12" s="1707">
        <f t="shared" si="0"/>
        <v>0</v>
      </c>
      <c r="I12" s="1707">
        <f t="shared" si="0"/>
        <v>94230</v>
      </c>
      <c r="J12" s="1707">
        <f t="shared" si="0"/>
        <v>144569</v>
      </c>
      <c r="K12" s="1688">
        <f t="shared" si="0"/>
        <v>94231</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113556</v>
      </c>
      <c r="D16" s="466"/>
      <c r="E16" s="466"/>
      <c r="F16" s="466"/>
      <c r="G16" s="466">
        <v>4731</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113556</v>
      </c>
      <c r="D18" s="1710">
        <f t="shared" ref="D18:K18" si="1">SUM(D14:D17)</f>
        <v>0</v>
      </c>
      <c r="E18" s="1710">
        <f t="shared" si="1"/>
        <v>0</v>
      </c>
      <c r="F18" s="1710">
        <f t="shared" si="1"/>
        <v>0</v>
      </c>
      <c r="G18" s="1710">
        <f t="shared" si="1"/>
        <v>4731</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9702</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9702</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v>435664</v>
      </c>
      <c r="G43" s="468"/>
      <c r="H43" s="468"/>
      <c r="I43" s="468"/>
      <c r="J43" s="468"/>
      <c r="K43" s="468"/>
    </row>
    <row r="44" spans="1:11" ht="12.75" customHeight="1" x14ac:dyDescent="0.2">
      <c r="A44" s="463" t="s">
        <v>384</v>
      </c>
      <c r="B44" s="470">
        <v>1413</v>
      </c>
      <c r="C44" s="468"/>
      <c r="D44" s="468"/>
      <c r="E44" s="468"/>
      <c r="F44" s="466">
        <v>24161</v>
      </c>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v>642614</v>
      </c>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1102439</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47208</v>
      </c>
      <c r="D65" s="466">
        <v>10682</v>
      </c>
      <c r="E65" s="466">
        <v>17262</v>
      </c>
      <c r="F65" s="467">
        <v>6968</v>
      </c>
      <c r="G65" s="466">
        <v>3604</v>
      </c>
      <c r="H65" s="466">
        <v>6615</v>
      </c>
      <c r="I65" s="466">
        <v>10463</v>
      </c>
      <c r="J65" s="467">
        <v>3324</v>
      </c>
      <c r="K65" s="466">
        <v>8198</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47208</v>
      </c>
      <c r="D67" s="1688">
        <f t="shared" ref="D67:K67" si="2">SUM(D65:D66)</f>
        <v>10682</v>
      </c>
      <c r="E67" s="1688">
        <f t="shared" si="2"/>
        <v>17262</v>
      </c>
      <c r="F67" s="1688">
        <f t="shared" si="2"/>
        <v>6968</v>
      </c>
      <c r="G67" s="1688">
        <f t="shared" si="2"/>
        <v>3604</v>
      </c>
      <c r="H67" s="1688">
        <f t="shared" si="2"/>
        <v>6615</v>
      </c>
      <c r="I67" s="1688">
        <f t="shared" si="2"/>
        <v>10463</v>
      </c>
      <c r="J67" s="1688">
        <f t="shared" si="2"/>
        <v>3324</v>
      </c>
      <c r="K67" s="1688">
        <f t="shared" si="2"/>
        <v>8198</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50062</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v>7398</v>
      </c>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198</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57658</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12954</v>
      </c>
      <c r="D77" s="466"/>
      <c r="E77" s="468"/>
      <c r="F77" s="468"/>
      <c r="G77" s="468"/>
      <c r="H77" s="468"/>
      <c r="I77" s="468"/>
      <c r="J77" s="468"/>
      <c r="K77" s="468"/>
    </row>
    <row r="78" spans="1:11" ht="12.75" customHeight="1" x14ac:dyDescent="0.2">
      <c r="A78" s="463" t="s">
        <v>76</v>
      </c>
      <c r="B78" s="470">
        <v>1719</v>
      </c>
      <c r="C78" s="551">
        <v>5021</v>
      </c>
      <c r="D78" s="466"/>
      <c r="E78" s="468"/>
      <c r="F78" s="468"/>
      <c r="G78" s="468"/>
      <c r="H78" s="468"/>
      <c r="I78" s="468"/>
      <c r="J78" s="468"/>
      <c r="K78" s="468"/>
    </row>
    <row r="79" spans="1:11" ht="12.75" customHeight="1" x14ac:dyDescent="0.2">
      <c r="A79" s="463" t="s">
        <v>550</v>
      </c>
      <c r="B79" s="470">
        <v>1720</v>
      </c>
      <c r="C79" s="551">
        <v>9170</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v>14735</v>
      </c>
      <c r="D81" s="466"/>
      <c r="E81" s="468"/>
      <c r="F81" s="468"/>
      <c r="G81" s="468"/>
      <c r="H81" s="468"/>
      <c r="I81" s="468"/>
      <c r="J81" s="468"/>
      <c r="K81" s="468"/>
    </row>
    <row r="82" spans="1:11" ht="12.75" customHeight="1" thickBot="1" x14ac:dyDescent="0.25">
      <c r="A82" s="1708" t="s">
        <v>241</v>
      </c>
      <c r="B82" s="1709"/>
      <c r="C82" s="1707">
        <f>SUM(C77:C81)</f>
        <v>41880</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66659</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v>140</v>
      </c>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66799</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v>4735</v>
      </c>
      <c r="E95" s="521"/>
      <c r="F95" s="521"/>
      <c r="G95" s="521"/>
      <c r="H95" s="521"/>
      <c r="I95" s="521"/>
      <c r="J95" s="521"/>
      <c r="K95" s="521"/>
    </row>
    <row r="96" spans="1:11" ht="12.75" customHeight="1" x14ac:dyDescent="0.2">
      <c r="A96" s="463" t="s">
        <v>391</v>
      </c>
      <c r="B96" s="470">
        <v>1920</v>
      </c>
      <c r="C96" s="551"/>
      <c r="D96" s="551"/>
      <c r="E96" s="479"/>
      <c r="F96" s="478"/>
      <c r="G96" s="478"/>
      <c r="H96" s="478"/>
      <c r="I96" s="478"/>
      <c r="J96" s="478"/>
      <c r="K96" s="478"/>
    </row>
    <row r="97" spans="1:12" ht="12.75" customHeight="1" x14ac:dyDescent="0.2">
      <c r="A97" s="1495" t="s">
        <v>244</v>
      </c>
      <c r="B97" s="559">
        <v>1930</v>
      </c>
      <c r="C97" s="489"/>
      <c r="D97" s="467"/>
      <c r="E97" s="474"/>
      <c r="F97" s="467"/>
      <c r="G97" s="467"/>
      <c r="H97" s="467">
        <v>20237</v>
      </c>
      <c r="I97" s="467"/>
      <c r="J97" s="467"/>
      <c r="K97" s="467"/>
    </row>
    <row r="98" spans="1:12" ht="12.75" customHeight="1" x14ac:dyDescent="0.2">
      <c r="A98" s="463" t="s">
        <v>189</v>
      </c>
      <c r="B98" s="470">
        <v>1940</v>
      </c>
      <c r="C98" s="489">
        <v>17028</v>
      </c>
      <c r="D98" s="466">
        <v>30784</v>
      </c>
      <c r="E98" s="512"/>
      <c r="F98" s="466"/>
      <c r="G98" s="512"/>
      <c r="H98" s="512"/>
      <c r="I98" s="510"/>
      <c r="J98" s="512"/>
      <c r="K98" s="512"/>
    </row>
    <row r="99" spans="1:12" ht="12.75" customHeight="1" x14ac:dyDescent="0.2">
      <c r="A99" s="463" t="s">
        <v>821</v>
      </c>
      <c r="B99" s="470">
        <v>1950</v>
      </c>
      <c r="C99" s="489">
        <v>46400</v>
      </c>
      <c r="D99" s="466"/>
      <c r="E99" s="466"/>
      <c r="F99" s="466"/>
      <c r="G99" s="466"/>
      <c r="H99" s="466"/>
      <c r="I99" s="468"/>
      <c r="J99" s="467"/>
      <c r="K99" s="466"/>
    </row>
    <row r="100" spans="1:12" ht="12.75" customHeight="1" x14ac:dyDescent="0.2">
      <c r="A100" s="463" t="s">
        <v>245</v>
      </c>
      <c r="B100" s="470">
        <v>1960</v>
      </c>
      <c r="C100" s="489">
        <v>210428</v>
      </c>
      <c r="D100" s="489"/>
      <c r="E100" s="489">
        <v>430000</v>
      </c>
      <c r="F100" s="489"/>
      <c r="G100" s="489"/>
      <c r="H100" s="489">
        <v>6526</v>
      </c>
      <c r="I100" s="467"/>
      <c r="J100" s="489"/>
      <c r="K100" s="467"/>
    </row>
    <row r="101" spans="1:12" ht="12.75" customHeight="1" x14ac:dyDescent="0.2">
      <c r="A101" s="463" t="s">
        <v>246</v>
      </c>
      <c r="B101" s="470">
        <v>1970</v>
      </c>
      <c r="C101" s="489"/>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c r="F103" s="468"/>
      <c r="G103" s="468"/>
      <c r="H103" s="489"/>
      <c r="I103" s="468"/>
      <c r="J103" s="510"/>
      <c r="K103" s="510"/>
    </row>
    <row r="104" spans="1:12" ht="12.75" customHeight="1" x14ac:dyDescent="0.2">
      <c r="A104" s="463" t="s">
        <v>830</v>
      </c>
      <c r="B104" s="470">
        <v>1991</v>
      </c>
      <c r="C104" s="489"/>
      <c r="D104" s="466"/>
      <c r="E104" s="481"/>
      <c r="F104" s="467"/>
      <c r="G104" s="467">
        <v>104502</v>
      </c>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8280</v>
      </c>
      <c r="D107" s="466">
        <v>16</v>
      </c>
      <c r="E107" s="466">
        <v>833</v>
      </c>
      <c r="F107" s="466">
        <v>145</v>
      </c>
      <c r="G107" s="466"/>
      <c r="H107" s="466">
        <v>9000</v>
      </c>
      <c r="I107" s="466"/>
      <c r="J107" s="467">
        <v>85058</v>
      </c>
      <c r="K107" s="466"/>
    </row>
    <row r="108" spans="1:12" ht="12.75" customHeight="1" thickBot="1" x14ac:dyDescent="0.25">
      <c r="A108" s="1708" t="s">
        <v>487</v>
      </c>
      <c r="B108" s="1712"/>
      <c r="C108" s="1707">
        <f>SUM(C95:C107)</f>
        <v>282136</v>
      </c>
      <c r="D108" s="1707">
        <f t="shared" ref="D108:K108" si="3">SUM(D95:D107)</f>
        <v>35535</v>
      </c>
      <c r="E108" s="1707">
        <f t="shared" si="3"/>
        <v>430833</v>
      </c>
      <c r="F108" s="1707">
        <f t="shared" si="3"/>
        <v>145</v>
      </c>
      <c r="G108" s="1707">
        <f t="shared" si="3"/>
        <v>104502</v>
      </c>
      <c r="H108" s="1707">
        <f t="shared" si="3"/>
        <v>35763</v>
      </c>
      <c r="I108" s="1707">
        <f t="shared" si="3"/>
        <v>0</v>
      </c>
      <c r="J108" s="1707">
        <f t="shared" si="3"/>
        <v>85058</v>
      </c>
      <c r="K108" s="1688">
        <f t="shared" si="3"/>
        <v>0</v>
      </c>
    </row>
    <row r="109" spans="1:12" ht="14.25" thickTop="1" thickBot="1" x14ac:dyDescent="0.25">
      <c r="A109" s="1713" t="s">
        <v>248</v>
      </c>
      <c r="B109" s="1714" t="s">
        <v>570</v>
      </c>
      <c r="C109" s="1715">
        <f t="shared" ref="C109:K109" si="4">SUM(C12,C18,C40,C63,C67,C75,C82,C93,C108,)</f>
        <v>4124294</v>
      </c>
      <c r="D109" s="1715">
        <f t="shared" si="4"/>
        <v>517367</v>
      </c>
      <c r="E109" s="1715">
        <f t="shared" si="4"/>
        <v>1313857</v>
      </c>
      <c r="F109" s="1715">
        <f t="shared" si="4"/>
        <v>1335704</v>
      </c>
      <c r="G109" s="1715">
        <f t="shared" si="4"/>
        <v>267004</v>
      </c>
      <c r="H109" s="1715">
        <f t="shared" si="4"/>
        <v>42378</v>
      </c>
      <c r="I109" s="1715">
        <f t="shared" si="4"/>
        <v>104693</v>
      </c>
      <c r="J109" s="1715">
        <f t="shared" si="4"/>
        <v>232951</v>
      </c>
      <c r="K109" s="1702">
        <f t="shared" si="4"/>
        <v>102429</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v>9007</v>
      </c>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9007</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1055039</v>
      </c>
      <c r="D117" s="481"/>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1055039</v>
      </c>
      <c r="D122" s="1707">
        <f t="shared" si="5"/>
        <v>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v>79528</v>
      </c>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79528</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1193</v>
      </c>
      <c r="D146" s="570"/>
      <c r="E146" s="509"/>
      <c r="F146" s="468"/>
      <c r="G146" s="571"/>
      <c r="H146" s="468"/>
      <c r="I146" s="468"/>
      <c r="J146" s="468"/>
      <c r="K146" s="468"/>
    </row>
    <row r="147" spans="1:11" ht="12.75" customHeight="1" thickBot="1" x14ac:dyDescent="0.25">
      <c r="A147" s="1499" t="s">
        <v>922</v>
      </c>
      <c r="B147" s="572">
        <v>3365</v>
      </c>
      <c r="C147" s="573"/>
      <c r="D147" s="532"/>
      <c r="E147" s="561"/>
      <c r="F147" s="468"/>
      <c r="G147" s="532"/>
      <c r="H147" s="468"/>
      <c r="I147" s="468"/>
      <c r="J147" s="468"/>
      <c r="K147" s="468"/>
    </row>
    <row r="148" spans="1:11" ht="12.75" customHeight="1" thickTop="1" thickBot="1" x14ac:dyDescent="0.25">
      <c r="A148" s="1500" t="s">
        <v>138</v>
      </c>
      <c r="B148" s="574">
        <v>3370</v>
      </c>
      <c r="C148" s="573"/>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12855</v>
      </c>
      <c r="G152" s="467"/>
      <c r="H152" s="468"/>
      <c r="I152" s="468"/>
      <c r="J152" s="468"/>
      <c r="K152" s="468"/>
    </row>
    <row r="153" spans="1:11" ht="12.75" customHeight="1" x14ac:dyDescent="0.2">
      <c r="A153" s="463" t="s">
        <v>1057</v>
      </c>
      <c r="B153" s="562">
        <v>3510</v>
      </c>
      <c r="C153" s="551"/>
      <c r="D153" s="466"/>
      <c r="E153" s="561"/>
      <c r="F153" s="466">
        <v>183096</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195951</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119281</v>
      </c>
      <c r="D159" s="578"/>
      <c r="E159" s="561"/>
      <c r="F159" s="576">
        <v>18937</v>
      </c>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750</v>
      </c>
      <c r="D168" s="580"/>
      <c r="E168" s="580"/>
      <c r="F168" s="580"/>
      <c r="G168" s="581"/>
      <c r="H168" s="582"/>
      <c r="I168" s="581"/>
      <c r="J168" s="581"/>
      <c r="K168" s="582"/>
    </row>
    <row r="169" spans="1:11" ht="12.75" customHeight="1" thickTop="1" thickBot="1" x14ac:dyDescent="0.25">
      <c r="A169" s="2146" t="s">
        <v>398</v>
      </c>
      <c r="B169" s="2147"/>
      <c r="C169" s="1722">
        <f t="shared" ref="C169:K169" si="6">SUM(C132,C141,C145,C146:C150,C155,C156:C167,C168)</f>
        <v>200752</v>
      </c>
      <c r="D169" s="1722">
        <f t="shared" si="6"/>
        <v>0</v>
      </c>
      <c r="E169" s="1722">
        <f t="shared" si="6"/>
        <v>0</v>
      </c>
      <c r="F169" s="1722">
        <f t="shared" si="6"/>
        <v>214888</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1255791</v>
      </c>
      <c r="D170" s="1715">
        <f t="shared" si="7"/>
        <v>0</v>
      </c>
      <c r="E170" s="1715">
        <f t="shared" si="7"/>
        <v>0</v>
      </c>
      <c r="F170" s="1715">
        <f t="shared" si="7"/>
        <v>214888</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48" t="s">
        <v>1492</v>
      </c>
      <c r="B172" s="2149"/>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2" t="s">
        <v>1665</v>
      </c>
      <c r="B175" s="2153"/>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6" t="s">
        <v>1664</v>
      </c>
      <c r="B176" s="2157"/>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4" t="s">
        <v>785</v>
      </c>
      <c r="B181" s="2155"/>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0" t="s">
        <v>1803</v>
      </c>
      <c r="B182" s="2151"/>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82835</v>
      </c>
      <c r="D191" s="468"/>
      <c r="E191" s="561"/>
      <c r="F191" s="468"/>
      <c r="G191" s="585"/>
      <c r="H191" s="468"/>
      <c r="I191" s="468"/>
      <c r="J191" s="468"/>
      <c r="K191" s="468"/>
    </row>
    <row r="192" spans="1:11" ht="12.75" customHeight="1" x14ac:dyDescent="0.2">
      <c r="A192" s="463" t="s">
        <v>1047</v>
      </c>
      <c r="B192" s="470">
        <v>4215</v>
      </c>
      <c r="C192" s="551">
        <v>1123</v>
      </c>
      <c r="D192" s="468"/>
      <c r="E192" s="561"/>
      <c r="F192" s="468"/>
      <c r="G192" s="585"/>
      <c r="H192" s="468"/>
      <c r="I192" s="468"/>
      <c r="J192" s="468"/>
      <c r="K192" s="468"/>
    </row>
    <row r="193" spans="1:11" ht="12.75" customHeight="1" x14ac:dyDescent="0.2">
      <c r="A193" s="463" t="s">
        <v>1059</v>
      </c>
      <c r="B193" s="470">
        <v>4220</v>
      </c>
      <c r="C193" s="551"/>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83958</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109289</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109289</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8457</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8457</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106224</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106224</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v>4730</v>
      </c>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20485</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25204</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v>8358</v>
      </c>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358347</v>
      </c>
      <c r="D266" s="1715">
        <f t="shared" si="10"/>
        <v>8358</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358347</v>
      </c>
      <c r="D267" s="1715">
        <f>SUM(D175,D181,D266)</f>
        <v>8358</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5747439</v>
      </c>
      <c r="D268" s="1715">
        <f t="shared" si="12"/>
        <v>525725</v>
      </c>
      <c r="E268" s="1715">
        <f t="shared" si="12"/>
        <v>1313857</v>
      </c>
      <c r="F268" s="1715">
        <f t="shared" si="12"/>
        <v>1550592</v>
      </c>
      <c r="G268" s="1715">
        <f t="shared" si="12"/>
        <v>267004</v>
      </c>
      <c r="H268" s="1715">
        <f t="shared" si="12"/>
        <v>42378</v>
      </c>
      <c r="I268" s="1715">
        <f t="shared" si="12"/>
        <v>104693</v>
      </c>
      <c r="J268" s="1715">
        <f t="shared" si="12"/>
        <v>232951</v>
      </c>
      <c r="K268" s="1702">
        <f t="shared" si="12"/>
        <v>102429</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92D050"/>
  </sheetPr>
  <dimension ref="A1:N368"/>
  <sheetViews>
    <sheetView showGridLines="0" defaultGridColor="0" colorId="8" zoomScale="90" zoomScaleNormal="90" workbookViewId="0">
      <pane ySplit="2" topLeftCell="A36" activePane="bottomLeft" state="frozen"/>
      <selection pane="bottomLeft" activeCell="E37" sqref="E37"/>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6"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58"/>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4" t="s">
        <v>297</v>
      </c>
      <c r="B3" s="2165"/>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2138821</v>
      </c>
      <c r="D5" s="466">
        <v>456025</v>
      </c>
      <c r="E5" s="466">
        <v>19975</v>
      </c>
      <c r="F5" s="466">
        <v>129147</v>
      </c>
      <c r="G5" s="466"/>
      <c r="H5" s="466">
        <v>90</v>
      </c>
      <c r="I5" s="467"/>
      <c r="J5" s="467"/>
      <c r="K5" s="1671">
        <f>SUM(C5:J5)</f>
        <v>2744058</v>
      </c>
      <c r="L5" s="466">
        <v>2776130</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94582</v>
      </c>
      <c r="D7" s="467">
        <v>10740</v>
      </c>
      <c r="E7" s="467">
        <v>626</v>
      </c>
      <c r="F7" s="467">
        <v>7352</v>
      </c>
      <c r="G7" s="467"/>
      <c r="H7" s="467"/>
      <c r="I7" s="467"/>
      <c r="J7" s="467"/>
      <c r="K7" s="1671">
        <f t="shared" ref="K7:K32" si="0">SUM(C7:J7)</f>
        <v>113300</v>
      </c>
      <c r="L7" s="466">
        <v>128745</v>
      </c>
    </row>
    <row r="8" spans="1:14" x14ac:dyDescent="0.2">
      <c r="A8" s="1504" t="s">
        <v>164</v>
      </c>
      <c r="B8" s="614">
        <v>1200</v>
      </c>
      <c r="C8" s="466">
        <v>457007</v>
      </c>
      <c r="D8" s="466">
        <v>47758</v>
      </c>
      <c r="E8" s="466"/>
      <c r="F8" s="466">
        <v>5308</v>
      </c>
      <c r="G8" s="466"/>
      <c r="H8" s="466"/>
      <c r="I8" s="467"/>
      <c r="J8" s="467"/>
      <c r="K8" s="1671">
        <f t="shared" si="0"/>
        <v>510073</v>
      </c>
      <c r="L8" s="466">
        <v>521875</v>
      </c>
    </row>
    <row r="9" spans="1:14" x14ac:dyDescent="0.2">
      <c r="A9" s="1504" t="s">
        <v>721</v>
      </c>
      <c r="B9" s="614" t="s">
        <v>968</v>
      </c>
      <c r="C9" s="467">
        <v>42189</v>
      </c>
      <c r="D9" s="467">
        <v>3042</v>
      </c>
      <c r="E9" s="467"/>
      <c r="F9" s="467">
        <v>224</v>
      </c>
      <c r="G9" s="467"/>
      <c r="H9" s="467"/>
      <c r="I9" s="467"/>
      <c r="J9" s="467"/>
      <c r="K9" s="1671">
        <f t="shared" si="0"/>
        <v>45455</v>
      </c>
      <c r="L9" s="466">
        <v>51025</v>
      </c>
    </row>
    <row r="10" spans="1:14" x14ac:dyDescent="0.2">
      <c r="A10" s="1504" t="s">
        <v>722</v>
      </c>
      <c r="B10" s="614">
        <v>1250</v>
      </c>
      <c r="C10" s="466">
        <v>140142</v>
      </c>
      <c r="D10" s="466">
        <v>13837</v>
      </c>
      <c r="E10" s="466">
        <v>3804</v>
      </c>
      <c r="F10" s="466">
        <v>1003</v>
      </c>
      <c r="G10" s="466"/>
      <c r="H10" s="466"/>
      <c r="I10" s="467"/>
      <c r="J10" s="467"/>
      <c r="K10" s="1671">
        <f t="shared" si="0"/>
        <v>158786</v>
      </c>
      <c r="L10" s="466">
        <v>163350</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c r="I13" s="467"/>
      <c r="J13" s="467"/>
      <c r="K13" s="1671">
        <f t="shared" si="0"/>
        <v>0</v>
      </c>
      <c r="L13" s="466"/>
    </row>
    <row r="14" spans="1:14" x14ac:dyDescent="0.2">
      <c r="A14" s="1504" t="s">
        <v>963</v>
      </c>
      <c r="B14" s="614">
        <v>1500</v>
      </c>
      <c r="C14" s="466">
        <v>69422</v>
      </c>
      <c r="D14" s="466">
        <v>5947</v>
      </c>
      <c r="E14" s="466">
        <v>15615</v>
      </c>
      <c r="F14" s="466">
        <v>4774</v>
      </c>
      <c r="G14" s="466"/>
      <c r="H14" s="466">
        <v>4241</v>
      </c>
      <c r="I14" s="467"/>
      <c r="J14" s="467"/>
      <c r="K14" s="1671">
        <f t="shared" si="0"/>
        <v>99999</v>
      </c>
      <c r="L14" s="466">
        <v>102330</v>
      </c>
    </row>
    <row r="15" spans="1:14" x14ac:dyDescent="0.2">
      <c r="A15" s="1504" t="s">
        <v>964</v>
      </c>
      <c r="B15" s="614">
        <v>1600</v>
      </c>
      <c r="C15" s="466"/>
      <c r="D15" s="466"/>
      <c r="E15" s="466"/>
      <c r="F15" s="466"/>
      <c r="G15" s="466"/>
      <c r="H15" s="466"/>
      <c r="I15" s="467"/>
      <c r="J15" s="467"/>
      <c r="K15" s="1671">
        <f t="shared" si="0"/>
        <v>0</v>
      </c>
      <c r="L15" s="466"/>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c r="D17" s="467"/>
      <c r="E17" s="467"/>
      <c r="F17" s="467"/>
      <c r="G17" s="467"/>
      <c r="H17" s="467"/>
      <c r="I17" s="467"/>
      <c r="J17" s="467"/>
      <c r="K17" s="1671">
        <f t="shared" si="0"/>
        <v>0</v>
      </c>
      <c r="L17" s="466"/>
    </row>
    <row r="18" spans="1:12" x14ac:dyDescent="0.2">
      <c r="A18" s="1504" t="s">
        <v>1087</v>
      </c>
      <c r="B18" s="614">
        <v>1800</v>
      </c>
      <c r="C18" s="466">
        <v>43692</v>
      </c>
      <c r="D18" s="466">
        <v>5870</v>
      </c>
      <c r="E18" s="466"/>
      <c r="F18" s="466">
        <v>142</v>
      </c>
      <c r="G18" s="466"/>
      <c r="H18" s="466"/>
      <c r="I18" s="467"/>
      <c r="J18" s="467"/>
      <c r="K18" s="1671">
        <f t="shared" si="0"/>
        <v>49704</v>
      </c>
      <c r="L18" s="466">
        <v>50920</v>
      </c>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v>187100</v>
      </c>
      <c r="I22" s="616"/>
      <c r="J22" s="477"/>
      <c r="K22" s="1671">
        <f t="shared" si="0"/>
        <v>187100</v>
      </c>
      <c r="L22" s="471">
        <v>188230</v>
      </c>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2985855</v>
      </c>
      <c r="D33" s="1670">
        <f t="shared" ref="D33:L33" si="1">SUM(D5:D32)</f>
        <v>543219</v>
      </c>
      <c r="E33" s="1670">
        <f t="shared" si="1"/>
        <v>40020</v>
      </c>
      <c r="F33" s="1670">
        <f t="shared" si="1"/>
        <v>147950</v>
      </c>
      <c r="G33" s="1670">
        <f t="shared" si="1"/>
        <v>0</v>
      </c>
      <c r="H33" s="1670">
        <f t="shared" si="1"/>
        <v>191431</v>
      </c>
      <c r="I33" s="1670">
        <f t="shared" si="1"/>
        <v>0</v>
      </c>
      <c r="J33" s="1670">
        <f t="shared" si="1"/>
        <v>0</v>
      </c>
      <c r="K33" s="1670">
        <f t="shared" si="1"/>
        <v>3908475</v>
      </c>
      <c r="L33" s="1670">
        <f t="shared" si="1"/>
        <v>3982605</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115167</v>
      </c>
      <c r="D36" s="481">
        <v>14846</v>
      </c>
      <c r="E36" s="481">
        <v>398</v>
      </c>
      <c r="F36" s="481">
        <f>4846-398</f>
        <v>4448</v>
      </c>
      <c r="G36" s="481"/>
      <c r="H36" s="481"/>
      <c r="I36" s="467"/>
      <c r="J36" s="467"/>
      <c r="K36" s="1671">
        <f t="shared" ref="K36:K41" si="2">SUM(C36:J36)</f>
        <v>134859</v>
      </c>
      <c r="L36" s="466">
        <v>137885</v>
      </c>
    </row>
    <row r="37" spans="1:14" x14ac:dyDescent="0.2">
      <c r="A37" s="1504" t="s">
        <v>1090</v>
      </c>
      <c r="B37" s="614">
        <v>2120</v>
      </c>
      <c r="C37" s="466"/>
      <c r="D37" s="466"/>
      <c r="E37" s="466"/>
      <c r="F37" s="466"/>
      <c r="G37" s="466"/>
      <c r="H37" s="466"/>
      <c r="I37" s="467"/>
      <c r="J37" s="467"/>
      <c r="K37" s="1671">
        <f t="shared" si="2"/>
        <v>0</v>
      </c>
      <c r="L37" s="466"/>
    </row>
    <row r="38" spans="1:14" x14ac:dyDescent="0.2">
      <c r="A38" s="1504" t="s">
        <v>198</v>
      </c>
      <c r="B38" s="614">
        <v>2130</v>
      </c>
      <c r="C38" s="466">
        <v>53568</v>
      </c>
      <c r="D38" s="466"/>
      <c r="E38" s="466">
        <v>338</v>
      </c>
      <c r="F38" s="466">
        <v>1457</v>
      </c>
      <c r="G38" s="466"/>
      <c r="H38" s="466"/>
      <c r="I38" s="467"/>
      <c r="J38" s="467"/>
      <c r="K38" s="1671">
        <f t="shared" si="2"/>
        <v>55363</v>
      </c>
      <c r="L38" s="466">
        <v>56220</v>
      </c>
    </row>
    <row r="39" spans="1:14" x14ac:dyDescent="0.2">
      <c r="A39" s="1504" t="s">
        <v>199</v>
      </c>
      <c r="B39" s="614">
        <v>2140</v>
      </c>
      <c r="C39" s="466">
        <v>52402</v>
      </c>
      <c r="D39" s="466">
        <v>12596</v>
      </c>
      <c r="E39" s="466">
        <v>231</v>
      </c>
      <c r="F39" s="466">
        <v>136</v>
      </c>
      <c r="G39" s="466"/>
      <c r="H39" s="466"/>
      <c r="I39" s="467"/>
      <c r="J39" s="467"/>
      <c r="K39" s="1671">
        <f t="shared" si="2"/>
        <v>65365</v>
      </c>
      <c r="L39" s="466">
        <v>69700</v>
      </c>
    </row>
    <row r="40" spans="1:14" x14ac:dyDescent="0.2">
      <c r="A40" s="1504" t="s">
        <v>200</v>
      </c>
      <c r="B40" s="614">
        <v>2150</v>
      </c>
      <c r="C40" s="466">
        <v>93380</v>
      </c>
      <c r="D40" s="466">
        <v>18986</v>
      </c>
      <c r="E40" s="466"/>
      <c r="F40" s="466">
        <v>769</v>
      </c>
      <c r="G40" s="466"/>
      <c r="H40" s="466">
        <v>764</v>
      </c>
      <c r="I40" s="467"/>
      <c r="J40" s="467"/>
      <c r="K40" s="1671">
        <f t="shared" si="2"/>
        <v>113899</v>
      </c>
      <c r="L40" s="466">
        <v>117015</v>
      </c>
    </row>
    <row r="41" spans="1:14" x14ac:dyDescent="0.2">
      <c r="A41" s="1504" t="s">
        <v>1669</v>
      </c>
      <c r="B41" s="614">
        <v>2190</v>
      </c>
      <c r="C41" s="466"/>
      <c r="D41" s="466"/>
      <c r="E41" s="466"/>
      <c r="F41" s="466"/>
      <c r="G41" s="466"/>
      <c r="H41" s="466"/>
      <c r="I41" s="467"/>
      <c r="J41" s="467"/>
      <c r="K41" s="1671">
        <f t="shared" si="2"/>
        <v>0</v>
      </c>
      <c r="L41" s="466">
        <v>250</v>
      </c>
    </row>
    <row r="42" spans="1:14" ht="12.75" customHeight="1" thickBot="1" x14ac:dyDescent="0.25">
      <c r="A42" s="1668" t="s">
        <v>560</v>
      </c>
      <c r="B42" s="1669" t="s">
        <v>716</v>
      </c>
      <c r="C42" s="1670">
        <f>SUM(C36:C41)</f>
        <v>314517</v>
      </c>
      <c r="D42" s="1670">
        <f t="shared" ref="D42:L42" si="3">SUM(D36:D41)</f>
        <v>46428</v>
      </c>
      <c r="E42" s="1670">
        <f t="shared" si="3"/>
        <v>967</v>
      </c>
      <c r="F42" s="1670">
        <f t="shared" si="3"/>
        <v>6810</v>
      </c>
      <c r="G42" s="1670">
        <f t="shared" si="3"/>
        <v>0</v>
      </c>
      <c r="H42" s="1670">
        <f t="shared" si="3"/>
        <v>764</v>
      </c>
      <c r="I42" s="1670">
        <f t="shared" si="3"/>
        <v>0</v>
      </c>
      <c r="J42" s="1670">
        <f t="shared" si="3"/>
        <v>0</v>
      </c>
      <c r="K42" s="1670">
        <f t="shared" si="3"/>
        <v>369486</v>
      </c>
      <c r="L42" s="1670">
        <f t="shared" si="3"/>
        <v>381070</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23377</v>
      </c>
      <c r="D44" s="481">
        <v>2911</v>
      </c>
      <c r="E44" s="481">
        <v>33674</v>
      </c>
      <c r="F44" s="481"/>
      <c r="G44" s="481"/>
      <c r="H44" s="481"/>
      <c r="I44" s="467"/>
      <c r="J44" s="467"/>
      <c r="K44" s="1672">
        <f>SUM(C44:J44)</f>
        <v>59962</v>
      </c>
      <c r="L44" s="481">
        <v>63915</v>
      </c>
    </row>
    <row r="45" spans="1:14" x14ac:dyDescent="0.2">
      <c r="A45" s="1504" t="s">
        <v>815</v>
      </c>
      <c r="B45" s="614">
        <v>2220</v>
      </c>
      <c r="C45" s="466">
        <v>162888</v>
      </c>
      <c r="D45" s="466">
        <v>20490</v>
      </c>
      <c r="E45" s="466">
        <v>11107</v>
      </c>
      <c r="F45" s="466">
        <v>14121</v>
      </c>
      <c r="G45" s="466"/>
      <c r="H45" s="466"/>
      <c r="I45" s="467">
        <v>115100</v>
      </c>
      <c r="J45" s="467"/>
      <c r="K45" s="1672">
        <f>SUM(C45:J45)</f>
        <v>323706</v>
      </c>
      <c r="L45" s="466">
        <v>333490</v>
      </c>
    </row>
    <row r="46" spans="1:14" x14ac:dyDescent="0.2">
      <c r="A46" s="1504" t="s">
        <v>816</v>
      </c>
      <c r="B46" s="614">
        <v>2230</v>
      </c>
      <c r="C46" s="466"/>
      <c r="D46" s="466"/>
      <c r="E46" s="466">
        <v>1099</v>
      </c>
      <c r="F46" s="466"/>
      <c r="G46" s="466"/>
      <c r="H46" s="466"/>
      <c r="I46" s="467"/>
      <c r="J46" s="467"/>
      <c r="K46" s="1672">
        <f>SUM(C46:J46)</f>
        <v>1099</v>
      </c>
      <c r="L46" s="466">
        <v>1100</v>
      </c>
    </row>
    <row r="47" spans="1:14" ht="12.75" customHeight="1" thickBot="1" x14ac:dyDescent="0.25">
      <c r="A47" s="1668" t="s">
        <v>561</v>
      </c>
      <c r="B47" s="1669" t="s">
        <v>32</v>
      </c>
      <c r="C47" s="1670">
        <f>SUM(C44:C46)</f>
        <v>186265</v>
      </c>
      <c r="D47" s="1670">
        <f t="shared" ref="D47:K47" si="4">SUM(D44:D46)</f>
        <v>23401</v>
      </c>
      <c r="E47" s="1670">
        <f t="shared" si="4"/>
        <v>45880</v>
      </c>
      <c r="F47" s="1670">
        <f t="shared" si="4"/>
        <v>14121</v>
      </c>
      <c r="G47" s="1670">
        <f t="shared" si="4"/>
        <v>0</v>
      </c>
      <c r="H47" s="1670">
        <f t="shared" si="4"/>
        <v>0</v>
      </c>
      <c r="I47" s="1670">
        <f t="shared" si="4"/>
        <v>115100</v>
      </c>
      <c r="J47" s="1670">
        <f t="shared" si="4"/>
        <v>0</v>
      </c>
      <c r="K47" s="1670">
        <f t="shared" si="4"/>
        <v>384767</v>
      </c>
      <c r="L47" s="1670">
        <f>SUM(L44:L46)</f>
        <v>398505</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3376</v>
      </c>
      <c r="D49" s="481"/>
      <c r="E49" s="481">
        <v>37263</v>
      </c>
      <c r="F49" s="481">
        <v>10529</v>
      </c>
      <c r="G49" s="481"/>
      <c r="H49" s="481">
        <v>3275</v>
      </c>
      <c r="I49" s="467"/>
      <c r="J49" s="467"/>
      <c r="K49" s="1672">
        <f>SUM(C49:J49)</f>
        <v>54443</v>
      </c>
      <c r="L49" s="481">
        <v>59580</v>
      </c>
    </row>
    <row r="50" spans="1:14" x14ac:dyDescent="0.2">
      <c r="A50" s="1504" t="s">
        <v>818</v>
      </c>
      <c r="B50" s="614">
        <v>2320</v>
      </c>
      <c r="C50" s="466">
        <v>113129</v>
      </c>
      <c r="D50" s="466">
        <v>17421</v>
      </c>
      <c r="E50" s="466">
        <v>197</v>
      </c>
      <c r="F50" s="466">
        <v>275</v>
      </c>
      <c r="G50" s="466"/>
      <c r="H50" s="466">
        <v>2039</v>
      </c>
      <c r="I50" s="467"/>
      <c r="J50" s="467"/>
      <c r="K50" s="1672">
        <f>SUM(C50:J50)</f>
        <v>133061</v>
      </c>
      <c r="L50" s="466">
        <v>133940</v>
      </c>
    </row>
    <row r="51" spans="1:14" x14ac:dyDescent="0.2">
      <c r="A51" s="1504" t="s">
        <v>42</v>
      </c>
      <c r="B51" s="614">
        <v>2330</v>
      </c>
      <c r="C51" s="466">
        <v>35514</v>
      </c>
      <c r="D51" s="466">
        <v>7560</v>
      </c>
      <c r="E51" s="466">
        <v>180</v>
      </c>
      <c r="F51" s="466"/>
      <c r="G51" s="466"/>
      <c r="H51" s="466"/>
      <c r="I51" s="467"/>
      <c r="J51" s="467"/>
      <c r="K51" s="1672">
        <f>SUM(C51:J51)</f>
        <v>43254</v>
      </c>
      <c r="L51" s="466">
        <v>43795</v>
      </c>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152019</v>
      </c>
      <c r="D53" s="1670">
        <f t="shared" ref="D53:L53" si="5">SUM(D49:D52)</f>
        <v>24981</v>
      </c>
      <c r="E53" s="1670">
        <f t="shared" si="5"/>
        <v>37640</v>
      </c>
      <c r="F53" s="1670">
        <f t="shared" si="5"/>
        <v>10804</v>
      </c>
      <c r="G53" s="1670">
        <f t="shared" si="5"/>
        <v>0</v>
      </c>
      <c r="H53" s="1670">
        <f t="shared" si="5"/>
        <v>5314</v>
      </c>
      <c r="I53" s="1670">
        <f t="shared" si="5"/>
        <v>0</v>
      </c>
      <c r="J53" s="1670">
        <f t="shared" si="5"/>
        <v>0</v>
      </c>
      <c r="K53" s="1670">
        <f t="shared" si="5"/>
        <v>230758</v>
      </c>
      <c r="L53" s="1670">
        <f t="shared" si="5"/>
        <v>237315</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182094</v>
      </c>
      <c r="D55" s="481">
        <v>13386</v>
      </c>
      <c r="E55" s="481"/>
      <c r="F55" s="481">
        <v>1283</v>
      </c>
      <c r="G55" s="481"/>
      <c r="H55" s="481">
        <v>368</v>
      </c>
      <c r="I55" s="467"/>
      <c r="J55" s="467"/>
      <c r="K55" s="1672">
        <f>SUM(C55:J55)</f>
        <v>197131</v>
      </c>
      <c r="L55" s="481">
        <v>199560</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182094</v>
      </c>
      <c r="D57" s="1674">
        <f t="shared" ref="D57:K57" si="6">SUM(D55:D56)</f>
        <v>13386</v>
      </c>
      <c r="E57" s="1674">
        <f t="shared" si="6"/>
        <v>0</v>
      </c>
      <c r="F57" s="1674">
        <f t="shared" si="6"/>
        <v>1283</v>
      </c>
      <c r="G57" s="1674">
        <f t="shared" si="6"/>
        <v>0</v>
      </c>
      <c r="H57" s="1674">
        <f t="shared" si="6"/>
        <v>368</v>
      </c>
      <c r="I57" s="1674">
        <f t="shared" si="6"/>
        <v>0</v>
      </c>
      <c r="J57" s="1674">
        <f t="shared" si="6"/>
        <v>0</v>
      </c>
      <c r="K57" s="1674">
        <f t="shared" si="6"/>
        <v>197131</v>
      </c>
      <c r="L57" s="1670">
        <f>SUM(L55:L56)</f>
        <v>199560</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58520</v>
      </c>
      <c r="D60" s="466">
        <v>5566</v>
      </c>
      <c r="E60" s="466">
        <v>16799</v>
      </c>
      <c r="F60" s="466"/>
      <c r="G60" s="466"/>
      <c r="H60" s="466"/>
      <c r="I60" s="467"/>
      <c r="J60" s="467"/>
      <c r="K60" s="1672">
        <f t="shared" si="7"/>
        <v>80885</v>
      </c>
      <c r="L60" s="466">
        <v>81930</v>
      </c>
      <c r="M60" s="609"/>
      <c r="N60" s="609"/>
    </row>
    <row r="61" spans="1:14" s="343" customFormat="1" x14ac:dyDescent="0.2">
      <c r="A61" s="1504" t="s">
        <v>197</v>
      </c>
      <c r="B61" s="614">
        <v>2540</v>
      </c>
      <c r="C61" s="466"/>
      <c r="D61" s="466"/>
      <c r="E61" s="466"/>
      <c r="F61" s="466"/>
      <c r="G61" s="466"/>
      <c r="H61" s="466"/>
      <c r="I61" s="467"/>
      <c r="J61" s="467"/>
      <c r="K61" s="1672">
        <f t="shared" si="7"/>
        <v>0</v>
      </c>
      <c r="L61" s="466"/>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56095</v>
      </c>
      <c r="D63" s="466"/>
      <c r="E63" s="466">
        <v>131047</v>
      </c>
      <c r="F63" s="466">
        <v>2267</v>
      </c>
      <c r="G63" s="466"/>
      <c r="H63" s="466"/>
      <c r="I63" s="467"/>
      <c r="J63" s="467"/>
      <c r="K63" s="1672">
        <f t="shared" si="7"/>
        <v>189409</v>
      </c>
      <c r="L63" s="466">
        <v>203230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114615</v>
      </c>
      <c r="D65" s="1670">
        <f t="shared" ref="D65:L65" si="8">SUM(D59:D64)</f>
        <v>5566</v>
      </c>
      <c r="E65" s="1670">
        <f t="shared" si="8"/>
        <v>147846</v>
      </c>
      <c r="F65" s="1670">
        <f t="shared" si="8"/>
        <v>2267</v>
      </c>
      <c r="G65" s="1670">
        <f t="shared" si="8"/>
        <v>0</v>
      </c>
      <c r="H65" s="1670">
        <f t="shared" si="8"/>
        <v>0</v>
      </c>
      <c r="I65" s="1670">
        <f t="shared" si="8"/>
        <v>0</v>
      </c>
      <c r="J65" s="1670">
        <f t="shared" si="8"/>
        <v>0</v>
      </c>
      <c r="K65" s="1670">
        <f t="shared" si="8"/>
        <v>270294</v>
      </c>
      <c r="L65" s="1670">
        <f t="shared" si="8"/>
        <v>285160</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v>664</v>
      </c>
      <c r="F71" s="466"/>
      <c r="G71" s="466"/>
      <c r="H71" s="466"/>
      <c r="I71" s="467"/>
      <c r="J71" s="467"/>
      <c r="K71" s="1672">
        <f>SUM(C71:J71)</f>
        <v>664</v>
      </c>
      <c r="L71" s="466">
        <v>665</v>
      </c>
      <c r="M71" s="609"/>
      <c r="N71" s="609"/>
    </row>
    <row r="72" spans="1:14" s="343" customFormat="1" ht="12.75" customHeight="1" thickBot="1" x14ac:dyDescent="0.25">
      <c r="A72" s="1668" t="s">
        <v>37</v>
      </c>
      <c r="B72" s="1675" t="s">
        <v>36</v>
      </c>
      <c r="C72" s="1670">
        <f>SUM(C67:C71)</f>
        <v>0</v>
      </c>
      <c r="D72" s="1670">
        <f t="shared" ref="D72:K72" si="9">SUM(D67:D71)</f>
        <v>0</v>
      </c>
      <c r="E72" s="1670">
        <f t="shared" si="9"/>
        <v>664</v>
      </c>
      <c r="F72" s="1670">
        <f t="shared" si="9"/>
        <v>0</v>
      </c>
      <c r="G72" s="1670">
        <f t="shared" si="9"/>
        <v>0</v>
      </c>
      <c r="H72" s="1670">
        <f t="shared" si="9"/>
        <v>0</v>
      </c>
      <c r="I72" s="1670">
        <f t="shared" si="9"/>
        <v>0</v>
      </c>
      <c r="J72" s="1670">
        <f t="shared" si="9"/>
        <v>0</v>
      </c>
      <c r="K72" s="1670">
        <f t="shared" si="9"/>
        <v>664</v>
      </c>
      <c r="L72" s="1670">
        <f>SUM(L67:L71)</f>
        <v>665</v>
      </c>
      <c r="M72" s="609"/>
      <c r="N72" s="609"/>
    </row>
    <row r="73" spans="1:14" s="343" customFormat="1" ht="14.25" thickTop="1" thickBot="1" x14ac:dyDescent="0.25">
      <c r="A73" s="1510" t="s">
        <v>980</v>
      </c>
      <c r="B73" s="632" t="s">
        <v>574</v>
      </c>
      <c r="C73" s="573"/>
      <c r="D73" s="573"/>
      <c r="E73" s="573"/>
      <c r="F73" s="573">
        <v>139</v>
      </c>
      <c r="G73" s="573"/>
      <c r="H73" s="573"/>
      <c r="I73" s="531"/>
      <c r="J73" s="531"/>
      <c r="K73" s="1670">
        <f>SUM(C73:J73)</f>
        <v>139</v>
      </c>
      <c r="L73" s="576">
        <v>500</v>
      </c>
      <c r="M73" s="609"/>
      <c r="N73" s="609"/>
    </row>
    <row r="74" spans="1:14" ht="12.75" customHeight="1" thickTop="1" thickBot="1" x14ac:dyDescent="0.25">
      <c r="A74" s="1668" t="s">
        <v>811</v>
      </c>
      <c r="B74" s="1676">
        <v>2000</v>
      </c>
      <c r="C74" s="1677">
        <f>SUM(C42,C47,C53,C57,C65,C72,C73)</f>
        <v>949510</v>
      </c>
      <c r="D74" s="1677">
        <f t="shared" ref="D74:K74" si="10">SUM(D42,D47,D53,D57,D65,D72,D73)</f>
        <v>113762</v>
      </c>
      <c r="E74" s="1677">
        <f t="shared" si="10"/>
        <v>232997</v>
      </c>
      <c r="F74" s="1677">
        <f t="shared" si="10"/>
        <v>35424</v>
      </c>
      <c r="G74" s="1677">
        <f t="shared" si="10"/>
        <v>0</v>
      </c>
      <c r="H74" s="1677">
        <f t="shared" si="10"/>
        <v>6446</v>
      </c>
      <c r="I74" s="1677">
        <f t="shared" si="10"/>
        <v>115100</v>
      </c>
      <c r="J74" s="1677">
        <f t="shared" si="10"/>
        <v>0</v>
      </c>
      <c r="K74" s="1677">
        <f t="shared" si="10"/>
        <v>1453239</v>
      </c>
      <c r="L74" s="1677">
        <f>SUM(L42,L47,L53,L57,L65,L72,L73)</f>
        <v>1502775</v>
      </c>
    </row>
    <row r="75" spans="1:14" s="259" customFormat="1" ht="15.75" customHeight="1" thickTop="1" thickBot="1" x14ac:dyDescent="0.25">
      <c r="A75" s="1610" t="s">
        <v>47</v>
      </c>
      <c r="B75" s="1611" t="s">
        <v>575</v>
      </c>
      <c r="C75" s="573"/>
      <c r="D75" s="573"/>
      <c r="E75" s="573">
        <v>5541</v>
      </c>
      <c r="F75" s="573">
        <v>1043</v>
      </c>
      <c r="G75" s="573">
        <v>315</v>
      </c>
      <c r="H75" s="573"/>
      <c r="I75" s="531"/>
      <c r="J75" s="531"/>
      <c r="K75" s="1670">
        <f>SUM(C75:J75)</f>
        <v>6899</v>
      </c>
      <c r="L75" s="576">
        <v>8155</v>
      </c>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48615</v>
      </c>
      <c r="I79" s="477"/>
      <c r="J79" s="477"/>
      <c r="K79" s="1671">
        <f t="shared" si="11"/>
        <v>48615</v>
      </c>
      <c r="L79" s="466">
        <v>48615</v>
      </c>
    </row>
    <row r="80" spans="1:14" x14ac:dyDescent="0.2">
      <c r="A80" s="1504" t="s">
        <v>305</v>
      </c>
      <c r="B80" s="614">
        <v>4130</v>
      </c>
      <c r="C80" s="616"/>
      <c r="D80" s="616"/>
      <c r="E80" s="466"/>
      <c r="F80" s="616"/>
      <c r="G80" s="616"/>
      <c r="H80" s="466"/>
      <c r="I80" s="477"/>
      <c r="J80" s="477"/>
      <c r="K80" s="1671">
        <f t="shared" si="11"/>
        <v>0</v>
      </c>
      <c r="L80" s="466"/>
    </row>
    <row r="81" spans="1:12" x14ac:dyDescent="0.2">
      <c r="A81" s="1504" t="s">
        <v>697</v>
      </c>
      <c r="B81" s="614">
        <v>4140</v>
      </c>
      <c r="C81" s="616"/>
      <c r="D81" s="616"/>
      <c r="E81" s="466"/>
      <c r="F81" s="616"/>
      <c r="G81" s="616"/>
      <c r="H81" s="466"/>
      <c r="I81" s="477"/>
      <c r="J81" s="477"/>
      <c r="K81" s="1671">
        <f t="shared" si="11"/>
        <v>0</v>
      </c>
      <c r="L81" s="466"/>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v>7000</v>
      </c>
      <c r="I83" s="477"/>
      <c r="J83" s="477"/>
      <c r="K83" s="1671">
        <f t="shared" si="11"/>
        <v>7000</v>
      </c>
      <c r="L83" s="466">
        <v>9000</v>
      </c>
    </row>
    <row r="84" spans="1:12" ht="13.5" thickBot="1" x14ac:dyDescent="0.25">
      <c r="A84" s="1668" t="s">
        <v>1485</v>
      </c>
      <c r="B84" s="1678">
        <v>4100</v>
      </c>
      <c r="C84" s="616"/>
      <c r="D84" s="616"/>
      <c r="E84" s="1670">
        <f>SUM(E78:E83)</f>
        <v>0</v>
      </c>
      <c r="F84" s="616"/>
      <c r="G84" s="616"/>
      <c r="H84" s="1670">
        <f>SUM(H78:H83)</f>
        <v>55615</v>
      </c>
      <c r="I84" s="477"/>
      <c r="J84" s="477"/>
      <c r="K84" s="1670">
        <f>SUM(K78:K83)</f>
        <v>55615</v>
      </c>
      <c r="L84" s="1670">
        <f>SUM(L78:L83)</f>
        <v>57615</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v>366345</v>
      </c>
      <c r="I86" s="477"/>
      <c r="J86" s="477"/>
      <c r="K86" s="1677">
        <f t="shared" ref="K86:K98" si="12">H86</f>
        <v>366345</v>
      </c>
      <c r="L86" s="530">
        <v>371000</v>
      </c>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366345</v>
      </c>
      <c r="I92" s="477"/>
      <c r="J92" s="477"/>
      <c r="K92" s="1677">
        <f t="shared" si="12"/>
        <v>366345</v>
      </c>
      <c r="L92" s="1670">
        <f>SUM(L85:L91)</f>
        <v>371000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421960</v>
      </c>
      <c r="I102" s="477"/>
      <c r="J102" s="477"/>
      <c r="K102" s="1677">
        <f>SUM(K84,K92,K100,K101)</f>
        <v>421960</v>
      </c>
      <c r="L102" s="1677">
        <f>SUM(L84,L92,L100,L101)</f>
        <v>428615</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3935365</v>
      </c>
      <c r="D114" s="1670">
        <f t="shared" ref="D114:K114" si="13">SUM(D33,D74,D75,D102,D112,D113)</f>
        <v>656981</v>
      </c>
      <c r="E114" s="1670">
        <f t="shared" si="13"/>
        <v>278558</v>
      </c>
      <c r="F114" s="1670">
        <f t="shared" si="13"/>
        <v>184417</v>
      </c>
      <c r="G114" s="1670">
        <f t="shared" si="13"/>
        <v>315</v>
      </c>
      <c r="H114" s="1670">
        <f>SUM(H33,H74,H75,H102,H112,H113)</f>
        <v>619837</v>
      </c>
      <c r="I114" s="1670">
        <f t="shared" si="13"/>
        <v>115100</v>
      </c>
      <c r="J114" s="1670">
        <f t="shared" si="13"/>
        <v>0</v>
      </c>
      <c r="K114" s="1670">
        <f t="shared" si="13"/>
        <v>5790573</v>
      </c>
      <c r="L114" s="1670">
        <f>SUM(L33,L74,L75,L102,L112,L113)</f>
        <v>5922150</v>
      </c>
    </row>
    <row r="115" spans="1:14" ht="13.5" thickTop="1" x14ac:dyDescent="0.2">
      <c r="A115" s="2183" t="s">
        <v>996</v>
      </c>
      <c r="B115" s="2184"/>
      <c r="C115" s="618"/>
      <c r="D115" s="618"/>
      <c r="E115" s="618"/>
      <c r="F115" s="618"/>
      <c r="G115" s="618"/>
      <c r="H115" s="618"/>
      <c r="I115" s="618"/>
      <c r="J115" s="618"/>
      <c r="K115" s="1684">
        <f>'Revenues 9-14'!C268-'Expenditures 15-22'!K114</f>
        <v>-43134</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1" t="s">
        <v>296</v>
      </c>
      <c r="B117" s="2162"/>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v>23450</v>
      </c>
      <c r="D122" s="466">
        <v>4002</v>
      </c>
      <c r="E122" s="466"/>
      <c r="F122" s="466"/>
      <c r="G122" s="466"/>
      <c r="H122" s="466"/>
      <c r="I122" s="467"/>
      <c r="J122" s="467"/>
      <c r="K122" s="1670">
        <f>SUM(C122:J122)</f>
        <v>27452</v>
      </c>
      <c r="L122" s="466">
        <v>27530</v>
      </c>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177354</v>
      </c>
      <c r="D124" s="466">
        <v>18107</v>
      </c>
      <c r="E124" s="466">
        <v>66629</v>
      </c>
      <c r="F124" s="466">
        <v>145244</v>
      </c>
      <c r="G124" s="466">
        <v>4449</v>
      </c>
      <c r="H124" s="466"/>
      <c r="I124" s="467"/>
      <c r="J124" s="467"/>
      <c r="K124" s="1670">
        <f>SUM(C124:J124)</f>
        <v>411783</v>
      </c>
      <c r="L124" s="466">
        <v>441600</v>
      </c>
    </row>
    <row r="125" spans="1:14" ht="14.25" thickTop="1" thickBot="1" x14ac:dyDescent="0.25">
      <c r="A125" s="1504" t="s">
        <v>953</v>
      </c>
      <c r="B125" s="614">
        <v>2550</v>
      </c>
      <c r="C125" s="466"/>
      <c r="D125" s="466"/>
      <c r="E125" s="466"/>
      <c r="F125" s="466"/>
      <c r="G125" s="466"/>
      <c r="H125" s="466"/>
      <c r="I125" s="467"/>
      <c r="J125" s="467"/>
      <c r="K125" s="1670">
        <f>SUM(C125:J125)</f>
        <v>0</v>
      </c>
      <c r="L125" s="466"/>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200804</v>
      </c>
      <c r="D127" s="1670">
        <f t="shared" ref="D127:L127" si="14">SUM(D122:D126)</f>
        <v>22109</v>
      </c>
      <c r="E127" s="1670">
        <f t="shared" si="14"/>
        <v>66629</v>
      </c>
      <c r="F127" s="1670">
        <f t="shared" si="14"/>
        <v>145244</v>
      </c>
      <c r="G127" s="1670">
        <f t="shared" si="14"/>
        <v>4449</v>
      </c>
      <c r="H127" s="1670">
        <f t="shared" si="14"/>
        <v>0</v>
      </c>
      <c r="I127" s="1670">
        <f t="shared" si="14"/>
        <v>0</v>
      </c>
      <c r="J127" s="1670">
        <f t="shared" si="14"/>
        <v>0</v>
      </c>
      <c r="K127" s="1670">
        <f t="shared" si="14"/>
        <v>439235</v>
      </c>
      <c r="L127" s="1670">
        <f t="shared" si="14"/>
        <v>469130</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200804</v>
      </c>
      <c r="D129" s="1677">
        <f t="shared" ref="D129:L129" si="15">SUM(D120,D127,D128)</f>
        <v>22109</v>
      </c>
      <c r="E129" s="1677">
        <f t="shared" si="15"/>
        <v>66629</v>
      </c>
      <c r="F129" s="1677">
        <f t="shared" si="15"/>
        <v>145244</v>
      </c>
      <c r="G129" s="1677">
        <f t="shared" si="15"/>
        <v>4449</v>
      </c>
      <c r="H129" s="1677">
        <f t="shared" si="15"/>
        <v>0</v>
      </c>
      <c r="I129" s="1677">
        <f t="shared" si="15"/>
        <v>0</v>
      </c>
      <c r="J129" s="1677">
        <f t="shared" si="15"/>
        <v>0</v>
      </c>
      <c r="K129" s="1677">
        <f t="shared" si="15"/>
        <v>439235</v>
      </c>
      <c r="L129" s="1677">
        <f t="shared" si="15"/>
        <v>469130</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3" t="s">
        <v>620</v>
      </c>
      <c r="B151" s="2155"/>
      <c r="C151" s="1670">
        <f>SUM(C129,C130,C139,C149,C150)</f>
        <v>200804</v>
      </c>
      <c r="D151" s="1670">
        <f t="shared" ref="D151:K151" si="16">SUM(D129,D130,D139,D149,D150)</f>
        <v>22109</v>
      </c>
      <c r="E151" s="1670">
        <f t="shared" si="16"/>
        <v>66629</v>
      </c>
      <c r="F151" s="1670">
        <f t="shared" si="16"/>
        <v>145244</v>
      </c>
      <c r="G151" s="1670">
        <f t="shared" si="16"/>
        <v>4449</v>
      </c>
      <c r="H151" s="1670">
        <f t="shared" si="16"/>
        <v>0</v>
      </c>
      <c r="I151" s="1670">
        <f t="shared" si="16"/>
        <v>0</v>
      </c>
      <c r="J151" s="1670">
        <f t="shared" si="16"/>
        <v>0</v>
      </c>
      <c r="K151" s="1670">
        <f t="shared" si="16"/>
        <v>439235</v>
      </c>
      <c r="L151" s="1670">
        <f>SUM(L129,L130,L139,L149,L150)</f>
        <v>469130</v>
      </c>
    </row>
    <row r="152" spans="1:14" ht="12.75" customHeight="1" thickTop="1" x14ac:dyDescent="0.2">
      <c r="A152" s="2176" t="s">
        <v>1178</v>
      </c>
      <c r="B152" s="2177"/>
      <c r="C152" s="618"/>
      <c r="D152" s="618"/>
      <c r="E152" s="618"/>
      <c r="F152" s="618"/>
      <c r="G152" s="618"/>
      <c r="H152" s="618"/>
      <c r="I152" s="618"/>
      <c r="J152" s="616"/>
      <c r="K152" s="1684">
        <f>'Revenues 9-14'!D268-'Expenditures 15-22'!K151</f>
        <v>86490</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1" t="s">
        <v>621</v>
      </c>
      <c r="B154" s="2163"/>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0</v>
      </c>
    </row>
    <row r="169" spans="1:14" ht="15.75" customHeight="1" thickTop="1" x14ac:dyDescent="0.2">
      <c r="A169" s="669" t="s">
        <v>83</v>
      </c>
      <c r="B169" s="670" t="s">
        <v>38</v>
      </c>
      <c r="C169" s="616"/>
      <c r="D169" s="616"/>
      <c r="E169" s="616"/>
      <c r="F169" s="616"/>
      <c r="G169" s="616"/>
      <c r="H169" s="656">
        <v>296600</v>
      </c>
      <c r="I169" s="616"/>
      <c r="J169" s="616"/>
      <c r="K169" s="1671">
        <f>SUM(C169:H169)</f>
        <v>296600</v>
      </c>
      <c r="L169" s="656">
        <v>297500</v>
      </c>
    </row>
    <row r="170" spans="1:14" ht="33.75" customHeight="1" x14ac:dyDescent="0.2">
      <c r="A170" s="669" t="s">
        <v>1670</v>
      </c>
      <c r="B170" s="671" t="s">
        <v>31</v>
      </c>
      <c r="C170" s="616"/>
      <c r="D170" s="616"/>
      <c r="E170" s="616"/>
      <c r="F170" s="616"/>
      <c r="G170" s="616"/>
      <c r="H170" s="569">
        <v>700000</v>
      </c>
      <c r="I170" s="616"/>
      <c r="J170" s="616"/>
      <c r="K170" s="1671">
        <f>SUM(C170:J170)</f>
        <v>700000</v>
      </c>
      <c r="L170" s="569">
        <v>700000</v>
      </c>
    </row>
    <row r="171" spans="1:14" ht="15.75" customHeight="1" x14ac:dyDescent="0.2">
      <c r="A171" s="621" t="s">
        <v>766</v>
      </c>
      <c r="B171" s="672" t="s">
        <v>84</v>
      </c>
      <c r="C171" s="616"/>
      <c r="D171" s="616"/>
      <c r="E171" s="466"/>
      <c r="F171" s="616"/>
      <c r="G171" s="616"/>
      <c r="H171" s="569">
        <v>450</v>
      </c>
      <c r="I171" s="477"/>
      <c r="J171" s="616"/>
      <c r="K171" s="1671">
        <f>SUM(C171:J171)</f>
        <v>450</v>
      </c>
      <c r="L171" s="569"/>
    </row>
    <row r="172" spans="1:14" ht="12.75" customHeight="1" thickBot="1" x14ac:dyDescent="0.25">
      <c r="A172" s="1668" t="s">
        <v>638</v>
      </c>
      <c r="B172" s="1669" t="s">
        <v>492</v>
      </c>
      <c r="C172" s="616"/>
      <c r="D172" s="616"/>
      <c r="E172" s="1677">
        <f>SUM(E168,E169,E170,E171)</f>
        <v>0</v>
      </c>
      <c r="F172" s="616"/>
      <c r="G172" s="616"/>
      <c r="H172" s="1677">
        <f>SUM(H168,H169,H170,H171)</f>
        <v>997050</v>
      </c>
      <c r="I172" s="638"/>
      <c r="J172" s="616"/>
      <c r="K172" s="1677">
        <f>SUM(K168,K169,K170,K171)</f>
        <v>997050</v>
      </c>
      <c r="L172" s="1677">
        <f>SUM(L168,L169,L170,L171)</f>
        <v>997500</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997050</v>
      </c>
      <c r="I174" s="638"/>
      <c r="J174" s="616"/>
      <c r="K174" s="1677">
        <f>SUM(K160,K172,K173)</f>
        <v>997050</v>
      </c>
      <c r="L174" s="1677">
        <f>SUM(L160,L172,L173)</f>
        <v>997500</v>
      </c>
    </row>
    <row r="175" spans="1:14" ht="13.5" thickTop="1" x14ac:dyDescent="0.2">
      <c r="A175" s="2183" t="s">
        <v>996</v>
      </c>
      <c r="B175" s="2184"/>
      <c r="C175" s="616"/>
      <c r="D175" s="616"/>
      <c r="E175" s="616"/>
      <c r="F175" s="616"/>
      <c r="G175" s="616"/>
      <c r="H175" s="618"/>
      <c r="I175" s="616"/>
      <c r="J175" s="616"/>
      <c r="K175" s="1684">
        <f>'Revenues 9-14'!E268-'Expenditures 15-22'!K174</f>
        <v>316807</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791848</v>
      </c>
      <c r="D182" s="466">
        <v>18290</v>
      </c>
      <c r="E182" s="466">
        <v>152289</v>
      </c>
      <c r="F182" s="466">
        <v>198033</v>
      </c>
      <c r="G182" s="466">
        <v>414175</v>
      </c>
      <c r="H182" s="466"/>
      <c r="I182" s="467">
        <v>957</v>
      </c>
      <c r="J182" s="467"/>
      <c r="K182" s="1671">
        <f>SUM(C182:J182)</f>
        <v>1575592</v>
      </c>
      <c r="L182" s="466">
        <v>1622505</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791848</v>
      </c>
      <c r="D184" s="1677">
        <f t="shared" ref="D184:J184" si="17">SUM(D180,D182,D183)</f>
        <v>18290</v>
      </c>
      <c r="E184" s="1677">
        <f t="shared" si="17"/>
        <v>152289</v>
      </c>
      <c r="F184" s="1677">
        <f t="shared" si="17"/>
        <v>198033</v>
      </c>
      <c r="G184" s="1677">
        <f t="shared" si="17"/>
        <v>414175</v>
      </c>
      <c r="H184" s="1677">
        <f t="shared" si="17"/>
        <v>0</v>
      </c>
      <c r="I184" s="1677">
        <f t="shared" si="17"/>
        <v>957</v>
      </c>
      <c r="J184" s="1677">
        <f t="shared" si="17"/>
        <v>0</v>
      </c>
      <c r="K184" s="1677">
        <f>SUM(K180,K182,K183)</f>
        <v>1575592</v>
      </c>
      <c r="L184" s="1677">
        <f>SUM(L180, L182:L183)</f>
        <v>1622505</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791848</v>
      </c>
      <c r="D210" s="1670">
        <f>SUM(D184,D185)</f>
        <v>18290</v>
      </c>
      <c r="E210" s="1670">
        <f>SUM(E184,E185,E196)</f>
        <v>152289</v>
      </c>
      <c r="F210" s="1670">
        <f>SUM(F184,F185)</f>
        <v>198033</v>
      </c>
      <c r="G210" s="1670">
        <f>SUM(G184,G185)</f>
        <v>414175</v>
      </c>
      <c r="H210" s="1670">
        <f>SUM(H184,H185,H196,H208,H209)</f>
        <v>0</v>
      </c>
      <c r="I210" s="1670">
        <f>SUM(I184,I185)</f>
        <v>957</v>
      </c>
      <c r="J210" s="1670">
        <f>SUM(J184,J185)</f>
        <v>0</v>
      </c>
      <c r="K210" s="1671">
        <f>SUM(K184,K185,K196,K208,K209)</f>
        <v>1575592</v>
      </c>
      <c r="L210" s="1670">
        <f>SUM(L184,L185,L196,L208,L209)</f>
        <v>1622505</v>
      </c>
    </row>
    <row r="211" spans="1:14" ht="13.5" thickTop="1" x14ac:dyDescent="0.2">
      <c r="A211" s="2183" t="s">
        <v>996</v>
      </c>
      <c r="B211" s="2184"/>
      <c r="C211" s="618"/>
      <c r="D211" s="618"/>
      <c r="E211" s="618"/>
      <c r="F211" s="618"/>
      <c r="G211" s="618"/>
      <c r="H211" s="618"/>
      <c r="I211" s="616"/>
      <c r="J211" s="616"/>
      <c r="K211" s="1684">
        <f>'Revenues 9-14'!F268-'Expenditures 15-22'!K210</f>
        <v>-25000</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78" t="s">
        <v>965</v>
      </c>
      <c r="B213" s="2179"/>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29535</v>
      </c>
      <c r="E215" s="616"/>
      <c r="F215" s="616"/>
      <c r="G215" s="616"/>
      <c r="H215" s="616"/>
      <c r="I215" s="616"/>
      <c r="J215" s="616"/>
      <c r="K215" s="1671">
        <f>D215</f>
        <v>29535</v>
      </c>
      <c r="L215" s="466">
        <v>30915</v>
      </c>
    </row>
    <row r="216" spans="1:14" x14ac:dyDescent="0.2">
      <c r="A216" s="1504" t="s">
        <v>163</v>
      </c>
      <c r="B216" s="614" t="s">
        <v>967</v>
      </c>
      <c r="C216" s="616"/>
      <c r="D216" s="467">
        <v>6189</v>
      </c>
      <c r="E216" s="616"/>
      <c r="F216" s="616"/>
      <c r="G216" s="616"/>
      <c r="H216" s="616"/>
      <c r="I216" s="616"/>
      <c r="J216" s="616"/>
      <c r="K216" s="1671">
        <f t="shared" ref="K216:K228" si="19">D216</f>
        <v>6189</v>
      </c>
      <c r="L216" s="466">
        <v>6655</v>
      </c>
    </row>
    <row r="217" spans="1:14" x14ac:dyDescent="0.2">
      <c r="A217" s="1504" t="s">
        <v>164</v>
      </c>
      <c r="B217" s="614">
        <v>1200</v>
      </c>
      <c r="C217" s="616"/>
      <c r="D217" s="466">
        <v>32402</v>
      </c>
      <c r="E217" s="616"/>
      <c r="F217" s="616"/>
      <c r="G217" s="616"/>
      <c r="H217" s="616"/>
      <c r="I217" s="616"/>
      <c r="J217" s="616"/>
      <c r="K217" s="1671">
        <f t="shared" si="19"/>
        <v>32402</v>
      </c>
      <c r="L217" s="466">
        <v>36435</v>
      </c>
    </row>
    <row r="218" spans="1:14" x14ac:dyDescent="0.2">
      <c r="A218" s="1504" t="s">
        <v>278</v>
      </c>
      <c r="B218" s="614" t="s">
        <v>968</v>
      </c>
      <c r="C218" s="616"/>
      <c r="D218" s="467">
        <v>2595</v>
      </c>
      <c r="E218" s="616"/>
      <c r="F218" s="616"/>
      <c r="G218" s="616"/>
      <c r="H218" s="616"/>
      <c r="I218" s="616"/>
      <c r="J218" s="616"/>
      <c r="K218" s="1671">
        <f t="shared" si="19"/>
        <v>2595</v>
      </c>
      <c r="L218" s="466">
        <v>3120</v>
      </c>
    </row>
    <row r="219" spans="1:14" x14ac:dyDescent="0.2">
      <c r="A219" s="1504" t="s">
        <v>279</v>
      </c>
      <c r="B219" s="614">
        <v>1250</v>
      </c>
      <c r="C219" s="616"/>
      <c r="D219" s="466">
        <v>14976</v>
      </c>
      <c r="E219" s="616"/>
      <c r="F219" s="616"/>
      <c r="G219" s="616"/>
      <c r="H219" s="616"/>
      <c r="I219" s="616"/>
      <c r="J219" s="616"/>
      <c r="K219" s="1671">
        <f t="shared" si="19"/>
        <v>14976</v>
      </c>
      <c r="L219" s="466">
        <v>16765</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1885</v>
      </c>
      <c r="E223" s="616"/>
      <c r="F223" s="616"/>
      <c r="G223" s="616"/>
      <c r="H223" s="616"/>
      <c r="I223" s="616"/>
      <c r="J223" s="616"/>
      <c r="K223" s="1671">
        <f t="shared" si="19"/>
        <v>1885</v>
      </c>
      <c r="L223" s="466">
        <v>2630</v>
      </c>
    </row>
    <row r="224" spans="1:14" x14ac:dyDescent="0.2">
      <c r="A224" s="1504" t="s">
        <v>964</v>
      </c>
      <c r="B224" s="614">
        <v>1600</v>
      </c>
      <c r="C224" s="616"/>
      <c r="D224" s="466"/>
      <c r="E224" s="616"/>
      <c r="F224" s="616"/>
      <c r="G224" s="616"/>
      <c r="H224" s="616"/>
      <c r="I224" s="616"/>
      <c r="J224" s="616"/>
      <c r="K224" s="1671">
        <f t="shared" si="19"/>
        <v>0</v>
      </c>
      <c r="L224" s="466"/>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c r="E226" s="616"/>
      <c r="F226" s="616"/>
      <c r="G226" s="616"/>
      <c r="H226" s="616"/>
      <c r="I226" s="616"/>
      <c r="J226" s="616"/>
      <c r="K226" s="1671">
        <f t="shared" si="19"/>
        <v>0</v>
      </c>
      <c r="L226" s="466"/>
    </row>
    <row r="227" spans="1:12" x14ac:dyDescent="0.2">
      <c r="A227" s="1504" t="s">
        <v>1087</v>
      </c>
      <c r="B227" s="614">
        <v>1800</v>
      </c>
      <c r="C227" s="616"/>
      <c r="D227" s="466">
        <v>1309</v>
      </c>
      <c r="E227" s="616"/>
      <c r="F227" s="616"/>
      <c r="G227" s="616"/>
      <c r="H227" s="616"/>
      <c r="I227" s="616"/>
      <c r="J227" s="616"/>
      <c r="K227" s="1671">
        <f t="shared" si="19"/>
        <v>1309</v>
      </c>
      <c r="L227" s="466">
        <v>1585</v>
      </c>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88891</v>
      </c>
      <c r="E229" s="616"/>
      <c r="F229" s="616"/>
      <c r="G229" s="616"/>
      <c r="H229" s="616"/>
      <c r="I229" s="616"/>
      <c r="J229" s="616"/>
      <c r="K229" s="1670">
        <f>SUM(K215:K228)</f>
        <v>88891</v>
      </c>
      <c r="L229" s="1670">
        <f>SUM(L215:L228)</f>
        <v>98105</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1643</v>
      </c>
      <c r="E232" s="616"/>
      <c r="F232" s="616"/>
      <c r="G232" s="616"/>
      <c r="H232" s="616"/>
      <c r="I232" s="616"/>
      <c r="J232" s="616"/>
      <c r="K232" s="1671">
        <f t="shared" ref="K232:K237" si="20">D232</f>
        <v>1643</v>
      </c>
      <c r="L232" s="466">
        <v>1850</v>
      </c>
    </row>
    <row r="233" spans="1:12" x14ac:dyDescent="0.2">
      <c r="A233" s="1504" t="s">
        <v>1090</v>
      </c>
      <c r="B233" s="614">
        <v>2120</v>
      </c>
      <c r="C233" s="616"/>
      <c r="D233" s="466"/>
      <c r="E233" s="616"/>
      <c r="F233" s="616"/>
      <c r="G233" s="616"/>
      <c r="H233" s="616"/>
      <c r="I233" s="616"/>
      <c r="J233" s="616"/>
      <c r="K233" s="1671">
        <f t="shared" si="20"/>
        <v>0</v>
      </c>
      <c r="L233" s="466"/>
    </row>
    <row r="234" spans="1:12" x14ac:dyDescent="0.2">
      <c r="A234" s="1504" t="s">
        <v>198</v>
      </c>
      <c r="B234" s="614">
        <v>2130</v>
      </c>
      <c r="C234" s="616"/>
      <c r="D234" s="466">
        <v>8895</v>
      </c>
      <c r="E234" s="616"/>
      <c r="F234" s="616"/>
      <c r="G234" s="616"/>
      <c r="H234" s="616"/>
      <c r="I234" s="616"/>
      <c r="J234" s="616"/>
      <c r="K234" s="1671">
        <f t="shared" si="20"/>
        <v>8895</v>
      </c>
      <c r="L234" s="466">
        <v>9425</v>
      </c>
    </row>
    <row r="235" spans="1:12" x14ac:dyDescent="0.2">
      <c r="A235" s="1504" t="s">
        <v>199</v>
      </c>
      <c r="B235" s="614">
        <v>2140</v>
      </c>
      <c r="C235" s="616"/>
      <c r="D235" s="466">
        <v>1415</v>
      </c>
      <c r="E235" s="616"/>
      <c r="F235" s="616"/>
      <c r="G235" s="616"/>
      <c r="H235" s="616"/>
      <c r="I235" s="616"/>
      <c r="J235" s="616"/>
      <c r="K235" s="1671">
        <f t="shared" si="20"/>
        <v>1415</v>
      </c>
      <c r="L235" s="466">
        <v>1550</v>
      </c>
    </row>
    <row r="236" spans="1:12" x14ac:dyDescent="0.2">
      <c r="A236" s="1504" t="s">
        <v>200</v>
      </c>
      <c r="B236" s="614">
        <v>2150</v>
      </c>
      <c r="C236" s="616"/>
      <c r="D236" s="466">
        <v>1323</v>
      </c>
      <c r="E236" s="616"/>
      <c r="F236" s="616"/>
      <c r="G236" s="616"/>
      <c r="H236" s="616"/>
      <c r="I236" s="616"/>
      <c r="J236" s="616"/>
      <c r="K236" s="1671">
        <f t="shared" si="20"/>
        <v>1323</v>
      </c>
      <c r="L236" s="466">
        <v>1350</v>
      </c>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13276</v>
      </c>
      <c r="E238" s="616"/>
      <c r="F238" s="616"/>
      <c r="G238" s="616"/>
      <c r="H238" s="616"/>
      <c r="I238" s="616"/>
      <c r="J238" s="616"/>
      <c r="K238" s="1670">
        <f>SUM(K232:K237)</f>
        <v>13276</v>
      </c>
      <c r="L238" s="1670">
        <f>SUM(L232:L237)</f>
        <v>14175</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326</v>
      </c>
      <c r="E240" s="616"/>
      <c r="F240" s="616"/>
      <c r="G240" s="616"/>
      <c r="H240" s="616"/>
      <c r="I240" s="616"/>
      <c r="J240" s="616"/>
      <c r="K240" s="1672">
        <f>D240</f>
        <v>326</v>
      </c>
      <c r="L240" s="481">
        <v>510</v>
      </c>
    </row>
    <row r="241" spans="1:12" x14ac:dyDescent="0.2">
      <c r="A241" s="1504" t="s">
        <v>815</v>
      </c>
      <c r="B241" s="614">
        <v>2220</v>
      </c>
      <c r="C241" s="616"/>
      <c r="D241" s="466">
        <v>9898</v>
      </c>
      <c r="E241" s="616"/>
      <c r="F241" s="616"/>
      <c r="G241" s="616"/>
      <c r="H241" s="616"/>
      <c r="I241" s="616"/>
      <c r="J241" s="616"/>
      <c r="K241" s="1672">
        <f>D241</f>
        <v>9898</v>
      </c>
      <c r="L241" s="466">
        <v>11000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10224</v>
      </c>
      <c r="E243" s="616"/>
      <c r="F243" s="616"/>
      <c r="G243" s="616"/>
      <c r="H243" s="616"/>
      <c r="I243" s="616"/>
      <c r="J243" s="616"/>
      <c r="K243" s="1670">
        <f>SUM(K240:K242)</f>
        <v>10224</v>
      </c>
      <c r="L243" s="1670">
        <f>SUM(L240:L242)</f>
        <v>11510</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262</v>
      </c>
      <c r="E245" s="616"/>
      <c r="F245" s="616"/>
      <c r="G245" s="616"/>
      <c r="H245" s="616"/>
      <c r="I245" s="616"/>
      <c r="J245" s="616"/>
      <c r="K245" s="1672">
        <f>D245</f>
        <v>262</v>
      </c>
      <c r="L245" s="481">
        <v>640</v>
      </c>
    </row>
    <row r="246" spans="1:12" x14ac:dyDescent="0.2">
      <c r="A246" s="1504" t="s">
        <v>818</v>
      </c>
      <c r="B246" s="614">
        <v>2320</v>
      </c>
      <c r="C246" s="616"/>
      <c r="D246" s="466">
        <v>7833</v>
      </c>
      <c r="E246" s="616"/>
      <c r="F246" s="616"/>
      <c r="G246" s="616"/>
      <c r="H246" s="616"/>
      <c r="I246" s="616"/>
      <c r="J246" s="616"/>
      <c r="K246" s="1672">
        <f t="shared" ref="K246:K256" si="21">D246</f>
        <v>7833</v>
      </c>
      <c r="L246" s="466">
        <v>8875</v>
      </c>
    </row>
    <row r="247" spans="1:12" x14ac:dyDescent="0.2">
      <c r="A247" s="1504" t="s">
        <v>819</v>
      </c>
      <c r="B247" s="614">
        <v>2330</v>
      </c>
      <c r="C247" s="616"/>
      <c r="D247" s="466">
        <v>461</v>
      </c>
      <c r="E247" s="616"/>
      <c r="F247" s="616"/>
      <c r="G247" s="616"/>
      <c r="H247" s="616"/>
      <c r="I247" s="616"/>
      <c r="J247" s="616"/>
      <c r="K247" s="1672">
        <f t="shared" si="21"/>
        <v>461</v>
      </c>
      <c r="L247" s="466">
        <v>520</v>
      </c>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v>7991</v>
      </c>
      <c r="E254" s="616"/>
      <c r="F254" s="616"/>
      <c r="G254" s="616"/>
      <c r="H254" s="616"/>
      <c r="I254" s="616"/>
      <c r="J254" s="616"/>
      <c r="K254" s="1672">
        <f t="shared" si="21"/>
        <v>7991</v>
      </c>
      <c r="L254" s="466">
        <v>8400</v>
      </c>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16547</v>
      </c>
      <c r="E257" s="616"/>
      <c r="F257" s="616"/>
      <c r="G257" s="616"/>
      <c r="H257" s="616"/>
      <c r="I257" s="616"/>
      <c r="J257" s="616"/>
      <c r="K257" s="1670">
        <f>SUM(K245:K256)</f>
        <v>16547</v>
      </c>
      <c r="L257" s="1670">
        <f>SUM(L245:L256)</f>
        <v>18435</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14062</v>
      </c>
      <c r="E259" s="616"/>
      <c r="F259" s="616"/>
      <c r="G259" s="616"/>
      <c r="H259" s="616"/>
      <c r="I259" s="616"/>
      <c r="J259" s="616"/>
      <c r="K259" s="1672">
        <f>D259</f>
        <v>14062</v>
      </c>
      <c r="L259" s="481">
        <v>14530</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14062</v>
      </c>
      <c r="E261" s="616"/>
      <c r="F261" s="616"/>
      <c r="G261" s="616"/>
      <c r="H261" s="616"/>
      <c r="I261" s="616"/>
      <c r="J261" s="616"/>
      <c r="K261" s="1670">
        <f>SUM(K259:K260)</f>
        <v>14062</v>
      </c>
      <c r="L261" s="1670">
        <f>SUM(L259:L260)</f>
        <v>14530</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v>329</v>
      </c>
      <c r="E263" s="616"/>
      <c r="F263" s="616"/>
      <c r="G263" s="616"/>
      <c r="H263" s="616"/>
      <c r="I263" s="616"/>
      <c r="J263" s="616"/>
      <c r="K263" s="1672">
        <f>D263</f>
        <v>329</v>
      </c>
      <c r="L263" s="481">
        <v>350</v>
      </c>
    </row>
    <row r="264" spans="1:14" x14ac:dyDescent="0.2">
      <c r="A264" s="1504" t="s">
        <v>463</v>
      </c>
      <c r="B264" s="685">
        <v>2520</v>
      </c>
      <c r="C264" s="616"/>
      <c r="D264" s="466">
        <v>9872</v>
      </c>
      <c r="E264" s="616"/>
      <c r="F264" s="616"/>
      <c r="G264" s="616"/>
      <c r="H264" s="616"/>
      <c r="I264" s="616"/>
      <c r="J264" s="616"/>
      <c r="K264" s="1672">
        <f t="shared" ref="K264:K269" si="22">D264</f>
        <v>9872</v>
      </c>
      <c r="L264" s="466">
        <v>10255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28020</v>
      </c>
      <c r="E266" s="616"/>
      <c r="F266" s="616"/>
      <c r="G266" s="616"/>
      <c r="H266" s="616"/>
      <c r="I266" s="616"/>
      <c r="J266" s="616"/>
      <c r="K266" s="1672">
        <f t="shared" si="22"/>
        <v>28020</v>
      </c>
      <c r="L266" s="466">
        <v>30060</v>
      </c>
    </row>
    <row r="267" spans="1:14" x14ac:dyDescent="0.2">
      <c r="A267" s="1504" t="s">
        <v>953</v>
      </c>
      <c r="B267" s="614">
        <v>2550</v>
      </c>
      <c r="C267" s="616"/>
      <c r="D267" s="466">
        <v>123602</v>
      </c>
      <c r="E267" s="616"/>
      <c r="F267" s="616"/>
      <c r="G267" s="616"/>
      <c r="H267" s="616"/>
      <c r="I267" s="616"/>
      <c r="J267" s="616"/>
      <c r="K267" s="1672">
        <f t="shared" si="22"/>
        <v>123602</v>
      </c>
      <c r="L267" s="466">
        <v>134000</v>
      </c>
    </row>
    <row r="268" spans="1:14" x14ac:dyDescent="0.2">
      <c r="A268" s="1504" t="s">
        <v>100</v>
      </c>
      <c r="B268" s="614">
        <v>2560</v>
      </c>
      <c r="C268" s="616"/>
      <c r="D268" s="466">
        <v>6756</v>
      </c>
      <c r="E268" s="616"/>
      <c r="F268" s="616"/>
      <c r="G268" s="616"/>
      <c r="H268" s="616"/>
      <c r="I268" s="616"/>
      <c r="J268" s="616"/>
      <c r="K268" s="1672">
        <f t="shared" si="22"/>
        <v>6756</v>
      </c>
      <c r="L268" s="466">
        <v>7150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168579</v>
      </c>
      <c r="E270" s="616"/>
      <c r="F270" s="616"/>
      <c r="G270" s="616"/>
      <c r="H270" s="616"/>
      <c r="I270" s="616"/>
      <c r="J270" s="616"/>
      <c r="K270" s="1670">
        <f>SUM(K263:K269)</f>
        <v>168579</v>
      </c>
      <c r="L270" s="1670">
        <f>SUM(L263:L269)</f>
        <v>181815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222688</v>
      </c>
      <c r="E279" s="616"/>
      <c r="F279" s="616"/>
      <c r="G279" s="616"/>
      <c r="H279" s="616"/>
      <c r="I279" s="616"/>
      <c r="J279" s="616"/>
      <c r="K279" s="1677">
        <f>SUM(K238,K243,K257,K261,K270,K277,K278)</f>
        <v>222688</v>
      </c>
      <c r="L279" s="1677">
        <f>SUM(L238,L243,L257,L261,L270,L277,L278)</f>
        <v>240465</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4" t="s">
        <v>505</v>
      </c>
      <c r="B295" s="2175"/>
      <c r="C295" s="616"/>
      <c r="D295" s="1670">
        <f>SUM(D229,D279,D280,D285)</f>
        <v>311579</v>
      </c>
      <c r="E295" s="616"/>
      <c r="F295" s="616"/>
      <c r="G295" s="616"/>
      <c r="H295" s="1670">
        <f>H293</f>
        <v>0</v>
      </c>
      <c r="I295" s="616"/>
      <c r="J295" s="616"/>
      <c r="K295" s="1670">
        <f>SUM(K229,K279,K280,K285,K293,K294)</f>
        <v>311579</v>
      </c>
      <c r="L295" s="1670">
        <f>SUM(L229,L279,L280,L285,L293,L294)</f>
        <v>338570</v>
      </c>
    </row>
    <row r="296" spans="1:14" ht="13.5" thickTop="1" x14ac:dyDescent="0.2">
      <c r="A296" s="2183" t="s">
        <v>996</v>
      </c>
      <c r="B296" s="2184"/>
      <c r="C296" s="616"/>
      <c r="D296" s="618"/>
      <c r="E296" s="616"/>
      <c r="F296" s="616"/>
      <c r="G296" s="616"/>
      <c r="H296" s="687"/>
      <c r="I296" s="616"/>
      <c r="J296" s="616"/>
      <c r="K296" s="1684">
        <f>'Revenues 9-14'!G268-'Expenditures 15-22'!K295</f>
        <v>-44575</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66" t="s">
        <v>143</v>
      </c>
      <c r="B298" s="2160"/>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v>250498</v>
      </c>
      <c r="F301" s="466"/>
      <c r="G301" s="466">
        <v>80537</v>
      </c>
      <c r="H301" s="466"/>
      <c r="I301" s="467">
        <v>15137</v>
      </c>
      <c r="J301" s="467"/>
      <c r="K301" s="1671">
        <f>SUM(C301:J301)</f>
        <v>346172</v>
      </c>
      <c r="L301" s="467">
        <v>356000</v>
      </c>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250498</v>
      </c>
      <c r="F303" s="1677">
        <f t="shared" si="23"/>
        <v>0</v>
      </c>
      <c r="G303" s="1677">
        <f t="shared" si="23"/>
        <v>80537</v>
      </c>
      <c r="H303" s="1677">
        <f t="shared" si="23"/>
        <v>0</v>
      </c>
      <c r="I303" s="1677">
        <f t="shared" si="23"/>
        <v>15137</v>
      </c>
      <c r="J303" s="1677">
        <f t="shared" si="23"/>
        <v>0</v>
      </c>
      <c r="K303" s="1677">
        <f t="shared" si="23"/>
        <v>346172</v>
      </c>
      <c r="L303" s="1677">
        <f t="shared" si="23"/>
        <v>356000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v>6557</v>
      </c>
      <c r="I309" s="477"/>
      <c r="J309" s="616"/>
      <c r="K309" s="1671">
        <f>SUM(E309,H309)</f>
        <v>6557</v>
      </c>
      <c r="L309" s="466">
        <v>7000</v>
      </c>
    </row>
    <row r="310" spans="1:14" ht="12.75" customHeight="1" thickBot="1" x14ac:dyDescent="0.25">
      <c r="A310" s="1668" t="s">
        <v>1487</v>
      </c>
      <c r="B310" s="1675" t="s">
        <v>860</v>
      </c>
      <c r="C310" s="616"/>
      <c r="D310" s="616"/>
      <c r="E310" s="1670">
        <f>SUM(E306:E309)</f>
        <v>0</v>
      </c>
      <c r="F310" s="616"/>
      <c r="G310" s="616"/>
      <c r="H310" s="1670">
        <f>SUM(H306:H309)</f>
        <v>6557</v>
      </c>
      <c r="I310" s="477"/>
      <c r="J310" s="616"/>
      <c r="K310" s="1670">
        <f>SUM(K306:K309)</f>
        <v>6557</v>
      </c>
      <c r="L310" s="1677">
        <f>SUM(L306:L309)</f>
        <v>7000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1" t="s">
        <v>277</v>
      </c>
      <c r="B312" s="2172"/>
      <c r="C312" s="1670">
        <f>SUM(C303)</f>
        <v>0</v>
      </c>
      <c r="D312" s="1670">
        <f>SUM(D303)</f>
        <v>0</v>
      </c>
      <c r="E312" s="1670">
        <f>SUM(E303,E310)</f>
        <v>250498</v>
      </c>
      <c r="F312" s="1670">
        <f>SUM(F303)</f>
        <v>0</v>
      </c>
      <c r="G312" s="1670">
        <f>SUM(G303)</f>
        <v>80537</v>
      </c>
      <c r="H312" s="1670">
        <f>SUM(H303,H310)</f>
        <v>6557</v>
      </c>
      <c r="I312" s="1670">
        <f>SUM(I303)</f>
        <v>15137</v>
      </c>
      <c r="J312" s="1670">
        <f>SUM(J303)</f>
        <v>0</v>
      </c>
      <c r="K312" s="1670">
        <f>SUM(K303,K310,K311)</f>
        <v>352729</v>
      </c>
      <c r="L312" s="1670">
        <f>SUM(L303,L310,L311)</f>
        <v>363000</v>
      </c>
      <c r="M312" s="665"/>
      <c r="N312" s="665"/>
    </row>
    <row r="313" spans="1:14" ht="13.5" thickTop="1" x14ac:dyDescent="0.2">
      <c r="A313" s="2167" t="s">
        <v>996</v>
      </c>
      <c r="B313" s="2168"/>
      <c r="C313" s="626"/>
      <c r="D313" s="626"/>
      <c r="E313" s="626"/>
      <c r="F313" s="626"/>
      <c r="G313" s="626"/>
      <c r="H313" s="626"/>
      <c r="I313" s="626"/>
      <c r="J313" s="626"/>
      <c r="K313" s="1685">
        <f>'Revenues 9-14'!H268-'Expenditures 15-22'!K312</f>
        <v>-310351</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0" t="s">
        <v>149</v>
      </c>
      <c r="B315" s="2181"/>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2" t="s">
        <v>898</v>
      </c>
      <c r="B317" s="2181"/>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v>49232</v>
      </c>
      <c r="F320" s="467"/>
      <c r="G320" s="467"/>
      <c r="H320" s="467"/>
      <c r="I320" s="467"/>
      <c r="J320" s="467"/>
      <c r="K320" s="1671">
        <f t="shared" ref="K320:K327" si="24">SUM(C320:J320)</f>
        <v>49232</v>
      </c>
      <c r="L320" s="467">
        <v>51800</v>
      </c>
      <c r="M320" s="665"/>
      <c r="N320" s="665"/>
    </row>
    <row r="321" spans="1:14" s="674" customFormat="1" x14ac:dyDescent="0.2">
      <c r="A321" s="1519" t="s">
        <v>300</v>
      </c>
      <c r="B321" s="697" t="s">
        <v>283</v>
      </c>
      <c r="C321" s="467"/>
      <c r="D321" s="467"/>
      <c r="E321" s="467">
        <v>579</v>
      </c>
      <c r="F321" s="467"/>
      <c r="G321" s="467"/>
      <c r="H321" s="467"/>
      <c r="I321" s="467"/>
      <c r="J321" s="467"/>
      <c r="K321" s="1671">
        <f t="shared" si="24"/>
        <v>579</v>
      </c>
      <c r="L321" s="467">
        <v>1000</v>
      </c>
      <c r="M321" s="665"/>
      <c r="N321" s="665"/>
    </row>
    <row r="322" spans="1:14" s="674" customFormat="1" x14ac:dyDescent="0.2">
      <c r="A322" s="1519" t="s">
        <v>238</v>
      </c>
      <c r="B322" s="697" t="s">
        <v>284</v>
      </c>
      <c r="C322" s="467"/>
      <c r="D322" s="467"/>
      <c r="E322" s="467">
        <v>42542</v>
      </c>
      <c r="F322" s="467"/>
      <c r="G322" s="467"/>
      <c r="H322" s="467"/>
      <c r="I322" s="467"/>
      <c r="J322" s="467"/>
      <c r="K322" s="1671">
        <f t="shared" si="24"/>
        <v>42542</v>
      </c>
      <c r="L322" s="467">
        <v>42700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v>90620</v>
      </c>
      <c r="D325" s="467">
        <v>8444</v>
      </c>
      <c r="E325" s="467">
        <v>29742</v>
      </c>
      <c r="F325" s="467">
        <v>48</v>
      </c>
      <c r="G325" s="467">
        <v>75600</v>
      </c>
      <c r="H325" s="467"/>
      <c r="I325" s="467">
        <v>22530</v>
      </c>
      <c r="J325" s="467"/>
      <c r="K325" s="1671">
        <f t="shared" si="24"/>
        <v>226984</v>
      </c>
      <c r="L325" s="467">
        <v>241705</v>
      </c>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1661</v>
      </c>
      <c r="F327" s="467"/>
      <c r="G327" s="467"/>
      <c r="H327" s="467"/>
      <c r="I327" s="467"/>
      <c r="J327" s="467"/>
      <c r="K327" s="1671">
        <f t="shared" si="24"/>
        <v>1661</v>
      </c>
      <c r="L327" s="467">
        <v>2500</v>
      </c>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90620</v>
      </c>
      <c r="D330" s="1670">
        <f t="shared" ref="D330:J330" si="25">SUM(D319:D329)</f>
        <v>8444</v>
      </c>
      <c r="E330" s="1670">
        <f t="shared" si="25"/>
        <v>123756</v>
      </c>
      <c r="F330" s="1670">
        <f t="shared" si="25"/>
        <v>48</v>
      </c>
      <c r="G330" s="1670">
        <f t="shared" si="25"/>
        <v>75600</v>
      </c>
      <c r="H330" s="1670">
        <f t="shared" si="25"/>
        <v>0</v>
      </c>
      <c r="I330" s="1670">
        <f t="shared" si="25"/>
        <v>22530</v>
      </c>
      <c r="J330" s="1670">
        <f t="shared" si="25"/>
        <v>0</v>
      </c>
      <c r="K330" s="1670">
        <f>SUM(K319:K329)</f>
        <v>320998</v>
      </c>
      <c r="L330" s="1670">
        <f>SUM(L319:L329)</f>
        <v>339705</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90620</v>
      </c>
      <c r="D342" s="1670">
        <f>SUM(D330)</f>
        <v>8444</v>
      </c>
      <c r="E342" s="1670">
        <f>SUM(E330)</f>
        <v>123756</v>
      </c>
      <c r="F342" s="1670">
        <f>SUM(F330)</f>
        <v>48</v>
      </c>
      <c r="G342" s="1670">
        <f>SUM(G330)</f>
        <v>75600</v>
      </c>
      <c r="H342" s="1670">
        <f>SUM(H330,H334,H340)</f>
        <v>0</v>
      </c>
      <c r="I342" s="1670">
        <f>SUM(I330)</f>
        <v>22530</v>
      </c>
      <c r="J342" s="1670">
        <f>SUM(J330)</f>
        <v>0</v>
      </c>
      <c r="K342" s="1670">
        <f>SUM(K330,K334,K340)</f>
        <v>320998</v>
      </c>
      <c r="L342" s="1677">
        <f>SUM(L330,L340,L341)</f>
        <v>339705</v>
      </c>
    </row>
    <row r="343" spans="1:14" ht="12.75" customHeight="1" thickTop="1" x14ac:dyDescent="0.2">
      <c r="A343" s="2169" t="s">
        <v>996</v>
      </c>
      <c r="B343" s="2170"/>
      <c r="C343" s="616"/>
      <c r="D343" s="616"/>
      <c r="E343" s="616"/>
      <c r="F343" s="616"/>
      <c r="G343" s="616"/>
      <c r="H343" s="616"/>
      <c r="I343" s="616"/>
      <c r="J343" s="616"/>
      <c r="K343" s="1684">
        <f>'Revenues 9-14'!J268-'Expenditures 15-22'!K342</f>
        <v>-88047</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59" t="s">
        <v>966</v>
      </c>
      <c r="B345" s="2160"/>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c r="F348" s="466"/>
      <c r="G348" s="466"/>
      <c r="H348" s="466"/>
      <c r="I348" s="467"/>
      <c r="J348" s="467"/>
      <c r="K348" s="1671">
        <f>SUM(C348:J348)</f>
        <v>0</v>
      </c>
      <c r="L348" s="466"/>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0</v>
      </c>
      <c r="F350" s="1670">
        <f t="shared" si="26"/>
        <v>0</v>
      </c>
      <c r="G350" s="1670">
        <f t="shared" si="26"/>
        <v>0</v>
      </c>
      <c r="H350" s="1670">
        <f t="shared" si="26"/>
        <v>0</v>
      </c>
      <c r="I350" s="1670">
        <f t="shared" si="26"/>
        <v>0</v>
      </c>
      <c r="J350" s="1670">
        <f t="shared" si="26"/>
        <v>0</v>
      </c>
      <c r="K350" s="1670">
        <f t="shared" si="26"/>
        <v>0</v>
      </c>
      <c r="L350" s="1670">
        <f t="shared" si="26"/>
        <v>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0</v>
      </c>
      <c r="F352" s="1670">
        <f t="shared" si="27"/>
        <v>0</v>
      </c>
      <c r="G352" s="1670">
        <f t="shared" si="27"/>
        <v>0</v>
      </c>
      <c r="H352" s="1670">
        <f t="shared" si="27"/>
        <v>0</v>
      </c>
      <c r="I352" s="1670">
        <f t="shared" si="27"/>
        <v>0</v>
      </c>
      <c r="J352" s="1670">
        <f t="shared" si="27"/>
        <v>0</v>
      </c>
      <c r="K352" s="1670">
        <f t="shared" si="27"/>
        <v>0</v>
      </c>
      <c r="L352" s="1670">
        <f t="shared" si="27"/>
        <v>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0</v>
      </c>
      <c r="F367" s="1670">
        <f t="shared" si="28"/>
        <v>0</v>
      </c>
      <c r="G367" s="1670">
        <f t="shared" si="28"/>
        <v>0</v>
      </c>
      <c r="H367" s="1670">
        <f t="shared" si="28"/>
        <v>0</v>
      </c>
      <c r="I367" s="1670">
        <f t="shared" si="28"/>
        <v>0</v>
      </c>
      <c r="J367" s="1670">
        <f t="shared" si="28"/>
        <v>0</v>
      </c>
      <c r="K367" s="1670">
        <f t="shared" si="28"/>
        <v>0</v>
      </c>
      <c r="L367" s="1670">
        <f t="shared" si="28"/>
        <v>0</v>
      </c>
    </row>
    <row r="368" spans="1:14" ht="13.5" thickTop="1" x14ac:dyDescent="0.2">
      <c r="A368" s="2183" t="s">
        <v>996</v>
      </c>
      <c r="B368" s="2184"/>
      <c r="C368" s="654"/>
      <c r="D368" s="654"/>
      <c r="E368" s="626"/>
      <c r="F368" s="626"/>
      <c r="G368" s="626"/>
      <c r="H368" s="626"/>
      <c r="I368" s="626"/>
      <c r="J368" s="623"/>
      <c r="K368" s="1671">
        <f>'Revenues 9-14'!K268-'Expenditures 15-22'!K367</f>
        <v>102429</v>
      </c>
      <c r="L368" s="654"/>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schemas.microsoft.com/office/2006/metadata/properties"/>
    <ds:schemaRef ds:uri="http://purl.org/dc/terms/"/>
    <ds:schemaRef ds:uri="http://purl.org/dc/elements/1.1/"/>
    <ds:schemaRef ds:uri="http://schemas.microsoft.com/office/2006/documentManagement/types"/>
    <ds:schemaRef ds:uri="4d435f69-8686-490b-bd6d-b153bf22ab50"/>
    <ds:schemaRef ds:uri="http://schemas.microsoft.com/sharepoint/v3"/>
    <ds:schemaRef ds:uri="http://schemas.microsoft.com/office/infopath/2007/PartnerControls"/>
    <ds:schemaRef ds:uri="http://www.w3.org/XML/1998/namespace"/>
    <ds:schemaRef ds:uri="http://schemas.openxmlformats.org/package/2006/metadata/core-properties"/>
    <ds:schemaRef ds:uri="d21dc803-237d-4c68-8692-8d731fd29118"/>
    <ds:schemaRef ds:uri="6ce3111e-7420-4802-b50a-75d4e9a0b980"/>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Itemization 33</vt:lpstr>
      <vt:lpstr>AC32</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BAXTER CHRISTOPHER</cp:lastModifiedBy>
  <cp:lastPrinted>2019-10-02T15:09:42Z</cp:lastPrinted>
  <dcterms:created xsi:type="dcterms:W3CDTF">2003-10-29T19:06:34Z</dcterms:created>
  <dcterms:modified xsi:type="dcterms:W3CDTF">2019-11-06T22:30:57Z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y fmtid="{D5CDD505-2E9C-101B-9397-08002B2CF9AE}" pid="4" name="Workbook id">
    <vt:lpwstr>af5fa459-e813-40d0-a4a0-04e2c55a0d8a</vt:lpwstr>
  </property>
  <property fmtid="{D5CDD505-2E9C-101B-9397-08002B2CF9AE}" pid="5" name="Workbook type">
    <vt:lpwstr>Custom</vt:lpwstr>
  </property>
  <property fmtid="{D5CDD505-2E9C-101B-9397-08002B2CF9AE}" pid="6" name="Workbook version">
    <vt:lpwstr>Custom</vt:lpwstr>
  </property>
  <property fmtid="{D5CDD505-2E9C-101B-9397-08002B2CF9AE}" pid="7" name="WPCSUniqueID">
    <vt:lpwstr>cc426bb7-e67d-44a2-beee-d1a9e5e9b652</vt:lpwstr>
  </property>
</Properties>
</file>