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checkCompatibility="1" defaultThemeVersion="124226"/>
  <mc:AlternateContent xmlns:mc="http://schemas.openxmlformats.org/markup-compatibility/2006">
    <mc:Choice Requires="x15">
      <x15ac:absPath xmlns:x15ac="http://schemas.microsoft.com/office/spreadsheetml/2010/11/ac" url="X:\AFR2019DTA\AFR19SD_ToLoad\"/>
    </mc:Choice>
  </mc:AlternateContent>
  <xr:revisionPtr revIDLastSave="0" documentId="13_ncr:1_{0A9E12BD-C21F-49E6-B63B-EC76453C2250}" xr6:coauthVersionLast="36" xr6:coauthVersionMax="36" xr10:uidLastSave="{00000000-0000-0000-0000-000000000000}"/>
  <bookViews>
    <workbookView xWindow="0" yWindow="0" windowWidth="19440" windowHeight="140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7" i="181" l="1"/>
  <c r="F18" i="181"/>
  <c r="F19" i="181"/>
  <c r="F20" i="181"/>
  <c r="F21" i="181"/>
  <c r="F22" i="181"/>
  <c r="F23" i="181"/>
  <c r="F24" i="181"/>
  <c r="F25" i="181"/>
  <c r="F26" i="181"/>
  <c r="F27" i="181"/>
  <c r="F28" i="181"/>
  <c r="F29" i="181"/>
  <c r="F30" i="181"/>
  <c r="F31" i="181"/>
  <c r="F32" i="181"/>
  <c r="F33" i="181"/>
  <c r="F34" i="181"/>
  <c r="F35" i="181"/>
  <c r="F36" i="181"/>
  <c r="F37" i="181"/>
  <c r="F38" i="181"/>
  <c r="F39" i="181"/>
  <c r="F40" i="181"/>
  <c r="F41" i="181"/>
  <c r="F42" i="181"/>
  <c r="F43" i="181"/>
  <c r="F44" i="181"/>
  <c r="F45" i="181"/>
  <c r="F46" i="181"/>
  <c r="F47" i="181"/>
  <c r="F48" i="181"/>
  <c r="F49" i="181"/>
  <c r="F50" i="181"/>
  <c r="F51" i="181"/>
  <c r="F52" i="181"/>
  <c r="F53" i="181"/>
  <c r="F54" i="181"/>
  <c r="F55" i="181"/>
  <c r="F56" i="181"/>
  <c r="F57" i="181"/>
  <c r="F58" i="181"/>
  <c r="F59" i="181"/>
  <c r="F60" i="181"/>
  <c r="F61" i="181"/>
  <c r="F62" i="181"/>
  <c r="F63" i="181"/>
  <c r="F64" i="181"/>
  <c r="F65" i="181"/>
  <c r="F66" i="181"/>
  <c r="F67" i="181"/>
  <c r="F68" i="181"/>
  <c r="F69" i="181"/>
  <c r="F70" i="181"/>
  <c r="F71" i="181"/>
  <c r="F72" i="181"/>
  <c r="F73" i="181"/>
  <c r="F74" i="181"/>
  <c r="F75" i="181"/>
  <c r="F76" i="181"/>
  <c r="F77" i="181"/>
  <c r="F78" i="181"/>
  <c r="F79" i="181"/>
  <c r="F80" i="181"/>
  <c r="F81" i="181"/>
  <c r="F82" i="181"/>
  <c r="F83" i="181"/>
  <c r="F84" i="181"/>
  <c r="F85" i="181"/>
  <c r="F86" i="181"/>
  <c r="F87" i="181"/>
  <c r="F88" i="181"/>
  <c r="F89" i="181"/>
  <c r="F90" i="181"/>
  <c r="F91" i="181"/>
  <c r="F92" i="181"/>
  <c r="F93" i="181"/>
  <c r="F94" i="181"/>
  <c r="F95" i="181"/>
  <c r="F96" i="181"/>
  <c r="F97" i="181"/>
  <c r="F98" i="181"/>
  <c r="F99" i="181"/>
  <c r="F100" i="181"/>
  <c r="F101" i="181"/>
  <c r="F102" i="181"/>
  <c r="F103" i="181"/>
  <c r="F104" i="181"/>
  <c r="F105" i="181"/>
  <c r="F106" i="181"/>
  <c r="F107" i="181"/>
  <c r="F108" i="181"/>
  <c r="F109" i="181"/>
  <c r="F110" i="181"/>
  <c r="F111" i="181"/>
  <c r="F112" i="181"/>
  <c r="F113" i="181"/>
  <c r="F114" i="181"/>
  <c r="F115" i="181"/>
  <c r="F116" i="181"/>
  <c r="F117" i="181"/>
  <c r="F118" i="181"/>
  <c r="F119" i="181"/>
  <c r="F120" i="181"/>
  <c r="F121" i="181"/>
  <c r="F122" i="181"/>
  <c r="F123" i="181"/>
  <c r="F124" i="181"/>
  <c r="F125" i="181"/>
  <c r="F126" i="181"/>
  <c r="F127" i="181"/>
  <c r="F128" i="181"/>
  <c r="F129" i="181"/>
  <c r="F130" i="181"/>
  <c r="F131" i="181"/>
  <c r="F132" i="181"/>
  <c r="F133" i="181"/>
  <c r="F134" i="181"/>
  <c r="F135" i="181"/>
  <c r="F136" i="181"/>
  <c r="F137" i="181"/>
  <c r="F138" i="181"/>
  <c r="F139" i="181"/>
  <c r="F140" i="181"/>
  <c r="F16" i="181"/>
  <c r="E20" i="183" l="1"/>
  <c r="E23" i="183"/>
  <c r="E31" i="183" s="1"/>
  <c r="E28" i="183"/>
  <c r="K30" i="183"/>
  <c r="L20" i="183"/>
  <c r="H20" i="183"/>
  <c r="H23" i="183" s="1"/>
  <c r="K19" i="183"/>
  <c r="K18" i="183"/>
  <c r="D215" i="29"/>
  <c r="K22" i="183"/>
  <c r="F20" i="183"/>
  <c r="D20" i="183"/>
  <c r="H28" i="183"/>
  <c r="F28" i="183"/>
  <c r="D28" i="183"/>
  <c r="F23" i="183"/>
  <c r="D23" i="183"/>
  <c r="K14" i="183"/>
  <c r="K15" i="183"/>
  <c r="K16" i="183"/>
  <c r="K17" i="183"/>
  <c r="K24" i="183"/>
  <c r="K25" i="183"/>
  <c r="K26" i="183"/>
  <c r="K27" i="183"/>
  <c r="K29" i="183"/>
  <c r="K13" i="183"/>
  <c r="L14" i="179"/>
  <c r="L15" i="179"/>
  <c r="L16" i="179"/>
  <c r="L17" i="179"/>
  <c r="L18" i="179"/>
  <c r="L19" i="179"/>
  <c r="L20" i="179"/>
  <c r="L21" i="179"/>
  <c r="E22" i="179"/>
  <c r="D31" i="183" s="1"/>
  <c r="F22" i="179"/>
  <c r="G22" i="179"/>
  <c r="I22" i="179"/>
  <c r="A4" i="183"/>
  <c r="I12" i="11"/>
  <c r="D12" i="11"/>
  <c r="D259" i="29"/>
  <c r="D266" i="29"/>
  <c r="B1431" i="106" s="1"/>
  <c r="D1431" i="106" s="1"/>
  <c r="D264" i="29"/>
  <c r="D246" i="29"/>
  <c r="B1423" i="106" s="1"/>
  <c r="D1423" i="106" s="1"/>
  <c r="D241" i="29"/>
  <c r="D240" i="29"/>
  <c r="D234" i="29"/>
  <c r="D232" i="29"/>
  <c r="D267" i="29"/>
  <c r="D224" i="29"/>
  <c r="D223" i="29"/>
  <c r="D220" i="29"/>
  <c r="K220" i="29" s="1"/>
  <c r="D218" i="29"/>
  <c r="D217" i="29"/>
  <c r="G140" i="181"/>
  <c r="G138" i="181"/>
  <c r="G137" i="181"/>
  <c r="G136" i="181"/>
  <c r="G134" i="181"/>
  <c r="G133" i="181"/>
  <c r="G131" i="181"/>
  <c r="G130" i="181"/>
  <c r="G128" i="181"/>
  <c r="G126" i="181"/>
  <c r="G124" i="181"/>
  <c r="G122" i="181"/>
  <c r="G120" i="181"/>
  <c r="G119" i="181"/>
  <c r="G118" i="181"/>
  <c r="G116" i="181"/>
  <c r="G115" i="181"/>
  <c r="G113" i="181"/>
  <c r="G112" i="181"/>
  <c r="G110" i="181"/>
  <c r="G109" i="181"/>
  <c r="G108" i="181"/>
  <c r="G106" i="181"/>
  <c r="G105" i="181"/>
  <c r="G104" i="181"/>
  <c r="G98" i="181"/>
  <c r="G96" i="181"/>
  <c r="G95" i="181"/>
  <c r="G94" i="181"/>
  <c r="G92" i="181"/>
  <c r="G90" i="181"/>
  <c r="G84" i="181"/>
  <c r="G83" i="181"/>
  <c r="G82" i="181"/>
  <c r="G80" i="181"/>
  <c r="G79" i="181"/>
  <c r="G78" i="181"/>
  <c r="G76" i="181"/>
  <c r="G74" i="181"/>
  <c r="G70" i="181"/>
  <c r="G69" i="181"/>
  <c r="G68" i="181"/>
  <c r="G66" i="181"/>
  <c r="G64" i="181"/>
  <c r="G62" i="181"/>
  <c r="G61" i="181"/>
  <c r="G59" i="181"/>
  <c r="G57" i="181"/>
  <c r="G55" i="181"/>
  <c r="G53" i="181"/>
  <c r="G52" i="181"/>
  <c r="G50" i="181"/>
  <c r="G49" i="181"/>
  <c r="G47" i="181"/>
  <c r="G46" i="181"/>
  <c r="B15" i="7"/>
  <c r="D167" i="34"/>
  <c r="D166" i="34"/>
  <c r="C167" i="34"/>
  <c r="C166" i="34"/>
  <c r="F167" i="34"/>
  <c r="F166" i="34"/>
  <c r="B7812" i="106"/>
  <c r="B7811" i="106"/>
  <c r="D7811" i="106" s="1"/>
  <c r="B7810" i="106"/>
  <c r="B7809" i="106"/>
  <c r="D7809" i="106" s="1"/>
  <c r="B7816" i="106"/>
  <c r="D7816" i="106"/>
  <c r="B7815" i="106"/>
  <c r="D7815" i="106"/>
  <c r="B7814" i="106"/>
  <c r="D7814" i="106"/>
  <c r="B7813" i="106"/>
  <c r="D7813" i="106"/>
  <c r="D7812" i="106"/>
  <c r="D7810" i="106"/>
  <c r="B7808" i="106"/>
  <c r="D7808" i="106" s="1"/>
  <c r="B7807" i="106"/>
  <c r="D7807" i="106" s="1"/>
  <c r="B7806" i="106"/>
  <c r="D7806" i="106" s="1"/>
  <c r="B7805" i="106"/>
  <c r="D7805" i="106" s="1"/>
  <c r="B7804" i="106"/>
  <c r="D7804" i="106" s="1"/>
  <c r="B7803" i="106"/>
  <c r="D7803" i="106" s="1"/>
  <c r="B7802" i="106"/>
  <c r="D7802" i="106" s="1"/>
  <c r="B7801" i="106"/>
  <c r="D7801" i="106" s="1"/>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7" i="106"/>
  <c r="B7775" i="106"/>
  <c r="B7774" i="106"/>
  <c r="K334" i="29"/>
  <c r="B7792" i="106"/>
  <c r="J15" i="4"/>
  <c r="B7796" i="106" s="1"/>
  <c r="L357" i="29"/>
  <c r="L285" i="29"/>
  <c r="D285" i="29"/>
  <c r="L160" i="29"/>
  <c r="L137" i="29"/>
  <c r="L139" i="29" s="1"/>
  <c r="H137" i="29"/>
  <c r="E137" i="29"/>
  <c r="G139" i="181"/>
  <c r="E139" i="181"/>
  <c r="E138" i="181"/>
  <c r="E137" i="181"/>
  <c r="E136" i="181"/>
  <c r="G135" i="181"/>
  <c r="E135" i="181"/>
  <c r="E134" i="181"/>
  <c r="E133" i="181"/>
  <c r="E132" i="181"/>
  <c r="G132" i="181"/>
  <c r="E131" i="181"/>
  <c r="E130" i="181"/>
  <c r="G129" i="181"/>
  <c r="E129" i="181"/>
  <c r="E128" i="181"/>
  <c r="E127" i="181"/>
  <c r="G127" i="181"/>
  <c r="E126" i="181"/>
  <c r="G125" i="181"/>
  <c r="E125" i="181"/>
  <c r="E124" i="181"/>
  <c r="E123" i="181"/>
  <c r="G123" i="181"/>
  <c r="E122" i="181"/>
  <c r="G121" i="181"/>
  <c r="E121" i="181"/>
  <c r="E120" i="181"/>
  <c r="E119" i="181"/>
  <c r="E118" i="181"/>
  <c r="G117" i="181"/>
  <c r="E117" i="181"/>
  <c r="E116" i="181"/>
  <c r="E115" i="181"/>
  <c r="E114" i="181"/>
  <c r="G114" i="181"/>
  <c r="E113" i="181"/>
  <c r="E112" i="181"/>
  <c r="G111" i="181"/>
  <c r="E111" i="181"/>
  <c r="E110" i="181"/>
  <c r="E109" i="181"/>
  <c r="E108" i="181"/>
  <c r="G107" i="181"/>
  <c r="E107" i="181"/>
  <c r="E106" i="181"/>
  <c r="E105" i="181"/>
  <c r="E104" i="181"/>
  <c r="G99" i="181"/>
  <c r="E99" i="181"/>
  <c r="G103" i="181"/>
  <c r="E103" i="181"/>
  <c r="E102" i="181"/>
  <c r="G102" i="181"/>
  <c r="G101" i="181"/>
  <c r="E101" i="181"/>
  <c r="E100" i="181"/>
  <c r="G100" i="181"/>
  <c r="E98" i="181"/>
  <c r="E97" i="181"/>
  <c r="G97" i="181"/>
  <c r="E96" i="181"/>
  <c r="E95" i="181"/>
  <c r="G93" i="181"/>
  <c r="E93" i="181"/>
  <c r="E92" i="181"/>
  <c r="E91" i="181"/>
  <c r="G91" i="181"/>
  <c r="E90" i="181"/>
  <c r="G89" i="181"/>
  <c r="E89" i="181"/>
  <c r="E88" i="181"/>
  <c r="G88" i="181"/>
  <c r="G87" i="181"/>
  <c r="E87" i="181"/>
  <c r="E86" i="181"/>
  <c r="G86" i="181"/>
  <c r="E84" i="181"/>
  <c r="E83" i="181"/>
  <c r="E82" i="181"/>
  <c r="G81" i="181"/>
  <c r="E81" i="181"/>
  <c r="E80" i="181"/>
  <c r="E79" i="181"/>
  <c r="E78" i="181"/>
  <c r="G77" i="181"/>
  <c r="E77" i="181"/>
  <c r="E76" i="181"/>
  <c r="E75" i="181"/>
  <c r="G75" i="181"/>
  <c r="E74" i="181"/>
  <c r="G73" i="181"/>
  <c r="E73" i="181"/>
  <c r="E140" i="181"/>
  <c r="E94" i="181"/>
  <c r="G85" i="181"/>
  <c r="E85" i="181"/>
  <c r="E72" i="181"/>
  <c r="G72" i="181"/>
  <c r="G71" i="181"/>
  <c r="E71" i="181"/>
  <c r="E70" i="181"/>
  <c r="E69" i="181"/>
  <c r="E68" i="181"/>
  <c r="G67" i="181"/>
  <c r="E67" i="181"/>
  <c r="E66" i="181"/>
  <c r="E65" i="181"/>
  <c r="G65" i="181"/>
  <c r="E64" i="181"/>
  <c r="G63" i="181"/>
  <c r="E63" i="181"/>
  <c r="E62" i="181"/>
  <c r="E61" i="181"/>
  <c r="E60" i="181"/>
  <c r="G60" i="181"/>
  <c r="E59" i="181"/>
  <c r="E58" i="181"/>
  <c r="G58" i="181"/>
  <c r="E57" i="181"/>
  <c r="E56" i="181"/>
  <c r="G56" i="181"/>
  <c r="E55" i="181"/>
  <c r="E54" i="181"/>
  <c r="G54" i="181"/>
  <c r="E53" i="181"/>
  <c r="E52" i="181"/>
  <c r="G51" i="181"/>
  <c r="E51" i="181"/>
  <c r="E50" i="181"/>
  <c r="E49" i="181"/>
  <c r="E48" i="181"/>
  <c r="G48" i="181"/>
  <c r="E47" i="181"/>
  <c r="E46" i="181"/>
  <c r="E45" i="181"/>
  <c r="G45" i="181"/>
  <c r="E44" i="181"/>
  <c r="G44" i="181"/>
  <c r="E43" i="181"/>
  <c r="E42" i="181"/>
  <c r="E41" i="181"/>
  <c r="G41" i="181"/>
  <c r="E40" i="181"/>
  <c r="G40" i="181"/>
  <c r="E39" i="181"/>
  <c r="G39" i="181"/>
  <c r="E38" i="181"/>
  <c r="G38" i="181"/>
  <c r="E37" i="181"/>
  <c r="G37" i="181"/>
  <c r="E36" i="181"/>
  <c r="G36" i="181"/>
  <c r="E35" i="181"/>
  <c r="G35" i="181"/>
  <c r="E34" i="181"/>
  <c r="G34" i="181"/>
  <c r="E33" i="181"/>
  <c r="E32" i="181"/>
  <c r="G32" i="181"/>
  <c r="E31" i="181"/>
  <c r="G31" i="181"/>
  <c r="E30" i="181"/>
  <c r="G30" i="181"/>
  <c r="E29" i="181"/>
  <c r="E28" i="181"/>
  <c r="G28" i="181"/>
  <c r="E27" i="181"/>
  <c r="E26" i="181"/>
  <c r="G26" i="181"/>
  <c r="E25" i="181"/>
  <c r="E24" i="181"/>
  <c r="G24" i="181"/>
  <c r="E23" i="181"/>
  <c r="G23" i="181"/>
  <c r="E22" i="181"/>
  <c r="G22" i="181"/>
  <c r="E21" i="181"/>
  <c r="G21" i="181"/>
  <c r="E20" i="181"/>
  <c r="G20" i="181"/>
  <c r="E19" i="181"/>
  <c r="E18" i="181"/>
  <c r="G43" i="181"/>
  <c r="G42" i="181"/>
  <c r="G33" i="181"/>
  <c r="G29" i="181"/>
  <c r="G27" i="181"/>
  <c r="G25" i="181"/>
  <c r="G19" i="181"/>
  <c r="G18" i="181"/>
  <c r="D141" i="181"/>
  <c r="E17" i="181"/>
  <c r="E16" i="181"/>
  <c r="G16" i="181"/>
  <c r="G17" i="181"/>
  <c r="G141" i="181" s="1"/>
  <c r="F141" i="181"/>
  <c r="B7798" i="106" s="1"/>
  <c r="B4" i="179"/>
  <c r="D17" i="171"/>
  <c r="L27" i="179"/>
  <c r="L26" i="179"/>
  <c r="L25" i="179"/>
  <c r="L24" i="179"/>
  <c r="L23" i="179"/>
  <c r="D14" i="171"/>
  <c r="D12" i="171"/>
  <c r="A10" i="169"/>
  <c r="A16" i="169"/>
  <c r="A15" i="169"/>
  <c r="A14" i="169"/>
  <c r="K18" i="169"/>
  <c r="G18" i="169"/>
  <c r="G15" i="169"/>
  <c r="I13" i="169"/>
  <c r="G11" i="169"/>
  <c r="G10" i="169"/>
  <c r="G9" i="169"/>
  <c r="G7" i="169"/>
  <c r="E7" i="169"/>
  <c r="A2" i="183" s="1"/>
  <c r="A7" i="169"/>
  <c r="B4" i="177"/>
  <c r="B4" i="176"/>
  <c r="B4" i="175"/>
  <c r="G43" i="174"/>
  <c r="D47" i="174" s="1"/>
  <c r="B4" i="174"/>
  <c r="E34" i="173"/>
  <c r="A4" i="173"/>
  <c r="D47" i="171"/>
  <c r="A5" i="171"/>
  <c r="C110" i="170"/>
  <c r="C112" i="170"/>
  <c r="C115" i="170" s="1"/>
  <c r="C117" i="170" s="1"/>
  <c r="C119" i="170" s="1"/>
  <c r="C123" i="170" s="1"/>
  <c r="C44" i="170"/>
  <c r="C48" i="170"/>
  <c r="C50" i="170" s="1"/>
  <c r="C52" i="170" s="1"/>
  <c r="C54" i="170" s="1"/>
  <c r="C56" i="170" s="1"/>
  <c r="C72" i="170" s="1"/>
  <c r="C74" i="170" s="1"/>
  <c r="C76" i="170" s="1"/>
  <c r="C78" i="170" s="1"/>
  <c r="C80" i="170" s="1"/>
  <c r="C82" i="170" s="1"/>
  <c r="C85" i="170" s="1"/>
  <c r="C87" i="170"/>
  <c r="C89" i="170" s="1"/>
  <c r="C91" i="170" s="1"/>
  <c r="C96" i="170" s="1"/>
  <c r="C98" i="170" s="1"/>
  <c r="C100" i="170" s="1"/>
  <c r="C102" i="170" s="1"/>
  <c r="C106" i="170" s="1"/>
  <c r="C36" i="170"/>
  <c r="C39" i="170" s="1"/>
  <c r="C13" i="170"/>
  <c r="C15" i="170" s="1"/>
  <c r="C18" i="170" s="1"/>
  <c r="C21" i="170" s="1"/>
  <c r="C24" i="170" s="1"/>
  <c r="C28" i="170" s="1"/>
  <c r="B2" i="179"/>
  <c r="B2" i="177"/>
  <c r="A2" i="170"/>
  <c r="B2" i="174"/>
  <c r="A2" i="173"/>
  <c r="B1" i="179"/>
  <c r="B2" i="176"/>
  <c r="B1" i="175"/>
  <c r="A2" i="171"/>
  <c r="B2" i="175"/>
  <c r="B7773" i="106"/>
  <c r="B61" i="106"/>
  <c r="B52" i="106"/>
  <c r="B51" i="106"/>
  <c r="B49" i="106"/>
  <c r="B48" i="106"/>
  <c r="B47" i="106"/>
  <c r="B46" i="106"/>
  <c r="B45" i="106"/>
  <c r="B44" i="106"/>
  <c r="B43" i="106"/>
  <c r="B42" i="106"/>
  <c r="B41" i="106"/>
  <c r="B50" i="106"/>
  <c r="F159" i="34"/>
  <c r="B7769" i="106"/>
  <c r="D7769" i="106"/>
  <c r="B7768" i="106"/>
  <c r="D7768" i="106"/>
  <c r="B7766" i="106"/>
  <c r="D7766" i="106"/>
  <c r="B7765" i="106"/>
  <c r="B7764" i="106"/>
  <c r="D7764" i="106" s="1"/>
  <c r="J85" i="28"/>
  <c r="B7758" i="106" s="1"/>
  <c r="D7758" i="106" s="1"/>
  <c r="J88" i="28"/>
  <c r="K6" i="29"/>
  <c r="B7763" i="106" s="1"/>
  <c r="D7763" i="106"/>
  <c r="B7762" i="106"/>
  <c r="D7762" i="106"/>
  <c r="K12" i="12"/>
  <c r="B7719" i="106"/>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c r="D4411" i="106" s="1"/>
  <c r="C217" i="5"/>
  <c r="C221" i="5"/>
  <c r="B5304" i="106" s="1"/>
  <c r="D5304" i="106" s="1"/>
  <c r="C252" i="5"/>
  <c r="B6833" i="106" s="1"/>
  <c r="D6833" i="106" s="1"/>
  <c r="B7761" i="106"/>
  <c r="D7761" i="106" s="1"/>
  <c r="L127" i="29"/>
  <c r="L129" i="29" s="1"/>
  <c r="L149" i="29"/>
  <c r="I7" i="145"/>
  <c r="I6" i="145"/>
  <c r="D78" i="36"/>
  <c r="K75" i="29"/>
  <c r="C14" i="4" s="1"/>
  <c r="B2558" i="106" s="1"/>
  <c r="D2558" i="106" s="1"/>
  <c r="K130" i="29"/>
  <c r="K185" i="29"/>
  <c r="F62" i="34"/>
  <c r="K122" i="29"/>
  <c r="F15" i="145"/>
  <c r="F19" i="145" s="1"/>
  <c r="K67" i="29"/>
  <c r="G33" i="108" s="1"/>
  <c r="K64" i="29"/>
  <c r="K59" i="29"/>
  <c r="E15" i="145"/>
  <c r="K56" i="29"/>
  <c r="E14" i="145"/>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c r="D78" i="106"/>
  <c r="D79" i="106"/>
  <c r="D80" i="106"/>
  <c r="D81" i="106"/>
  <c r="D82" i="106"/>
  <c r="D83" i="106"/>
  <c r="D84" i="106"/>
  <c r="D85" i="106"/>
  <c r="B86" i="106"/>
  <c r="D86" i="106"/>
  <c r="D87" i="106"/>
  <c r="B88" i="106"/>
  <c r="D88" i="106" s="1"/>
  <c r="D89" i="106"/>
  <c r="D90" i="106"/>
  <c r="C34" i="3"/>
  <c r="B91" i="106" s="1"/>
  <c r="D91" i="106"/>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s="1"/>
  <c r="B786" i="106"/>
  <c r="D786" i="106" s="1"/>
  <c r="B787" i="106"/>
  <c r="D787" i="106" s="1"/>
  <c r="B788" i="106"/>
  <c r="D788" i="106" s="1"/>
  <c r="D47" i="29"/>
  <c r="B789" i="106" s="1"/>
  <c r="D789" i="106" s="1"/>
  <c r="B790" i="106"/>
  <c r="D790" i="106"/>
  <c r="B791" i="106"/>
  <c r="D791" i="106"/>
  <c r="D53" i="29"/>
  <c r="B792" i="106"/>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c r="B804" i="106"/>
  <c r="D804" i="106"/>
  <c r="B805" i="106"/>
  <c r="D805" i="106"/>
  <c r="B806" i="106"/>
  <c r="D806" i="106"/>
  <c r="B807" i="106"/>
  <c r="D807" i="106"/>
  <c r="D808" i="106"/>
  <c r="B809" i="106"/>
  <c r="D809" i="106" s="1"/>
  <c r="D810" i="106"/>
  <c r="D72" i="29"/>
  <c r="B811" i="106" s="1"/>
  <c r="D811" i="106" s="1"/>
  <c r="B812" i="106"/>
  <c r="D812" i="106" s="1"/>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c r="B845" i="106"/>
  <c r="D845" i="106"/>
  <c r="B846" i="106"/>
  <c r="D846" i="106"/>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c r="B960" i="106"/>
  <c r="D960" i="106"/>
  <c r="B961" i="106"/>
  <c r="D961" i="106"/>
  <c r="B962" i="106"/>
  <c r="D962" i="106"/>
  <c r="G47" i="29"/>
  <c r="B963" i="106"/>
  <c r="D963" i="106" s="1"/>
  <c r="B964" i="106"/>
  <c r="D964" i="106" s="1"/>
  <c r="B965" i="106"/>
  <c r="D965" i="106" s="1"/>
  <c r="G53" i="29"/>
  <c r="B966" i="106" s="1"/>
  <c r="D966" i="106"/>
  <c r="B967" i="106"/>
  <c r="D967" i="106"/>
  <c r="B968" i="106"/>
  <c r="D968" i="106"/>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c r="D984" i="106"/>
  <c r="G72" i="29"/>
  <c r="B985" i="106" s="1"/>
  <c r="D985" i="106" s="1"/>
  <c r="B986" i="106"/>
  <c r="D986" i="106"/>
  <c r="B988" i="106"/>
  <c r="D988" i="106"/>
  <c r="D990" i="106"/>
  <c r="D991" i="106"/>
  <c r="D992" i="106"/>
  <c r="D993" i="106"/>
  <c r="D994" i="106"/>
  <c r="B995" i="106"/>
  <c r="D995" i="106" s="1"/>
  <c r="B996" i="106"/>
  <c r="D996" i="106" s="1"/>
  <c r="D997" i="106"/>
  <c r="D998" i="106"/>
  <c r="D999" i="106"/>
  <c r="D1000" i="106"/>
  <c r="D1001" i="106"/>
  <c r="B1002" i="106"/>
  <c r="D1002" i="106"/>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c r="D1035" i="106" s="1"/>
  <c r="B1036" i="106"/>
  <c r="D1036" i="106" s="1"/>
  <c r="B1037" i="106"/>
  <c r="D1037" i="106" s="1"/>
  <c r="B1038" i="106"/>
  <c r="D1038" i="106" s="1"/>
  <c r="B1039" i="106"/>
  <c r="D1039" i="106" s="1"/>
  <c r="D1040" i="106"/>
  <c r="B1041" i="106"/>
  <c r="D1041" i="106" s="1"/>
  <c r="D1042" i="106"/>
  <c r="H72" i="29"/>
  <c r="B1043" i="106" s="1"/>
  <c r="D1043" i="106"/>
  <c r="B1044" i="106"/>
  <c r="D1044" i="106"/>
  <c r="B1046" i="106"/>
  <c r="D1046" i="106"/>
  <c r="H84" i="29"/>
  <c r="H92" i="29"/>
  <c r="K92" i="29" s="1"/>
  <c r="B2089" i="106" s="1"/>
  <c r="D2089" i="106" s="1"/>
  <c r="H100" i="29"/>
  <c r="B7012" i="106" s="1"/>
  <c r="D7012" i="106" s="1"/>
  <c r="B1048" i="106"/>
  <c r="D1048" i="106" s="1"/>
  <c r="B1049" i="106"/>
  <c r="D1049" i="106" s="1"/>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c r="D1100" i="106" s="1"/>
  <c r="D1101" i="106"/>
  <c r="D1102" i="106"/>
  <c r="D1103" i="106"/>
  <c r="K12" i="29"/>
  <c r="B1104" i="106" s="1"/>
  <c r="D1104" i="106" s="1"/>
  <c r="K14" i="29"/>
  <c r="B1106" i="106" s="1"/>
  <c r="D1106" i="106" s="1"/>
  <c r="K15" i="29"/>
  <c r="B1107" i="106"/>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c r="K61" i="29"/>
  <c r="B1128" i="106"/>
  <c r="D1128" i="106" s="1"/>
  <c r="K62" i="29"/>
  <c r="B1129" i="106" s="1"/>
  <c r="D1129" i="106" s="1"/>
  <c r="K63" i="29"/>
  <c r="B1130" i="106" s="1"/>
  <c r="D1130" i="106" s="1"/>
  <c r="D1132" i="106"/>
  <c r="K68" i="29"/>
  <c r="G34" i="108"/>
  <c r="K69" i="29"/>
  <c r="B1136" i="106"/>
  <c r="D1136" i="106" s="1"/>
  <c r="K70" i="29"/>
  <c r="B1137" i="106" s="1"/>
  <c r="D1137" i="106"/>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K97" i="29"/>
  <c r="B7005" i="106"/>
  <c r="D7005" i="106" s="1"/>
  <c r="K98" i="29"/>
  <c r="K99" i="29"/>
  <c r="K101" i="29"/>
  <c r="B7015" i="106" s="1"/>
  <c r="D7015" i="106" s="1"/>
  <c r="K105" i="29"/>
  <c r="K106" i="29"/>
  <c r="B1147" i="106" s="1"/>
  <c r="D1147" i="106"/>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c r="D1277" i="106" s="1"/>
  <c r="D1278" i="106"/>
  <c r="K125" i="29"/>
  <c r="B3488" i="106" s="1"/>
  <c r="D3488" i="106" s="1"/>
  <c r="K128" i="29"/>
  <c r="B1280" i="106" s="1"/>
  <c r="D1280" i="106" s="1"/>
  <c r="K120" i="29"/>
  <c r="B4080" i="106" s="1"/>
  <c r="D4080" i="106" s="1"/>
  <c r="K134" i="29"/>
  <c r="K135" i="29"/>
  <c r="B2987" i="106"/>
  <c r="D2987" i="106" s="1"/>
  <c r="K136" i="29"/>
  <c r="B2988" i="106" s="1"/>
  <c r="D2988" i="106" s="1"/>
  <c r="K138" i="29"/>
  <c r="B2094" i="106" s="1"/>
  <c r="D2094" i="106" s="1"/>
  <c r="K142" i="29"/>
  <c r="K143" i="29"/>
  <c r="B1284" i="106"/>
  <c r="D1284" i="106" s="1"/>
  <c r="K146" i="29"/>
  <c r="B1285" i="106" s="1"/>
  <c r="D1285" i="106"/>
  <c r="D1286" i="106"/>
  <c r="K144" i="29"/>
  <c r="B2810" i="106" s="1"/>
  <c r="K145" i="29"/>
  <c r="B2811" i="106"/>
  <c r="D2811" i="106" s="1"/>
  <c r="K148" i="29"/>
  <c r="B7050" i="106" s="1"/>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c r="K164" i="29"/>
  <c r="B1325" i="106"/>
  <c r="D1325" i="106" s="1"/>
  <c r="K169" i="29"/>
  <c r="B1326" i="106" s="1"/>
  <c r="D1326" i="106"/>
  <c r="K167" i="29"/>
  <c r="B1327" i="106"/>
  <c r="D1327" i="106" s="1"/>
  <c r="K165" i="29"/>
  <c r="B2818" i="106" s="1"/>
  <c r="D2818" i="106"/>
  <c r="K166" i="29"/>
  <c r="B2819" i="106"/>
  <c r="D2819" i="106" s="1"/>
  <c r="K170" i="29"/>
  <c r="K171" i="29"/>
  <c r="B1330" i="106" s="1"/>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c r="B1371" i="106"/>
  <c r="D1371" i="106"/>
  <c r="B1372" i="106"/>
  <c r="D1372" i="106"/>
  <c r="B1373" i="106"/>
  <c r="D1373" i="106"/>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c r="D3010" i="106" s="1"/>
  <c r="K192" i="29"/>
  <c r="B3011" i="106" s="1"/>
  <c r="D3011" i="106" s="1"/>
  <c r="K193" i="29"/>
  <c r="B3012" i="106" s="1"/>
  <c r="D3012" i="106" s="1"/>
  <c r="K195" i="29"/>
  <c r="B2839" i="106" s="1"/>
  <c r="K199" i="29"/>
  <c r="B1383" i="106" s="1"/>
  <c r="D1383" i="106"/>
  <c r="K200" i="29"/>
  <c r="B1384" i="106"/>
  <c r="D1384" i="106" s="1"/>
  <c r="K203" i="29"/>
  <c r="B1385" i="106" s="1"/>
  <c r="D1385" i="106"/>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c r="B1407" i="106"/>
  <c r="D1407" i="106"/>
  <c r="B1408" i="106"/>
  <c r="D1408" i="106"/>
  <c r="B1412" i="106"/>
  <c r="D1412" i="106" s="1"/>
  <c r="B1413" i="106"/>
  <c r="D1413" i="106" s="1"/>
  <c r="B1414" i="106"/>
  <c r="D1414" i="106" s="1"/>
  <c r="B1415" i="106"/>
  <c r="D1415" i="106" s="1"/>
  <c r="B1416" i="106"/>
  <c r="D1416" i="106" s="1"/>
  <c r="B1419" i="106"/>
  <c r="D1419" i="106" s="1"/>
  <c r="B1420" i="106"/>
  <c r="D1420" i="106" s="1"/>
  <c r="B1422" i="106"/>
  <c r="D1422" i="106" s="1"/>
  <c r="B1425" i="106"/>
  <c r="D1425" i="106" s="1"/>
  <c r="B1426" i="106"/>
  <c r="D1426" i="106" s="1"/>
  <c r="D261" i="29"/>
  <c r="B1427" i="106" s="1"/>
  <c r="D1427" i="106" s="1"/>
  <c r="B1428" i="106"/>
  <c r="D1428" i="106" s="1"/>
  <c r="B1429" i="106"/>
  <c r="D1429" i="106" s="1"/>
  <c r="B1430" i="106"/>
  <c r="D1430" i="106" s="1"/>
  <c r="B1432" i="106"/>
  <c r="D1432" i="106" s="1"/>
  <c r="B1433" i="106"/>
  <c r="D1433" i="106" s="1"/>
  <c r="B1434" i="106"/>
  <c r="D1434" i="106" s="1"/>
  <c r="D1435" i="106"/>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c r="D1467" i="106"/>
  <c r="D1468" i="106"/>
  <c r="D1469" i="106"/>
  <c r="K221" i="29"/>
  <c r="B1470" i="106" s="1"/>
  <c r="D1470" i="106" s="1"/>
  <c r="K222" i="29"/>
  <c r="B1471" i="106"/>
  <c r="D1471" i="106" s="1"/>
  <c r="K223" i="29"/>
  <c r="B1472" i="106" s="1"/>
  <c r="D1472" i="106" s="1"/>
  <c r="K215" i="29"/>
  <c r="B3390" i="106" s="1"/>
  <c r="D3390" i="106" s="1"/>
  <c r="K216" i="29"/>
  <c r="F67" i="34" s="1"/>
  <c r="K218" i="29"/>
  <c r="F68" i="34" s="1"/>
  <c r="K219" i="29"/>
  <c r="B3065" i="106" s="1"/>
  <c r="D3065" i="106"/>
  <c r="K226" i="29"/>
  <c r="B7080" i="106"/>
  <c r="D7080" i="106" s="1"/>
  <c r="K228" i="29"/>
  <c r="B3392" i="106" s="1"/>
  <c r="D3392" i="106" s="1"/>
  <c r="K233" i="29"/>
  <c r="B1476" i="106" s="1"/>
  <c r="D1476" i="106" s="1"/>
  <c r="K234" i="29"/>
  <c r="B1477" i="106"/>
  <c r="D1477" i="106" s="1"/>
  <c r="K235" i="29"/>
  <c r="B1478" i="106" s="1"/>
  <c r="D1478" i="106" s="1"/>
  <c r="K236" i="29"/>
  <c r="B1479" i="106" s="1"/>
  <c r="D1479" i="106" s="1"/>
  <c r="K237" i="29"/>
  <c r="B1480" i="106" s="1"/>
  <c r="D1480" i="106" s="1"/>
  <c r="K241" i="29"/>
  <c r="B1483" i="106" s="1"/>
  <c r="D1483" i="106"/>
  <c r="K242" i="29"/>
  <c r="B1484" i="106"/>
  <c r="D1484" i="106" s="1"/>
  <c r="K245" i="29"/>
  <c r="B1486" i="106" s="1"/>
  <c r="D1486" i="106"/>
  <c r="K247" i="29"/>
  <c r="B2726" i="106" s="1"/>
  <c r="D2726" i="106" s="1"/>
  <c r="K248" i="29"/>
  <c r="B7082" i="106" s="1"/>
  <c r="D7082" i="106" s="1"/>
  <c r="K249" i="29"/>
  <c r="B7084" i="106" s="1"/>
  <c r="D7084" i="106" s="1"/>
  <c r="K250" i="29"/>
  <c r="B7086" i="106"/>
  <c r="D7086" i="106" s="1"/>
  <c r="K251" i="29"/>
  <c r="B7088" i="106" s="1"/>
  <c r="D7088" i="106"/>
  <c r="K252" i="29"/>
  <c r="B7090" i="106"/>
  <c r="D7090" i="106" s="1"/>
  <c r="K253" i="29"/>
  <c r="K254" i="29"/>
  <c r="B7094" i="106" s="1"/>
  <c r="D7094" i="106" s="1"/>
  <c r="K255" i="29"/>
  <c r="K256" i="29"/>
  <c r="B7098" i="106"/>
  <c r="D7098" i="106" s="1"/>
  <c r="K259" i="29"/>
  <c r="B1489" i="106" s="1"/>
  <c r="D1489" i="106"/>
  <c r="K260" i="29"/>
  <c r="B1490" i="106"/>
  <c r="D1490" i="106" s="1"/>
  <c r="K263" i="29"/>
  <c r="K264" i="29"/>
  <c r="B1493" i="106" s="1"/>
  <c r="D1493" i="106" s="1"/>
  <c r="K265" i="29"/>
  <c r="B1494" i="106" s="1"/>
  <c r="D1494" i="106" s="1"/>
  <c r="K267" i="29"/>
  <c r="B1496" i="106" s="1"/>
  <c r="D1496" i="106"/>
  <c r="K268" i="29"/>
  <c r="B1497" i="106"/>
  <c r="D1497" i="106" s="1"/>
  <c r="K269" i="29"/>
  <c r="B1498" i="106" s="1"/>
  <c r="D1498" i="106"/>
  <c r="D1499" i="106"/>
  <c r="K272" i="29"/>
  <c r="B1501" i="106" s="1"/>
  <c r="D1501" i="106" s="1"/>
  <c r="K273" i="29"/>
  <c r="B1502" i="106"/>
  <c r="D1502" i="106" s="1"/>
  <c r="K274" i="29"/>
  <c r="B1503" i="106" s="1"/>
  <c r="D1503" i="106" s="1"/>
  <c r="K275" i="29"/>
  <c r="B1504" i="106" s="1"/>
  <c r="D1504" i="106" s="1"/>
  <c r="D1505" i="106"/>
  <c r="K276" i="29"/>
  <c r="B1506" i="106"/>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c r="B1531" i="106"/>
  <c r="D1531" i="106"/>
  <c r="D1532" i="106"/>
  <c r="D1533" i="106"/>
  <c r="B1534" i="106"/>
  <c r="D1534" i="106"/>
  <c r="E303" i="29"/>
  <c r="B1535" i="106"/>
  <c r="D1535" i="106" s="1"/>
  <c r="E310" i="29"/>
  <c r="B7114" i="106" s="1"/>
  <c r="D7114" i="106"/>
  <c r="B1537" i="106"/>
  <c r="D1537" i="106"/>
  <c r="D1538" i="106"/>
  <c r="D1539" i="106"/>
  <c r="B1540" i="106"/>
  <c r="D1540" i="106"/>
  <c r="F303" i="29"/>
  <c r="B1541" i="106"/>
  <c r="D1541" i="106" s="1"/>
  <c r="B1543" i="106"/>
  <c r="D1543" i="106" s="1"/>
  <c r="D1544" i="106"/>
  <c r="D1545" i="106"/>
  <c r="B1546" i="106"/>
  <c r="D1546" i="106" s="1"/>
  <c r="G303" i="29"/>
  <c r="B1547" i="106" s="1"/>
  <c r="D1547" i="106"/>
  <c r="B1549" i="106"/>
  <c r="D1549" i="106"/>
  <c r="D1550" i="106"/>
  <c r="D1551" i="106"/>
  <c r="B1552" i="106"/>
  <c r="D1552" i="106"/>
  <c r="H303" i="29"/>
  <c r="B1553" i="106"/>
  <c r="D1553" i="106" s="1"/>
  <c r="H310" i="29"/>
  <c r="B7115" i="106" s="1"/>
  <c r="D7115" i="106"/>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8" i="106"/>
  <c r="D2018"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c r="B2034" i="106"/>
  <c r="D2034" i="106"/>
  <c r="B2035" i="106"/>
  <c r="D2035" i="106"/>
  <c r="B2036" i="106"/>
  <c r="D2036" i="106"/>
  <c r="H16" i="11"/>
  <c r="B2037" i="106"/>
  <c r="D2037" i="106" s="1"/>
  <c r="D2038" i="106"/>
  <c r="B2039" i="106"/>
  <c r="D2039" i="106" s="1"/>
  <c r="B2040" i="106"/>
  <c r="D2040" i="106" s="1"/>
  <c r="B2041" i="106"/>
  <c r="D2041" i="106" s="1"/>
  <c r="B2042" i="106"/>
  <c r="D2042" i="106" s="1"/>
  <c r="I16" i="11"/>
  <c r="B2043" i="106" s="1"/>
  <c r="D2043" i="106" s="1"/>
  <c r="D2044" i="106"/>
  <c r="B2045" i="106"/>
  <c r="D2045" i="106"/>
  <c r="B2046" i="106"/>
  <c r="D2046" i="106"/>
  <c r="B2047" i="106"/>
  <c r="D2047" i="106"/>
  <c r="B2048" i="106"/>
  <c r="D2048" i="106"/>
  <c r="J16" i="11"/>
  <c r="B2049" i="106"/>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D2810" i="106"/>
  <c r="B2812" i="106"/>
  <c r="D2812" i="106"/>
  <c r="B2813" i="106"/>
  <c r="D2813" i="106"/>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s="1"/>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c r="D6287" i="106" s="1"/>
  <c r="E40" i="4"/>
  <c r="B6288" i="106" s="1"/>
  <c r="D6288" i="106"/>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c r="K19" i="29"/>
  <c r="B3381" i="106"/>
  <c r="D3381" i="106" s="1"/>
  <c r="D3382" i="106"/>
  <c r="D3383" i="106"/>
  <c r="D3384" i="106"/>
  <c r="D3385" i="106"/>
  <c r="D3386" i="106"/>
  <c r="B3387" i="106"/>
  <c r="D3387"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c r="B3585" i="106"/>
  <c r="D3585" i="106"/>
  <c r="K52" i="4"/>
  <c r="B3702" i="106"/>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c r="B3620" i="106"/>
  <c r="D3620" i="106"/>
  <c r="D3623" i="106"/>
  <c r="B3624" i="106"/>
  <c r="D3624" i="106" s="1"/>
  <c r="B3625" i="106"/>
  <c r="D3625" i="106" s="1"/>
  <c r="D350" i="29"/>
  <c r="B3626" i="106" s="1"/>
  <c r="D3626" i="106" s="1"/>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8" i="106"/>
  <c r="D3648" i="106" s="1"/>
  <c r="D3651" i="106"/>
  <c r="B3652" i="106"/>
  <c r="D3652" i="106"/>
  <c r="B3653" i="106"/>
  <c r="D3653" i="106"/>
  <c r="H350" i="29"/>
  <c r="B3654" i="106"/>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s="1"/>
  <c r="D4174" i="106"/>
  <c r="E18" i="4"/>
  <c r="B4175" i="106" s="1"/>
  <c r="D4175" i="106"/>
  <c r="G18" i="4"/>
  <c r="B4176" i="106"/>
  <c r="D4176" i="106" s="1"/>
  <c r="G49" i="8"/>
  <c r="B4177" i="106" s="1"/>
  <c r="D4177" i="106"/>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s="1"/>
  <c r="B4802" i="106"/>
  <c r="D4802" i="106" s="1"/>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c r="B6873" i="106"/>
  <c r="D6873" i="106"/>
  <c r="B6874" i="106"/>
  <c r="D6874" i="106"/>
  <c r="B6875" i="106"/>
  <c r="D6875" i="106"/>
  <c r="B6876" i="106"/>
  <c r="D6876" i="106"/>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c r="K26" i="29"/>
  <c r="B6889" i="106"/>
  <c r="D6889" i="106" s="1"/>
  <c r="B6890" i="106"/>
  <c r="D6890" i="106" s="1"/>
  <c r="K27" i="29"/>
  <c r="B6891" i="106" s="1"/>
  <c r="D6891" i="106" s="1"/>
  <c r="B6892" i="106"/>
  <c r="D6892" i="106"/>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c r="I53" i="29"/>
  <c r="B6942" i="106"/>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4" i="106" s="1"/>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F330" i="29"/>
  <c r="G330" i="29"/>
  <c r="B7203" i="106" s="1"/>
  <c r="D7203" i="106" s="1"/>
  <c r="H330" i="29"/>
  <c r="B7204" i="106" s="1"/>
  <c r="D7204" i="106" s="1"/>
  <c r="I330" i="29"/>
  <c r="B7205" i="106"/>
  <c r="D7205" i="106" s="1"/>
  <c r="J330" i="29"/>
  <c r="B7206" i="106" s="1"/>
  <c r="D7206" i="106" s="1"/>
  <c r="K328" i="29"/>
  <c r="B7696" i="106" s="1"/>
  <c r="D7696" i="106" s="1"/>
  <c r="K329" i="29"/>
  <c r="B7705" i="106" s="1"/>
  <c r="D7705" i="106" s="1"/>
  <c r="B7208" i="106"/>
  <c r="D7208" i="106"/>
  <c r="K337" i="29"/>
  <c r="B7209" i="106"/>
  <c r="D7209" i="106" s="1"/>
  <c r="B7210" i="106"/>
  <c r="D7210" i="106" s="1"/>
  <c r="K338" i="29"/>
  <c r="B7212" i="106"/>
  <c r="D7212" i="106"/>
  <c r="K339" i="29"/>
  <c r="B7213" i="106"/>
  <c r="D7213" i="106" s="1"/>
  <c r="H340" i="29"/>
  <c r="B7214"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20" i="106"/>
  <c r="D7720" i="106"/>
  <c r="B7721" i="106"/>
  <c r="D7721" i="106"/>
  <c r="B7722" i="106"/>
  <c r="D7722" i="106"/>
  <c r="B7723" i="106"/>
  <c r="D7723" i="106"/>
  <c r="B7724" i="106"/>
  <c r="D7724" i="106"/>
  <c r="B7725" i="106"/>
  <c r="D7725" i="106"/>
  <c r="B7728" i="106"/>
  <c r="D7728" i="106"/>
  <c r="B7731" i="106"/>
  <c r="D7731" i="106"/>
  <c r="B7735" i="106"/>
  <c r="D7735" i="106"/>
  <c r="B7736" i="106"/>
  <c r="D7736" i="106"/>
  <c r="B7737" i="106"/>
  <c r="D7737" i="106"/>
  <c r="B7738" i="106"/>
  <c r="D7738" i="106"/>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9" i="106"/>
  <c r="D7780" i="106"/>
  <c r="D7781" i="106"/>
  <c r="D7782" i="106"/>
  <c r="D7783" i="106"/>
  <c r="D7784" i="106"/>
  <c r="D7785" i="106"/>
  <c r="D7786" i="106"/>
  <c r="D7787" i="106"/>
  <c r="D7788" i="106"/>
  <c r="D7789" i="106"/>
  <c r="D7791" i="106"/>
  <c r="D7792" i="106"/>
  <c r="D7793" i="106"/>
  <c r="D7794" i="106"/>
  <c r="D7795" i="106"/>
  <c r="D7796" i="106"/>
  <c r="D7798"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G26" i="108"/>
  <c r="D27" i="108"/>
  <c r="E27" i="108"/>
  <c r="G27" i="108"/>
  <c r="F31" i="108"/>
  <c r="F36" i="108"/>
  <c r="G28" i="108"/>
  <c r="G30" i="108"/>
  <c r="D31" i="108"/>
  <c r="D36" i="108"/>
  <c r="E31" i="108"/>
  <c r="G31" i="108"/>
  <c r="E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s="1"/>
  <c r="C16" i="11"/>
  <c r="B2013" i="106" s="1"/>
  <c r="D2013" i="106"/>
  <c r="C49" i="8"/>
  <c r="B4" i="7"/>
  <c r="B5" i="7"/>
  <c r="B1745" i="106"/>
  <c r="D1745" i="106" s="1"/>
  <c r="B6" i="7"/>
  <c r="D6" i="7" s="1"/>
  <c r="B1762" i="106" s="1"/>
  <c r="D1762" i="106" s="1"/>
  <c r="B7" i="7"/>
  <c r="B1747" i="106" s="1"/>
  <c r="D1747" i="106" s="1"/>
  <c r="B8" i="7"/>
  <c r="B1748" i="106"/>
  <c r="D1748" i="106" s="1"/>
  <c r="B9" i="7"/>
  <c r="B1751" i="106" s="1"/>
  <c r="D1751" i="106" s="1"/>
  <c r="B10" i="7"/>
  <c r="B1749" i="106" s="1"/>
  <c r="D1749" i="106" s="1"/>
  <c r="B11" i="7"/>
  <c r="B1752" i="106" s="1"/>
  <c r="D1752" i="106" s="1"/>
  <c r="B12" i="7"/>
  <c r="B1753" i="106"/>
  <c r="D1753" i="106" s="1"/>
  <c r="B13" i="7"/>
  <c r="B14" i="7"/>
  <c r="B1754" i="106" s="1"/>
  <c r="D1754" i="106" s="1"/>
  <c r="B1756" i="106"/>
  <c r="D1756" i="106" s="1"/>
  <c r="B16" i="7"/>
  <c r="B3446" i="106" s="1"/>
  <c r="D3446" i="106"/>
  <c r="B17" i="7"/>
  <c r="B4102" i="106"/>
  <c r="D4102" i="106" s="1"/>
  <c r="B18" i="7"/>
  <c r="B4103" i="106" s="1"/>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s="1"/>
  <c r="K10" i="29"/>
  <c r="B3062" i="106" s="1"/>
  <c r="D3062" i="106"/>
  <c r="K13" i="29"/>
  <c r="B1105" i="106"/>
  <c r="D1105" i="106" s="1"/>
  <c r="C33" i="29"/>
  <c r="B720" i="106" s="1"/>
  <c r="D33" i="29"/>
  <c r="B778" i="106" s="1"/>
  <c r="D778" i="106" s="1"/>
  <c r="F33" i="29"/>
  <c r="B894" i="106" s="1"/>
  <c r="D894" i="106" s="1"/>
  <c r="G33" i="29"/>
  <c r="B952" i="106"/>
  <c r="D952" i="106" s="1"/>
  <c r="H33" i="29"/>
  <c r="I33" i="29"/>
  <c r="B6902" i="106" s="1"/>
  <c r="D6902" i="106" s="1"/>
  <c r="J33" i="29"/>
  <c r="L33" i="29"/>
  <c r="L42" i="29"/>
  <c r="K44" i="29"/>
  <c r="K45" i="29"/>
  <c r="C47" i="29"/>
  <c r="L47" i="29"/>
  <c r="K50" i="29"/>
  <c r="C53" i="29"/>
  <c r="B734" i="106" s="1"/>
  <c r="D734" i="106" s="1"/>
  <c r="L53" i="29"/>
  <c r="L57" i="29"/>
  <c r="L65" i="29"/>
  <c r="L72" i="29"/>
  <c r="L84" i="29"/>
  <c r="L92" i="29"/>
  <c r="L102" i="29" s="1"/>
  <c r="L100" i="29"/>
  <c r="L110" i="29"/>
  <c r="L112" i="29" s="1"/>
  <c r="L147" i="29"/>
  <c r="L168" i="29"/>
  <c r="L172" i="29" s="1"/>
  <c r="L174" i="29" s="1"/>
  <c r="L184" i="29"/>
  <c r="L210" i="29" s="1"/>
  <c r="L194" i="29"/>
  <c r="L196" i="29"/>
  <c r="L204" i="29"/>
  <c r="L208" i="29"/>
  <c r="L229" i="29"/>
  <c r="L238" i="29"/>
  <c r="L243" i="29"/>
  <c r="L257" i="29"/>
  <c r="L261" i="29"/>
  <c r="L270" i="29"/>
  <c r="L277" i="29"/>
  <c r="L293" i="29"/>
  <c r="L303" i="29"/>
  <c r="L310" i="29"/>
  <c r="L312" i="29" s="1"/>
  <c r="L330" i="29"/>
  <c r="L340" i="29"/>
  <c r="L342" i="29" s="1"/>
  <c r="L350" i="29"/>
  <c r="L352" i="29"/>
  <c r="L367" i="29" s="1"/>
  <c r="L362" i="29"/>
  <c r="L365" i="29"/>
  <c r="C12" i="5"/>
  <c r="D12" i="5"/>
  <c r="B5334" i="106" s="1"/>
  <c r="D5334" i="106" s="1"/>
  <c r="E12" i="5"/>
  <c r="B5513" i="106" s="1"/>
  <c r="D5513" i="106" s="1"/>
  <c r="F12" i="5"/>
  <c r="G12" i="5"/>
  <c r="B5725" i="106"/>
  <c r="D5725" i="106" s="1"/>
  <c r="H12" i="5"/>
  <c r="I12" i="5"/>
  <c r="B5918" i="106" s="1"/>
  <c r="D5918" i="106" s="1"/>
  <c r="J12" i="5"/>
  <c r="B6301" i="106" s="1"/>
  <c r="D6301" i="106" s="1"/>
  <c r="K12" i="5"/>
  <c r="B5987" i="106" s="1"/>
  <c r="D5987" i="106" s="1"/>
  <c r="C18" i="5"/>
  <c r="D18" i="5"/>
  <c r="B5339" i="106"/>
  <c r="D5339" i="106" s="1"/>
  <c r="E18" i="5"/>
  <c r="B5518" i="106" s="1"/>
  <c r="D5518" i="106"/>
  <c r="F18" i="5"/>
  <c r="B5562" i="106"/>
  <c r="D5562" i="106" s="1"/>
  <c r="G18" i="5"/>
  <c r="B5730" i="106" s="1"/>
  <c r="D5730" i="106"/>
  <c r="H18" i="5"/>
  <c r="B5878" i="106"/>
  <c r="D5878" i="106" s="1"/>
  <c r="I18" i="5"/>
  <c r="B5923" i="106" s="1"/>
  <c r="D5923" i="106"/>
  <c r="J18" i="5"/>
  <c r="B6306" i="106"/>
  <c r="D6306" i="106" s="1"/>
  <c r="K18" i="5"/>
  <c r="B5992" i="106" s="1"/>
  <c r="D5992" i="106"/>
  <c r="C40" i="5"/>
  <c r="B5087" i="106"/>
  <c r="D5087" i="106" s="1"/>
  <c r="F63" i="5"/>
  <c r="B5579" i="106" s="1"/>
  <c r="D5579" i="106"/>
  <c r="C67" i="5"/>
  <c r="B5090" i="106"/>
  <c r="D5090" i="106" s="1"/>
  <c r="D67" i="5"/>
  <c r="B5342" i="106" s="1"/>
  <c r="D5342" i="106"/>
  <c r="E67" i="5"/>
  <c r="B5521" i="106"/>
  <c r="D5521" i="106" s="1"/>
  <c r="F67" i="5"/>
  <c r="B5582" i="106" s="1"/>
  <c r="D5582" i="106"/>
  <c r="G67" i="5"/>
  <c r="B5733" i="106"/>
  <c r="D5733" i="106" s="1"/>
  <c r="H67" i="5"/>
  <c r="B5881" i="106" s="1"/>
  <c r="D5881" i="106"/>
  <c r="I67" i="5"/>
  <c r="B5926" i="106"/>
  <c r="D5926" i="106" s="1"/>
  <c r="J67" i="5"/>
  <c r="B6318" i="106" s="1"/>
  <c r="D6318" i="106"/>
  <c r="K67" i="5"/>
  <c r="B5995" i="106"/>
  <c r="D5995" i="106" s="1"/>
  <c r="C82" i="5"/>
  <c r="B5102" i="106" s="1"/>
  <c r="D5102" i="106"/>
  <c r="D82" i="5"/>
  <c r="B5348" i="106"/>
  <c r="D5348" i="106" s="1"/>
  <c r="C93" i="5"/>
  <c r="B5112" i="106" s="1"/>
  <c r="D5112" i="106"/>
  <c r="C108" i="5"/>
  <c r="B5120" i="106"/>
  <c r="D5120" i="106" s="1"/>
  <c r="D108" i="5"/>
  <c r="B5355" i="106" s="1"/>
  <c r="D5355" i="106"/>
  <c r="E108" i="5"/>
  <c r="B5526" i="106"/>
  <c r="D5526" i="106" s="1"/>
  <c r="F108" i="5"/>
  <c r="B5587" i="106" s="1"/>
  <c r="D5587" i="106"/>
  <c r="G108" i="5"/>
  <c r="B5737" i="106"/>
  <c r="D5737" i="106" s="1"/>
  <c r="H108" i="5"/>
  <c r="B5886" i="106" s="1"/>
  <c r="D5886" i="106"/>
  <c r="I108" i="5"/>
  <c r="B5930" i="106"/>
  <c r="D5930" i="106" s="1"/>
  <c r="J108" i="5"/>
  <c r="B6351" i="106" s="1"/>
  <c r="D6351" i="106"/>
  <c r="K108" i="5"/>
  <c r="B5999" i="106"/>
  <c r="D5999" i="106" s="1"/>
  <c r="C114" i="5"/>
  <c r="B5125" i="106" s="1"/>
  <c r="D5125" i="106"/>
  <c r="D114" i="5"/>
  <c r="B5360" i="106"/>
  <c r="D5360" i="106" s="1"/>
  <c r="F114" i="5"/>
  <c r="G114" i="5"/>
  <c r="B5741" i="106" s="1"/>
  <c r="D5741" i="106" s="1"/>
  <c r="C122" i="5"/>
  <c r="B5132" i="106" s="1"/>
  <c r="D5132" i="106" s="1"/>
  <c r="D122" i="5"/>
  <c r="B5367" i="106" s="1"/>
  <c r="D5367" i="106" s="1"/>
  <c r="E122" i="5"/>
  <c r="F122" i="5"/>
  <c r="B5599" i="106"/>
  <c r="D5599" i="106" s="1"/>
  <c r="F132" i="5"/>
  <c r="B5614" i="106" s="1"/>
  <c r="D5614" i="106"/>
  <c r="F155" i="5"/>
  <c r="G122" i="5"/>
  <c r="H122" i="5"/>
  <c r="B5893" i="106"/>
  <c r="D5893" i="106" s="1"/>
  <c r="J122" i="5"/>
  <c r="K122" i="5"/>
  <c r="B6006" i="106" s="1"/>
  <c r="D6006" i="106" s="1"/>
  <c r="C132" i="5"/>
  <c r="D132" i="5"/>
  <c r="B5369" i="106"/>
  <c r="D5369" i="106" s="1"/>
  <c r="C141" i="5"/>
  <c r="B5161" i="106" s="1"/>
  <c r="D5161" i="106" s="1"/>
  <c r="D141" i="5"/>
  <c r="B5383" i="106" s="1"/>
  <c r="D5383" i="106" s="1"/>
  <c r="G141" i="5"/>
  <c r="B5752" i="106" s="1"/>
  <c r="D5752" i="106" s="1"/>
  <c r="G145" i="5"/>
  <c r="B5756" i="106"/>
  <c r="D5756" i="106" s="1"/>
  <c r="G155" i="5"/>
  <c r="B4357" i="106" s="1"/>
  <c r="D4357" i="106" s="1"/>
  <c r="C145" i="5"/>
  <c r="B5165" i="106" s="1"/>
  <c r="D5165" i="106" s="1"/>
  <c r="C155" i="5"/>
  <c r="D155" i="5"/>
  <c r="B5394" i="106"/>
  <c r="D5394" i="106" s="1"/>
  <c r="E169" i="5"/>
  <c r="B5537" i="106" s="1"/>
  <c r="H169" i="5"/>
  <c r="B5899" i="106" s="1"/>
  <c r="D5899" i="106" s="1"/>
  <c r="I169" i="5"/>
  <c r="B4363" i="106" s="1"/>
  <c r="D4363" i="106" s="1"/>
  <c r="J169" i="5"/>
  <c r="B6396" i="106" s="1"/>
  <c r="D6396" i="106" s="1"/>
  <c r="K169" i="5"/>
  <c r="C175" i="5"/>
  <c r="B5225" i="106"/>
  <c r="D5225" i="106" s="1"/>
  <c r="D175" i="5"/>
  <c r="E175" i="5"/>
  <c r="B4372" i="106" s="1"/>
  <c r="D4372" i="106" s="1"/>
  <c r="F175" i="5"/>
  <c r="G175" i="5"/>
  <c r="B5780" i="106"/>
  <c r="D5780" i="106" s="1"/>
  <c r="H175" i="5"/>
  <c r="I175" i="5"/>
  <c r="B4373" i="106" s="1"/>
  <c r="D4373" i="106" s="1"/>
  <c r="J175" i="5"/>
  <c r="K175" i="5"/>
  <c r="B4951" i="106"/>
  <c r="D4951" i="106" s="1"/>
  <c r="C181" i="5"/>
  <c r="D181" i="5"/>
  <c r="B5425" i="106" s="1"/>
  <c r="D5425" i="106" s="1"/>
  <c r="F181" i="5"/>
  <c r="B5658" i="106" s="1"/>
  <c r="D5658" i="106" s="1"/>
  <c r="G181" i="5"/>
  <c r="B5784" i="106"/>
  <c r="D5784" i="106" s="1"/>
  <c r="H181" i="5"/>
  <c r="B5908" i="106" s="1"/>
  <c r="D5908" i="106" s="1"/>
  <c r="K181" i="5"/>
  <c r="B6016" i="106" s="1"/>
  <c r="D6016" i="106" s="1"/>
  <c r="D188" i="5"/>
  <c r="F188" i="5"/>
  <c r="G188" i="5"/>
  <c r="B4398" i="106" s="1"/>
  <c r="D4398" i="106" s="1"/>
  <c r="G198" i="5"/>
  <c r="B6409" i="106"/>
  <c r="D6409" i="106" s="1"/>
  <c r="B5260" i="106"/>
  <c r="D5260" i="106" s="1"/>
  <c r="D204" i="5"/>
  <c r="B5444" i="106" s="1"/>
  <c r="D5444" i="106" s="1"/>
  <c r="F204" i="5"/>
  <c r="B5677" i="106"/>
  <c r="D5677" i="106" s="1"/>
  <c r="G204" i="5"/>
  <c r="B5803" i="106" s="1"/>
  <c r="D5803" i="106" s="1"/>
  <c r="D209" i="5"/>
  <c r="B4412" i="106" s="1"/>
  <c r="D4412" i="106" s="1"/>
  <c r="F209" i="5"/>
  <c r="G209" i="5"/>
  <c r="B4414" i="106"/>
  <c r="D4414" i="106" s="1"/>
  <c r="B5286" i="106"/>
  <c r="D5286" i="106" s="1"/>
  <c r="D217" i="5"/>
  <c r="B5470" i="106" s="1"/>
  <c r="D5470" i="106" s="1"/>
  <c r="F217" i="5"/>
  <c r="B5703" i="106" s="1"/>
  <c r="D5703" i="106" s="1"/>
  <c r="G217" i="5"/>
  <c r="B5829" i="106" s="1"/>
  <c r="D5829" i="106" s="1"/>
  <c r="D221" i="5"/>
  <c r="B5488" i="106" s="1"/>
  <c r="D5488" i="106" s="1"/>
  <c r="G221" i="5"/>
  <c r="G252" i="5"/>
  <c r="B6837" i="106"/>
  <c r="D6837" i="106" s="1"/>
  <c r="D252" i="5"/>
  <c r="B6834" i="106" s="1"/>
  <c r="D6834" i="106"/>
  <c r="E252" i="5"/>
  <c r="F252" i="5"/>
  <c r="B6836" i="106" s="1"/>
  <c r="D6836" i="106" s="1"/>
  <c r="H252" i="5"/>
  <c r="H266" i="5"/>
  <c r="B4441" i="106" s="1"/>
  <c r="D4441" i="106" s="1"/>
  <c r="J252" i="5"/>
  <c r="J266" i="5" s="1"/>
  <c r="B7041" i="106" s="1"/>
  <c r="D7041" i="106" s="1"/>
  <c r="K252" i="5"/>
  <c r="K266" i="5" s="1"/>
  <c r="G14" i="4"/>
  <c r="B2609" i="106" s="1"/>
  <c r="D2609" i="106" s="1"/>
  <c r="D14" i="4"/>
  <c r="B2570" i="106" s="1"/>
  <c r="D2570" i="106" s="1"/>
  <c r="D7" i="118"/>
  <c r="D8" i="118"/>
  <c r="D9" i="118"/>
  <c r="H14" i="118"/>
  <c r="H19" i="118"/>
  <c r="H24" i="118"/>
  <c r="D22" i="37"/>
  <c r="D24" i="37"/>
  <c r="B4270" i="106" s="1"/>
  <c r="D4270" i="106" s="1"/>
  <c r="C342" i="29"/>
  <c r="B7216" i="106" s="1"/>
  <c r="D7216" i="106" s="1"/>
  <c r="L22" i="37"/>
  <c r="E26" i="108"/>
  <c r="B1274" i="106"/>
  <c r="D1274" i="106" s="1"/>
  <c r="G15" i="145"/>
  <c r="B7074" i="106"/>
  <c r="D7074" i="106"/>
  <c r="J210" i="29"/>
  <c r="B7072" i="106"/>
  <c r="D7072" i="106" s="1"/>
  <c r="H112" i="29"/>
  <c r="B7018" i="106" s="1"/>
  <c r="D7018" i="106" s="1"/>
  <c r="E38" i="108"/>
  <c r="J22" i="37"/>
  <c r="L13" i="11"/>
  <c r="B2060" i="106" s="1"/>
  <c r="D2060" i="106" s="1"/>
  <c r="E34" i="108"/>
  <c r="B7076" i="106"/>
  <c r="D7076" i="106"/>
  <c r="F37" i="34"/>
  <c r="H76" i="4"/>
  <c r="C352" i="29"/>
  <c r="C367" i="29"/>
  <c r="B3622" i="106" s="1"/>
  <c r="D3622" i="106" s="1"/>
  <c r="K76" i="4"/>
  <c r="B3586" i="106" s="1"/>
  <c r="D3586" i="106" s="1"/>
  <c r="B6289" i="106"/>
  <c r="D6289" i="106" s="1"/>
  <c r="D69" i="36"/>
  <c r="F34" i="34"/>
  <c r="F77" i="4"/>
  <c r="B3255" i="106" s="1"/>
  <c r="D3255" i="106" s="1"/>
  <c r="B3647" i="106"/>
  <c r="D3647" i="106" s="1"/>
  <c r="F38" i="34"/>
  <c r="G35" i="108"/>
  <c r="E35" i="108"/>
  <c r="H342" i="29"/>
  <c r="B7221" i="106" s="1"/>
  <c r="I129" i="29"/>
  <c r="B7037" i="106" s="1"/>
  <c r="D7037" i="106" s="1"/>
  <c r="J129" i="29"/>
  <c r="D54" i="36"/>
  <c r="D68" i="36"/>
  <c r="F19" i="7"/>
  <c r="B1807" i="106"/>
  <c r="D1807" i="106" s="1"/>
  <c r="G29" i="108"/>
  <c r="F28" i="108"/>
  <c r="B1124" i="106"/>
  <c r="D1124" i="106" s="1"/>
  <c r="F36" i="34"/>
  <c r="J41" i="3"/>
  <c r="B6216" i="106"/>
  <c r="D6216" i="106" s="1"/>
  <c r="H33" i="118"/>
  <c r="I210" i="29"/>
  <c r="J77" i="4"/>
  <c r="B6262" i="106"/>
  <c r="D6262" i="106" s="1"/>
  <c r="K184" i="29"/>
  <c r="G210" i="29"/>
  <c r="C129" i="29"/>
  <c r="B1225" i="106"/>
  <c r="D1225" i="106" s="1"/>
  <c r="L5" i="11"/>
  <c r="B2056" i="106" s="1"/>
  <c r="D2056" i="106" s="1"/>
  <c r="F46" i="34"/>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F14" i="4"/>
  <c r="B2597" i="106"/>
  <c r="D2597" i="106" s="1"/>
  <c r="B7727" i="106"/>
  <c r="D7727" i="106" s="1"/>
  <c r="F49" i="34"/>
  <c r="F44" i="34"/>
  <c r="G38" i="108"/>
  <c r="D37" i="108"/>
  <c r="E30" i="108"/>
  <c r="F37" i="108"/>
  <c r="E28" i="108"/>
  <c r="F26" i="108"/>
  <c r="D26" i="108"/>
  <c r="D31" i="36"/>
  <c r="B4087" i="106"/>
  <c r="D4087" i="106" s="1"/>
  <c r="K41" i="3"/>
  <c r="L15" i="11"/>
  <c r="B3459" i="106" s="1"/>
  <c r="D3459" i="106"/>
  <c r="B3254" i="106"/>
  <c r="D3254" i="106"/>
  <c r="I24" i="12"/>
  <c r="B3649" i="106"/>
  <c r="D3649" i="106" s="1"/>
  <c r="G367" i="29"/>
  <c r="B3650" i="106" s="1"/>
  <c r="D3650" i="106"/>
  <c r="D5" i="4"/>
  <c r="B3406" i="106"/>
  <c r="D3406" i="106" s="1"/>
  <c r="I342" i="29"/>
  <c r="B7222" i="106" s="1"/>
  <c r="D7222" i="106" s="1"/>
  <c r="K350" i="29"/>
  <c r="K352" i="29" s="1"/>
  <c r="F21" i="8"/>
  <c r="K24" i="12"/>
  <c r="K26" i="12" s="1"/>
  <c r="B7743" i="106" s="1"/>
  <c r="D7743" i="106" s="1"/>
  <c r="F41" i="34"/>
  <c r="F35" i="34"/>
  <c r="D3583" i="106"/>
  <c r="B3635" i="106"/>
  <c r="D3635" i="106" s="1"/>
  <c r="F45" i="34"/>
  <c r="K285" i="29"/>
  <c r="B3724" i="106" s="1"/>
  <c r="D3724" i="106" s="1"/>
  <c r="B1329" i="106"/>
  <c r="D1329" i="106" s="1"/>
  <c r="F61" i="34"/>
  <c r="D12" i="7"/>
  <c r="B1769" i="106" s="1"/>
  <c r="D1769" i="106" s="1"/>
  <c r="B1746" i="106"/>
  <c r="D1746" i="106" s="1"/>
  <c r="I170" i="5"/>
  <c r="G5" i="4"/>
  <c r="B3409" i="106" s="1"/>
  <c r="D3409" i="106" s="1"/>
  <c r="D109" i="5"/>
  <c r="D4" i="4" s="1"/>
  <c r="G109" i="5"/>
  <c r="B5066" i="106"/>
  <c r="D5066" i="106" s="1"/>
  <c r="D5" i="7"/>
  <c r="B1761" i="106" s="1"/>
  <c r="D1761" i="106" s="1"/>
  <c r="D15" i="7"/>
  <c r="B1772" i="106" s="1"/>
  <c r="D1772" i="106"/>
  <c r="H170" i="5"/>
  <c r="E109" i="5"/>
  <c r="F169" i="5"/>
  <c r="B5644" i="106" s="1"/>
  <c r="D5644" i="106" s="1"/>
  <c r="C41" i="3"/>
  <c r="B93" i="106"/>
  <c r="D93" i="106" s="1"/>
  <c r="H295" i="29"/>
  <c r="B1454" i="106" s="1"/>
  <c r="D1454" i="106" s="1"/>
  <c r="B4156" i="106"/>
  <c r="D4156" i="106" s="1"/>
  <c r="H172" i="29"/>
  <c r="H174" i="29" s="1"/>
  <c r="B1318" i="106" s="1"/>
  <c r="D1318" i="106" s="1"/>
  <c r="B2823" i="106"/>
  <c r="D2823" i="106"/>
  <c r="J90" i="28"/>
  <c r="H352" i="29"/>
  <c r="B3656" i="106" s="1"/>
  <c r="D3656" i="106" s="1"/>
  <c r="K168" i="29"/>
  <c r="K172" i="29"/>
  <c r="E102" i="29"/>
  <c r="B2790" i="106"/>
  <c r="D2790" i="106" s="1"/>
  <c r="J342" i="29"/>
  <c r="B7223" i="106" s="1"/>
  <c r="D7223" i="106"/>
  <c r="G342" i="29"/>
  <c r="B7220" i="106"/>
  <c r="D7220" i="106" s="1"/>
  <c r="K137" i="29"/>
  <c r="K84" i="29"/>
  <c r="B2088" i="106" s="1"/>
  <c r="D2088" i="106" s="1"/>
  <c r="B79" i="36"/>
  <c r="B77" i="36"/>
  <c r="D18" i="7"/>
  <c r="B4105" i="106" s="1"/>
  <c r="D4105" i="106" s="1"/>
  <c r="J109" i="5"/>
  <c r="F95" i="34"/>
  <c r="F125" i="34"/>
  <c r="C5" i="4"/>
  <c r="B3405" i="106" s="1"/>
  <c r="D3405" i="106" s="1"/>
  <c r="B6840" i="106"/>
  <c r="D6840" i="106" s="1"/>
  <c r="B6839" i="106"/>
  <c r="D6839" i="106" s="1"/>
  <c r="B6838" i="106"/>
  <c r="D6838" i="106" s="1"/>
  <c r="D169" i="5"/>
  <c r="B5412" i="106" s="1"/>
  <c r="D5412" i="106" s="1"/>
  <c r="B5618" i="106"/>
  <c r="D5618" i="106" s="1"/>
  <c r="F48" i="34"/>
  <c r="F40" i="34"/>
  <c r="B7200" i="106"/>
  <c r="D7200" i="106" s="1"/>
  <c r="D342" i="29"/>
  <c r="B7217" i="106" s="1"/>
  <c r="D7217" i="106" s="1"/>
  <c r="D7144" i="106"/>
  <c r="B6901" i="106"/>
  <c r="D6901" i="106" s="1"/>
  <c r="F51" i="34"/>
  <c r="B6885" i="106"/>
  <c r="D6885" i="106"/>
  <c r="F43" i="34"/>
  <c r="B7211" i="106"/>
  <c r="D7211" i="106" s="1"/>
  <c r="K340" i="29"/>
  <c r="B6893" i="106"/>
  <c r="D6893" i="106" s="1"/>
  <c r="F47" i="34"/>
  <c r="B6877" i="106"/>
  <c r="D6877" i="106" s="1"/>
  <c r="F39" i="34"/>
  <c r="B3703" i="106"/>
  <c r="D3703" i="106" s="1"/>
  <c r="K362" i="29"/>
  <c r="D352" i="29"/>
  <c r="D367" i="29"/>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B1352" i="106"/>
  <c r="D1352" i="106" s="1"/>
  <c r="E210" i="29"/>
  <c r="B1353" i="106" s="1"/>
  <c r="D1353" i="106" s="1"/>
  <c r="B1264" i="106"/>
  <c r="D1264" i="106" s="1"/>
  <c r="H129" i="29"/>
  <c r="B1266" i="106" s="1"/>
  <c r="D1266" i="106" s="1"/>
  <c r="B1239" i="106"/>
  <c r="D1239" i="106" s="1"/>
  <c r="E129" i="29"/>
  <c r="B1146" i="106"/>
  <c r="D1146" i="106" s="1"/>
  <c r="K110" i="29"/>
  <c r="K112" i="29" s="1"/>
  <c r="B122" i="106"/>
  <c r="D122" i="106" s="1"/>
  <c r="D41" i="3"/>
  <c r="E17" i="145"/>
  <c r="G17" i="145"/>
  <c r="B1134" i="106"/>
  <c r="D1134" i="106"/>
  <c r="B7759" i="106"/>
  <c r="D7759" i="106"/>
  <c r="B1339" i="106"/>
  <c r="D1339" i="106"/>
  <c r="C210" i="29"/>
  <c r="B1340" i="106"/>
  <c r="D1340" i="106" s="1"/>
  <c r="C151" i="29"/>
  <c r="B1226" i="106" s="1"/>
  <c r="D1226" i="106"/>
  <c r="B169" i="106"/>
  <c r="D169" i="106"/>
  <c r="F41" i="3"/>
  <c r="E16" i="145"/>
  <c r="B1131" i="106"/>
  <c r="D1131" i="106" s="1"/>
  <c r="L3" i="11"/>
  <c r="B7596" i="106" s="1"/>
  <c r="L9" i="11"/>
  <c r="B7614" i="106" s="1"/>
  <c r="L10" i="11"/>
  <c r="B2058" i="106" s="1"/>
  <c r="D2058" i="106" s="1"/>
  <c r="D16" i="7"/>
  <c r="B3447" i="106" s="1"/>
  <c r="D3447" i="106" s="1"/>
  <c r="D8" i="7"/>
  <c r="B1764" i="106" s="1"/>
  <c r="D1764" i="106" s="1"/>
  <c r="B4397" i="106"/>
  <c r="D4397" i="106" s="1"/>
  <c r="B4950" i="106"/>
  <c r="D4950" i="106" s="1"/>
  <c r="H267" i="5"/>
  <c r="B1121" i="106"/>
  <c r="D1121" i="106" s="1"/>
  <c r="K53" i="29"/>
  <c r="E12" i="145"/>
  <c r="G12" i="145" s="1"/>
  <c r="B731" i="106"/>
  <c r="D731" i="106" s="1"/>
  <c r="C74" i="29"/>
  <c r="B755" i="106" s="1"/>
  <c r="D755" i="106" s="1"/>
  <c r="B1116" i="106"/>
  <c r="D1116" i="106" s="1"/>
  <c r="F157" i="34"/>
  <c r="L6" i="11"/>
  <c r="B7605" i="106" s="1"/>
  <c r="E266" i="5"/>
  <c r="B6835" i="106"/>
  <c r="D6835" i="106" s="1"/>
  <c r="G266" i="5"/>
  <c r="G267" i="5" s="1"/>
  <c r="G7" i="4" s="1"/>
  <c r="B2605" i="106" s="1"/>
  <c r="D2605" i="106" s="1"/>
  <c r="D5537" i="106"/>
  <c r="K33" i="29"/>
  <c r="C12" i="4" s="1"/>
  <c r="B2556" i="106" s="1"/>
  <c r="D2556" i="106" s="1"/>
  <c r="D720" i="106"/>
  <c r="B7618" i="106"/>
  <c r="L14" i="11"/>
  <c r="B7623" i="106" s="1"/>
  <c r="B7230" i="106"/>
  <c r="D7230" i="106" s="1"/>
  <c r="I352" i="29"/>
  <c r="I367" i="29" s="1"/>
  <c r="B7202" i="106"/>
  <c r="D7202" i="106" s="1"/>
  <c r="F342" i="29"/>
  <c r="B7219" i="106" s="1"/>
  <c r="D7219" i="106" s="1"/>
  <c r="B7503" i="106"/>
  <c r="B7531" i="106"/>
  <c r="D7214" i="106"/>
  <c r="D7221" i="106"/>
  <c r="B7201" i="106"/>
  <c r="D7201" i="106" s="1"/>
  <c r="E342" i="29"/>
  <c r="B7218" i="106" s="1"/>
  <c r="D7218" i="106" s="1"/>
  <c r="B6917" i="106"/>
  <c r="D6917" i="106" s="1"/>
  <c r="J74" i="29"/>
  <c r="J312" i="29"/>
  <c r="B7117" i="106"/>
  <c r="D7117" i="106" s="1"/>
  <c r="I312" i="29"/>
  <c r="B7116" i="106" s="1"/>
  <c r="D7116" i="106"/>
  <c r="B6916" i="106"/>
  <c r="D6916" i="106" s="1"/>
  <c r="I74" i="29"/>
  <c r="B6977" i="106" s="1"/>
  <c r="D6977" i="106" s="1"/>
  <c r="I49" i="8"/>
  <c r="N36" i="3" s="1"/>
  <c r="H37" i="37" s="1"/>
  <c r="B3633" i="106"/>
  <c r="D3633" i="106" s="1"/>
  <c r="E352" i="29"/>
  <c r="E367" i="29" s="1"/>
  <c r="B3636" i="106" s="1"/>
  <c r="D3636" i="106" s="1"/>
  <c r="E44" i="4"/>
  <c r="B3235" i="106"/>
  <c r="D3235" i="106" s="1"/>
  <c r="D77" i="4"/>
  <c r="B3238" i="106" s="1"/>
  <c r="D3238" i="106" s="1"/>
  <c r="B3229" i="106"/>
  <c r="D3229" i="106" s="1"/>
  <c r="C77" i="4"/>
  <c r="B3232" i="106" s="1"/>
  <c r="D3232" i="106" s="1"/>
  <c r="B1977" i="106"/>
  <c r="D1977" i="106" s="1"/>
  <c r="H24" i="12"/>
  <c r="H26" i="12" s="1"/>
  <c r="B7740" i="106" s="1"/>
  <c r="D7740" i="106" s="1"/>
  <c r="B1867" i="106"/>
  <c r="D1867" i="106" s="1"/>
  <c r="F15" i="8"/>
  <c r="F22" i="37" s="1"/>
  <c r="K310" i="29"/>
  <c r="B4099" i="106"/>
  <c r="D4099" i="106" s="1"/>
  <c r="B1555" i="106"/>
  <c r="D1555" i="106" s="1"/>
  <c r="K303" i="29"/>
  <c r="G312" i="29"/>
  <c r="B1548" i="106"/>
  <c r="D1548" i="106" s="1"/>
  <c r="F312" i="29"/>
  <c r="B1542" i="106" s="1"/>
  <c r="D1542" i="106"/>
  <c r="B1523" i="106"/>
  <c r="D1523" i="106"/>
  <c r="C312" i="29"/>
  <c r="B1524" i="106"/>
  <c r="D1524" i="106" s="1"/>
  <c r="K277" i="29"/>
  <c r="B1508" i="106" s="1"/>
  <c r="D1508" i="106"/>
  <c r="K261" i="29"/>
  <c r="B1491" i="106"/>
  <c r="D1491" i="106" s="1"/>
  <c r="K204" i="29"/>
  <c r="K208" i="29" s="1"/>
  <c r="F16" i="4" s="1"/>
  <c r="B2599" i="106" s="1"/>
  <c r="D2599" i="106" s="1"/>
  <c r="B2842" i="106"/>
  <c r="D2842" i="106"/>
  <c r="B1127" i="106"/>
  <c r="D1127" i="106"/>
  <c r="K65" i="29"/>
  <c r="B1133" i="106"/>
  <c r="D1133" i="106" s="1"/>
  <c r="B1123" i="106"/>
  <c r="D1123" i="106" s="1"/>
  <c r="K57" i="29"/>
  <c r="E24" i="108" s="1"/>
  <c r="B3640" i="106"/>
  <c r="D3640" i="106" s="1"/>
  <c r="F352" i="29"/>
  <c r="F367" i="29" s="1"/>
  <c r="B3643" i="106" s="1"/>
  <c r="D3643" i="106" s="1"/>
  <c r="B3296" i="106"/>
  <c r="D3296" i="106"/>
  <c r="G77" i="4"/>
  <c r="B3261" i="106"/>
  <c r="D3261" i="106" s="1"/>
  <c r="L12" i="11"/>
  <c r="B2059" i="106" s="1"/>
  <c r="D2059" i="106"/>
  <c r="L8" i="11"/>
  <c r="B2057" i="106"/>
  <c r="D2057" i="106" s="1"/>
  <c r="G24" i="12"/>
  <c r="B1492" i="106"/>
  <c r="D1492" i="106" s="1"/>
  <c r="H196" i="29"/>
  <c r="B2830" i="106" s="1"/>
  <c r="D2830" i="106" s="1"/>
  <c r="B2828" i="106"/>
  <c r="D2828" i="106" s="1"/>
  <c r="B2986" i="106"/>
  <c r="D2986" i="106" s="1"/>
  <c r="B1256" i="106"/>
  <c r="D1256" i="106" s="1"/>
  <c r="G129" i="29"/>
  <c r="K100" i="29"/>
  <c r="B7013" i="106"/>
  <c r="D7013" i="106" s="1"/>
  <c r="B1135" i="106"/>
  <c r="D1135" i="106" s="1"/>
  <c r="K72" i="29"/>
  <c r="B1141" i="106" s="1"/>
  <c r="D1141" i="106" s="1"/>
  <c r="B1021" i="106"/>
  <c r="D1021" i="106"/>
  <c r="H74" i="29"/>
  <c r="B847" i="106"/>
  <c r="D847" i="106" s="1"/>
  <c r="E74" i="29"/>
  <c r="B871" i="106" s="1"/>
  <c r="E39" i="108"/>
  <c r="B1144" i="106"/>
  <c r="D1144" i="106" s="1"/>
  <c r="K194" i="29"/>
  <c r="B2837" i="106" s="1"/>
  <c r="D2837" i="106" s="1"/>
  <c r="B1358" i="106"/>
  <c r="D1358" i="106"/>
  <c r="F210" i="29"/>
  <c r="B1359" i="106"/>
  <c r="D1359" i="106" s="1"/>
  <c r="B1345" i="106"/>
  <c r="D1345" i="106" s="1"/>
  <c r="D210" i="29"/>
  <c r="B1346" i="106" s="1"/>
  <c r="D1346" i="106" s="1"/>
  <c r="B1283" i="106"/>
  <c r="D1283" i="106" s="1"/>
  <c r="K147" i="29"/>
  <c r="B7048" i="106" s="1"/>
  <c r="D7048" i="106" s="1"/>
  <c r="B1275" i="106"/>
  <c r="D1275" i="106" s="1"/>
  <c r="K127" i="29"/>
  <c r="B1279" i="106" s="1"/>
  <c r="D1279" i="106" s="1"/>
  <c r="B1247" i="106"/>
  <c r="D1247" i="106" s="1"/>
  <c r="F129" i="29"/>
  <c r="F151" i="29" s="1"/>
  <c r="B1250" i="106" s="1"/>
  <c r="D1250" i="106" s="1"/>
  <c r="B1231" i="106"/>
  <c r="D1231" i="106" s="1"/>
  <c r="D129" i="29"/>
  <c r="D151" i="29" s="1"/>
  <c r="B1234" i="106" s="1"/>
  <c r="D1234" i="106" s="1"/>
  <c r="B1109" i="106"/>
  <c r="D1109" i="106"/>
  <c r="K42" i="29"/>
  <c r="H102" i="29"/>
  <c r="B1047" i="106" s="1"/>
  <c r="D1047" i="106" s="1"/>
  <c r="G74" i="29"/>
  <c r="B987" i="106" s="1"/>
  <c r="D987" i="106" s="1"/>
  <c r="B905" i="106"/>
  <c r="D905" i="106" s="1"/>
  <c r="F74" i="29"/>
  <c r="B929" i="106" s="1"/>
  <c r="D929" i="106" s="1"/>
  <c r="D74" i="29"/>
  <c r="B211" i="106"/>
  <c r="D211" i="106" s="1"/>
  <c r="H41" i="3"/>
  <c r="D49" i="36" s="1"/>
  <c r="B188" i="106"/>
  <c r="D188" i="106" s="1"/>
  <c r="G41" i="3"/>
  <c r="B139" i="106"/>
  <c r="D139" i="106" s="1"/>
  <c r="E41" i="3"/>
  <c r="D46" i="36" s="1"/>
  <c r="J19" i="145"/>
  <c r="D82" i="36"/>
  <c r="L151" i="29"/>
  <c r="C266" i="5"/>
  <c r="B5320" i="106" s="1"/>
  <c r="J24" i="12"/>
  <c r="B7730" i="106"/>
  <c r="D7730" i="106" s="1"/>
  <c r="B7270" i="106"/>
  <c r="B3621" i="106"/>
  <c r="D3621" i="106" s="1"/>
  <c r="H151" i="29"/>
  <c r="B1273" i="106" s="1"/>
  <c r="D1273" i="106" s="1"/>
  <c r="B1328" i="106"/>
  <c r="D1328" i="106"/>
  <c r="D51" i="36"/>
  <c r="F41" i="108"/>
  <c r="G43" i="108" s="1"/>
  <c r="B1381" i="106"/>
  <c r="D1381" i="106" s="1"/>
  <c r="D41" i="108"/>
  <c r="E43" i="108" s="1"/>
  <c r="D44" i="36"/>
  <c r="I26" i="12"/>
  <c r="B7741" i="106" s="1"/>
  <c r="D7741" i="106" s="1"/>
  <c r="B1996" i="106"/>
  <c r="D1996" i="106" s="1"/>
  <c r="B1317" i="106"/>
  <c r="D1317" i="106" s="1"/>
  <c r="B3568" i="106"/>
  <c r="D3568" i="106" s="1"/>
  <c r="D52" i="36"/>
  <c r="B1879" i="106"/>
  <c r="D1879" i="106" s="1"/>
  <c r="H22" i="37"/>
  <c r="B3628" i="106"/>
  <c r="D3628" i="106" s="1"/>
  <c r="F73" i="34"/>
  <c r="H367" i="29"/>
  <c r="B3660" i="106" s="1"/>
  <c r="D3660" i="106" s="1"/>
  <c r="B5906" i="106"/>
  <c r="D5906" i="106" s="1"/>
  <c r="H6" i="4"/>
  <c r="B2656" i="106" s="1"/>
  <c r="D2656" i="106" s="1"/>
  <c r="B7760" i="106"/>
  <c r="D7760" i="106" s="1"/>
  <c r="D24" i="36"/>
  <c r="B171" i="106"/>
  <c r="D171" i="106" s="1"/>
  <c r="D47" i="36"/>
  <c r="B2913" i="106"/>
  <c r="D2913" i="106" s="1"/>
  <c r="D50" i="36"/>
  <c r="B3318" i="106"/>
  <c r="D3318" i="106" s="1"/>
  <c r="I77" i="4"/>
  <c r="B3319" i="106" s="1"/>
  <c r="D3319" i="106" s="1"/>
  <c r="B3674" i="106"/>
  <c r="D3674" i="106" s="1"/>
  <c r="B1151" i="106"/>
  <c r="D1151" i="106" s="1"/>
  <c r="J4" i="4"/>
  <c r="B6220" i="106" s="1"/>
  <c r="D6220" i="106" s="1"/>
  <c r="D5320" i="106"/>
  <c r="F114" i="29"/>
  <c r="B931" i="106" s="1"/>
  <c r="D931" i="106" s="1"/>
  <c r="B1115" i="106"/>
  <c r="D1115" i="106" s="1"/>
  <c r="B1233" i="106"/>
  <c r="D1233" i="106" s="1"/>
  <c r="B1249" i="106"/>
  <c r="D1249" i="106" s="1"/>
  <c r="K149" i="29"/>
  <c r="K196" i="29"/>
  <c r="F15" i="4" s="1"/>
  <c r="B2598" i="106" s="1"/>
  <c r="D2598" i="106" s="1"/>
  <c r="G24" i="108"/>
  <c r="B4157" i="106"/>
  <c r="D4157" i="106" s="1"/>
  <c r="B1983" i="106"/>
  <c r="D1983" i="106" s="1"/>
  <c r="B7747" i="106"/>
  <c r="D7747" i="106" s="1"/>
  <c r="B7732" i="106"/>
  <c r="D7732" i="106" s="1"/>
  <c r="J26" i="12"/>
  <c r="B7742" i="106" s="1"/>
  <c r="D7742" i="106" s="1"/>
  <c r="B141" i="106"/>
  <c r="D141" i="106" s="1"/>
  <c r="B190" i="106"/>
  <c r="D190" i="106" s="1"/>
  <c r="D48" i="36"/>
  <c r="B213" i="106"/>
  <c r="D213" i="106" s="1"/>
  <c r="B813" i="106"/>
  <c r="D813" i="106" s="1"/>
  <c r="D114" i="29"/>
  <c r="B815" i="106" s="1"/>
  <c r="D815" i="106" s="1"/>
  <c r="E114" i="29"/>
  <c r="B873" i="106" s="1"/>
  <c r="D873" i="106" s="1"/>
  <c r="D871" i="106"/>
  <c r="B1045" i="106"/>
  <c r="D1045" i="106" s="1"/>
  <c r="K139" i="29"/>
  <c r="B2093" i="106"/>
  <c r="D2093" i="106" s="1"/>
  <c r="H210" i="29"/>
  <c r="B1376" i="106" s="1"/>
  <c r="D1376" i="106" s="1"/>
  <c r="B2102" i="106"/>
  <c r="D2102" i="106" s="1"/>
  <c r="H15" i="4"/>
  <c r="B2660" i="106" s="1"/>
  <c r="D2660" i="106" s="1"/>
  <c r="B4171" i="106"/>
  <c r="D4171" i="106" s="1"/>
  <c r="B6978" i="106"/>
  <c r="D6978" i="106" s="1"/>
  <c r="B7244" i="106"/>
  <c r="D7244" i="106" s="1"/>
  <c r="B1108" i="106"/>
  <c r="D1108" i="106" s="1"/>
  <c r="B7298" i="106"/>
  <c r="B7299" i="106"/>
  <c r="B1387" i="106"/>
  <c r="D1387" i="106" s="1"/>
  <c r="B1287" i="106"/>
  <c r="D1287" i="106" s="1"/>
  <c r="D16" i="4"/>
  <c r="B2572" i="106" s="1"/>
  <c r="D2572" i="106" s="1"/>
  <c r="A7247" i="106" l="1"/>
  <c r="D7246" i="106"/>
  <c r="F16" i="11"/>
  <c r="F69" i="34"/>
  <c r="B7078" i="106"/>
  <c r="D7078" i="106" s="1"/>
  <c r="K232" i="29"/>
  <c r="B1411" i="106"/>
  <c r="D1411" i="106" s="1"/>
  <c r="D238" i="29"/>
  <c r="K20" i="183"/>
  <c r="K23" i="183"/>
  <c r="F24" i="37"/>
  <c r="B3642" i="106"/>
  <c r="D3642" i="106" s="1"/>
  <c r="E267" i="5"/>
  <c r="I114" i="29"/>
  <c r="B1875" i="106"/>
  <c r="D1875" i="106" s="1"/>
  <c r="K129" i="29"/>
  <c r="G114" i="29"/>
  <c r="D170" i="5"/>
  <c r="K102" i="29"/>
  <c r="B1145" i="106" s="1"/>
  <c r="D1145" i="106" s="1"/>
  <c r="B5356" i="106"/>
  <c r="D5356" i="106" s="1"/>
  <c r="B3670" i="106"/>
  <c r="D3670" i="106" s="1"/>
  <c r="G15" i="4"/>
  <c r="B6032" i="106" s="1"/>
  <c r="D6032" i="106" s="1"/>
  <c r="B7733" i="106"/>
  <c r="D7733" i="106" s="1"/>
  <c r="C114" i="29"/>
  <c r="B757" i="106" s="1"/>
  <c r="D757" i="106" s="1"/>
  <c r="K77" i="4"/>
  <c r="B3587" i="106" s="1"/>
  <c r="D3587" i="106" s="1"/>
  <c r="I151" i="29"/>
  <c r="I109" i="5"/>
  <c r="D10" i="7"/>
  <c r="B1765" i="106" s="1"/>
  <c r="D1765" i="106" s="1"/>
  <c r="K109" i="5"/>
  <c r="B6028" i="106" s="1"/>
  <c r="D6028" i="106" s="1"/>
  <c r="D14" i="7"/>
  <c r="B1770" i="106" s="1"/>
  <c r="D1770" i="106" s="1"/>
  <c r="F107" i="34"/>
  <c r="D7" i="7"/>
  <c r="B1763" i="106" s="1"/>
  <c r="D1763" i="106" s="1"/>
  <c r="D11" i="7"/>
  <c r="B1768" i="106" s="1"/>
  <c r="D1768" i="106" s="1"/>
  <c r="F126" i="34"/>
  <c r="I267" i="5"/>
  <c r="F106" i="34"/>
  <c r="F127" i="34"/>
  <c r="H28" i="118"/>
  <c r="K28" i="118" s="1"/>
  <c r="O27" i="118" s="1"/>
  <c r="O29" i="118" s="1"/>
  <c r="A1" i="183"/>
  <c r="A1" i="171"/>
  <c r="B1" i="177"/>
  <c r="B1" i="174"/>
  <c r="B1" i="176"/>
  <c r="A1" i="170"/>
  <c r="A1" i="173"/>
  <c r="D80" i="36"/>
  <c r="E141" i="181"/>
  <c r="B7797" i="106"/>
  <c r="D7797" i="106" s="1"/>
  <c r="B7778" i="106"/>
  <c r="D7778" i="106" s="1"/>
  <c r="K160" i="29"/>
  <c r="K357" i="29"/>
  <c r="K15" i="4" s="1"/>
  <c r="B3573" i="106" s="1"/>
  <c r="D3573" i="106" s="1"/>
  <c r="H34" i="182"/>
  <c r="J34" i="182"/>
  <c r="I34" i="182"/>
  <c r="B2564" i="106"/>
  <c r="D2564" i="106" s="1"/>
  <c r="K13" i="4"/>
  <c r="B3672" i="106"/>
  <c r="D3672" i="106" s="1"/>
  <c r="B285" i="106"/>
  <c r="D285" i="106" s="1"/>
  <c r="N37" i="3"/>
  <c r="B7020" i="106"/>
  <c r="D7020" i="106" s="1"/>
  <c r="F55" i="34"/>
  <c r="F53" i="34"/>
  <c r="C15" i="4"/>
  <c r="B2559" i="106" s="1"/>
  <c r="D2559" i="106" s="1"/>
  <c r="G151" i="29"/>
  <c r="B1258" i="106"/>
  <c r="D1258" i="106" s="1"/>
  <c r="B1559" i="106"/>
  <c r="D1559" i="106" s="1"/>
  <c r="H13" i="4"/>
  <c r="B3274" i="106"/>
  <c r="D3274" i="106" s="1"/>
  <c r="E77" i="4"/>
  <c r="B3277" i="106" s="1"/>
  <c r="D3277" i="106" s="1"/>
  <c r="F59" i="34"/>
  <c r="B7051" i="106"/>
  <c r="D7051" i="106" s="1"/>
  <c r="H7" i="4"/>
  <c r="B2657" i="106" s="1"/>
  <c r="D2657" i="106" s="1"/>
  <c r="B5914" i="106"/>
  <c r="D5914" i="106" s="1"/>
  <c r="G16" i="145"/>
  <c r="E19" i="145"/>
  <c r="B124" i="106"/>
  <c r="D124" i="106" s="1"/>
  <c r="D45" i="36"/>
  <c r="B1515" i="106"/>
  <c r="D1515" i="106" s="1"/>
  <c r="G16" i="4"/>
  <c r="B2611" i="106" s="1"/>
  <c r="D2611" i="106" s="1"/>
  <c r="E4" i="4"/>
  <c r="B5527" i="106"/>
  <c r="D5527" i="106" s="1"/>
  <c r="B6024" i="106"/>
  <c r="D6024" i="106" s="1"/>
  <c r="G4" i="4"/>
  <c r="B4216" i="106"/>
  <c r="D4216" i="106" s="1"/>
  <c r="I6" i="4"/>
  <c r="B5011" i="106" s="1"/>
  <c r="D5011" i="106" s="1"/>
  <c r="B7038" i="106"/>
  <c r="D7038" i="106" s="1"/>
  <c r="J151" i="29"/>
  <c r="B7052" i="106" s="1"/>
  <c r="D7052" i="106" s="1"/>
  <c r="B3298" i="106"/>
  <c r="D3298" i="106" s="1"/>
  <c r="H77" i="4"/>
  <c r="B3299" i="106" s="1"/>
  <c r="D3299" i="106" s="1"/>
  <c r="B4413" i="106"/>
  <c r="D4413" i="106" s="1"/>
  <c r="F266" i="5"/>
  <c r="B5713" i="106" s="1"/>
  <c r="D5713" i="106" s="1"/>
  <c r="D266" i="5"/>
  <c r="B5501" i="106" s="1"/>
  <c r="D5501" i="106" s="1"/>
  <c r="B5232" i="106"/>
  <c r="D5232" i="106" s="1"/>
  <c r="F123" i="34"/>
  <c r="C267" i="5"/>
  <c r="B6400" i="106"/>
  <c r="D6400" i="106" s="1"/>
  <c r="J267" i="5"/>
  <c r="B5178" i="106"/>
  <c r="D5178" i="106" s="1"/>
  <c r="F111" i="34"/>
  <c r="B5147" i="106"/>
  <c r="D5147" i="106" s="1"/>
  <c r="F105" i="34"/>
  <c r="B6357" i="106"/>
  <c r="D6357" i="106" s="1"/>
  <c r="J170" i="5"/>
  <c r="B5748" i="106"/>
  <c r="D5748" i="106" s="1"/>
  <c r="B6903" i="106"/>
  <c r="D6903" i="106" s="1"/>
  <c r="J114" i="29"/>
  <c r="B7021" i="106" s="1"/>
  <c r="D7021" i="106" s="1"/>
  <c r="B1010" i="106"/>
  <c r="D1010" i="106" s="1"/>
  <c r="H114" i="29"/>
  <c r="B1054" i="106" s="1"/>
  <c r="D1054" i="106" s="1"/>
  <c r="B3725" i="106"/>
  <c r="D3725" i="106" s="1"/>
  <c r="D13" i="7"/>
  <c r="B3726" i="106" s="1"/>
  <c r="D3726" i="106" s="1"/>
  <c r="B1744" i="106"/>
  <c r="D1744" i="106" s="1"/>
  <c r="D4" i="7"/>
  <c r="B19" i="7"/>
  <c r="B1759" i="106" s="1"/>
  <c r="D1759" i="106" s="1"/>
  <c r="B4997" i="106"/>
  <c r="D4997" i="106" s="1"/>
  <c r="H32" i="118"/>
  <c r="K32" i="118" s="1"/>
  <c r="O31" i="118" s="1"/>
  <c r="O33" i="118" s="1"/>
  <c r="G19" i="145"/>
  <c r="J20" i="145" s="1"/>
  <c r="F57" i="34"/>
  <c r="B1282" i="106"/>
  <c r="D1282" i="106" s="1"/>
  <c r="D15" i="4"/>
  <c r="B2571" i="106" s="1"/>
  <c r="D2571" i="106" s="1"/>
  <c r="B1382" i="106"/>
  <c r="D1382" i="106" s="1"/>
  <c r="F63" i="34"/>
  <c r="B5869" i="106"/>
  <c r="D5869" i="106" s="1"/>
  <c r="K151" i="29"/>
  <c r="B7234" i="106"/>
  <c r="D7234" i="106" s="1"/>
  <c r="B1122" i="106"/>
  <c r="D1122" i="106" s="1"/>
  <c r="B5863" i="106"/>
  <c r="D5863" i="106" s="1"/>
  <c r="I268" i="5"/>
  <c r="B5946" i="106" s="1"/>
  <c r="D5946" i="106" s="1"/>
  <c r="K312" i="29"/>
  <c r="B1560" i="106" s="1"/>
  <c r="D1560" i="106" s="1"/>
  <c r="B1281" i="106"/>
  <c r="D1281" i="106" s="1"/>
  <c r="D13" i="4"/>
  <c r="B1125" i="106"/>
  <c r="D1125" i="106" s="1"/>
  <c r="B7019" i="106"/>
  <c r="D7019" i="106" s="1"/>
  <c r="C16" i="4"/>
  <c r="B2560" i="106" s="1"/>
  <c r="D2560" i="106" s="1"/>
  <c r="K4" i="4"/>
  <c r="F170" i="5"/>
  <c r="B1958" i="106"/>
  <c r="D1958" i="106" s="1"/>
  <c r="G26" i="12"/>
  <c r="B7739" i="106" s="1"/>
  <c r="D7739" i="106" s="1"/>
  <c r="B6026" i="106"/>
  <c r="D6026" i="106" s="1"/>
  <c r="I4" i="4"/>
  <c r="B1241" i="106"/>
  <c r="D1241" i="106" s="1"/>
  <c r="B2917" i="106"/>
  <c r="D2917" i="106" s="1"/>
  <c r="D53" i="36"/>
  <c r="B3676" i="106"/>
  <c r="D3676" i="106" s="1"/>
  <c r="K365" i="29"/>
  <c r="J16" i="4"/>
  <c r="B6226" i="106" s="1"/>
  <c r="D6226" i="106" s="1"/>
  <c r="B7215" i="106"/>
  <c r="D7215" i="106" s="1"/>
  <c r="B6352" i="106"/>
  <c r="D6352" i="106" s="1"/>
  <c r="J268" i="5"/>
  <c r="K174" i="29"/>
  <c r="B1331" i="106"/>
  <c r="D1331" i="106" s="1"/>
  <c r="E16" i="4"/>
  <c r="C169" i="5"/>
  <c r="B4396" i="106"/>
  <c r="D4396" i="106" s="1"/>
  <c r="G169" i="5"/>
  <c r="B5770" i="106" s="1"/>
  <c r="D5770" i="106" s="1"/>
  <c r="F124" i="34"/>
  <c r="B283" i="106"/>
  <c r="D283" i="106" s="1"/>
  <c r="N23" i="3"/>
  <c r="B284" i="106" s="1"/>
  <c r="D284" i="106" s="1"/>
  <c r="B1365" i="106"/>
  <c r="D1365" i="106" s="1"/>
  <c r="F65" i="34"/>
  <c r="F13" i="4"/>
  <c r="K210" i="29"/>
  <c r="B7071" i="106"/>
  <c r="D7071" i="106" s="1"/>
  <c r="F66" i="34"/>
  <c r="B4442" i="106"/>
  <c r="D4442" i="106" s="1"/>
  <c r="K267" i="5"/>
  <c r="B5847" i="106"/>
  <c r="D5847" i="106" s="1"/>
  <c r="F132" i="34"/>
  <c r="B5655" i="106"/>
  <c r="D5655" i="106" s="1"/>
  <c r="F267" i="5"/>
  <c r="B5423" i="106"/>
  <c r="D5423" i="106" s="1"/>
  <c r="D267" i="5"/>
  <c r="B5000" i="106"/>
  <c r="D5000" i="106" s="1"/>
  <c r="K170" i="5"/>
  <c r="B5534" i="106"/>
  <c r="D5534" i="106" s="1"/>
  <c r="E170" i="5"/>
  <c r="B5592" i="106"/>
  <c r="D5592" i="106" s="1"/>
  <c r="F5" i="4"/>
  <c r="B3408" i="106" s="1"/>
  <c r="D3408" i="106" s="1"/>
  <c r="B5071" i="106"/>
  <c r="D5071" i="106" s="1"/>
  <c r="C109" i="5"/>
  <c r="B5873" i="106"/>
  <c r="D5873" i="106" s="1"/>
  <c r="H109" i="5"/>
  <c r="B5557" i="106"/>
  <c r="D5557" i="106" s="1"/>
  <c r="F109" i="5"/>
  <c r="L279" i="29"/>
  <c r="L295" i="29" s="1"/>
  <c r="B1117" i="106"/>
  <c r="D1117" i="106" s="1"/>
  <c r="K47" i="29"/>
  <c r="L74" i="29"/>
  <c r="L114" i="29" s="1"/>
  <c r="D7247" i="106"/>
  <c r="A7248" i="106"/>
  <c r="B7799" i="106"/>
  <c r="D7799" i="106" s="1"/>
  <c r="G40" i="108"/>
  <c r="E40" i="108"/>
  <c r="E139" i="29"/>
  <c r="B4203" i="106" s="1"/>
  <c r="D4203" i="106" s="1"/>
  <c r="B4202" i="106"/>
  <c r="D4202" i="106" s="1"/>
  <c r="F74" i="34"/>
  <c r="B7790" i="106"/>
  <c r="D7790" i="106" s="1"/>
  <c r="D229" i="29"/>
  <c r="K217" i="29"/>
  <c r="B3388" i="106"/>
  <c r="D3388" i="106" s="1"/>
  <c r="B1409" i="106"/>
  <c r="D1409" i="106" s="1"/>
  <c r="K224" i="29"/>
  <c r="B1418" i="106"/>
  <c r="D1418" i="106" s="1"/>
  <c r="D243" i="29"/>
  <c r="K240" i="29"/>
  <c r="K246" i="29"/>
  <c r="D257" i="29"/>
  <c r="D270" i="29"/>
  <c r="B1436" i="106" s="1"/>
  <c r="D1436" i="106" s="1"/>
  <c r="K266" i="29"/>
  <c r="B2017" i="106"/>
  <c r="D2017" i="106" s="1"/>
  <c r="D16" i="11"/>
  <c r="B2019" i="106" s="1"/>
  <c r="D2019" i="106" s="1"/>
  <c r="F31" i="183"/>
  <c r="L22" i="179"/>
  <c r="B7600" i="106"/>
  <c r="K330" i="29"/>
  <c r="B5096" i="106"/>
  <c r="D5096" i="106" s="1"/>
  <c r="J352" i="29"/>
  <c r="F50" i="34"/>
  <c r="F42" i="34"/>
  <c r="H31" i="183"/>
  <c r="K28" i="183"/>
  <c r="K31" i="183" s="1"/>
  <c r="I7" i="4" l="1"/>
  <c r="B4444" i="106" s="1"/>
  <c r="D4444" i="106" s="1"/>
  <c r="B4435" i="106"/>
  <c r="D4435" i="106" s="1"/>
  <c r="B989" i="106"/>
  <c r="D989" i="106" s="1"/>
  <c r="F54" i="34"/>
  <c r="E7" i="4"/>
  <c r="B4443" i="106" s="1"/>
  <c r="D4443" i="106" s="1"/>
  <c r="B4434" i="106"/>
  <c r="D4434" i="106" s="1"/>
  <c r="B2031" i="106"/>
  <c r="D2031" i="106" s="1"/>
  <c r="L16" i="11"/>
  <c r="B2061" i="106" s="1"/>
  <c r="D2061" i="106" s="1"/>
  <c r="E23" i="108"/>
  <c r="K34" i="182"/>
  <c r="D81" i="36" s="1"/>
  <c r="F60" i="34"/>
  <c r="E15" i="4"/>
  <c r="B2633" i="106" s="1"/>
  <c r="D2633" i="106" s="1"/>
  <c r="B5421" i="106"/>
  <c r="D5421" i="106" s="1"/>
  <c r="D6" i="4"/>
  <c r="B2566" i="106" s="1"/>
  <c r="D2566" i="106" s="1"/>
  <c r="F17" i="11"/>
  <c r="G21" i="108"/>
  <c r="B1417" i="106"/>
  <c r="D1417" i="106" s="1"/>
  <c r="E21" i="108"/>
  <c r="B1475" i="106"/>
  <c r="D1475" i="106" s="1"/>
  <c r="K238" i="29"/>
  <c r="B1481" i="106" s="1"/>
  <c r="D1481" i="106" s="1"/>
  <c r="B1487" i="106"/>
  <c r="D1487" i="106" s="1"/>
  <c r="K257" i="29"/>
  <c r="B1488" i="106" s="1"/>
  <c r="D1488" i="106" s="1"/>
  <c r="D279" i="29"/>
  <c r="B1446" i="106" s="1"/>
  <c r="D1446" i="106" s="1"/>
  <c r="B1421" i="106"/>
  <c r="D1421" i="106" s="1"/>
  <c r="B1473" i="106"/>
  <c r="D1473" i="106" s="1"/>
  <c r="F71" i="34"/>
  <c r="D295" i="29"/>
  <c r="B1448" i="106" s="1"/>
  <c r="D1448" i="106" s="1"/>
  <c r="E19" i="108"/>
  <c r="G19" i="108"/>
  <c r="B1410" i="106"/>
  <c r="D1410" i="106" s="1"/>
  <c r="A7249" i="106"/>
  <c r="D7248" i="106"/>
  <c r="B5588" i="106"/>
  <c r="D5588" i="106" s="1"/>
  <c r="F268" i="5"/>
  <c r="F4" i="4"/>
  <c r="B6025" i="106"/>
  <c r="D6025" i="106" s="1"/>
  <c r="H4" i="4"/>
  <c r="H268" i="5"/>
  <c r="C4" i="4"/>
  <c r="B5121" i="106"/>
  <c r="D5121" i="106" s="1"/>
  <c r="B5544" i="106"/>
  <c r="D5544" i="106" s="1"/>
  <c r="E6" i="4"/>
  <c r="B2631" i="106" s="1"/>
  <c r="D2631" i="106" s="1"/>
  <c r="B6014" i="106"/>
  <c r="D6014" i="106" s="1"/>
  <c r="K6" i="4"/>
  <c r="B3570" i="106" s="1"/>
  <c r="D3570" i="106" s="1"/>
  <c r="K268" i="5"/>
  <c r="B5507" i="106"/>
  <c r="D5507" i="106" s="1"/>
  <c r="D268" i="5"/>
  <c r="D7" i="4"/>
  <c r="B5719" i="106"/>
  <c r="D5719" i="106" s="1"/>
  <c r="F7" i="4"/>
  <c r="B2594" i="106" s="1"/>
  <c r="D2594" i="106" s="1"/>
  <c r="B6022" i="106"/>
  <c r="D6022" i="106" s="1"/>
  <c r="K7" i="4"/>
  <c r="B3718" i="106" s="1"/>
  <c r="D3718" i="106" s="1"/>
  <c r="F11" i="34"/>
  <c r="B1388" i="106"/>
  <c r="D1388" i="106" s="1"/>
  <c r="B2634" i="106"/>
  <c r="D2634" i="106" s="1"/>
  <c r="E17" i="4"/>
  <c r="B1332" i="106"/>
  <c r="D1332" i="106" s="1"/>
  <c r="F10" i="34"/>
  <c r="F6" i="4"/>
  <c r="B2593" i="106" s="1"/>
  <c r="D2593" i="106" s="1"/>
  <c r="B5653" i="106"/>
  <c r="D5653" i="106" s="1"/>
  <c r="F9" i="34"/>
  <c r="B1288" i="106"/>
  <c r="D1288" i="106" s="1"/>
  <c r="D19" i="7"/>
  <c r="B1775" i="106" s="1"/>
  <c r="D1775" i="106" s="1"/>
  <c r="B1760" i="106"/>
  <c r="D1760" i="106" s="1"/>
  <c r="G170" i="5"/>
  <c r="B6397" i="106"/>
  <c r="D6397" i="106" s="1"/>
  <c r="J6" i="4"/>
  <c r="F174" i="34"/>
  <c r="J7" i="4"/>
  <c r="B6222" i="106" s="1"/>
  <c r="D6222" i="106" s="1"/>
  <c r="B7054" i="106"/>
  <c r="D7054" i="106" s="1"/>
  <c r="B5326" i="106"/>
  <c r="D5326" i="106" s="1"/>
  <c r="C7" i="4"/>
  <c r="B1259" i="106"/>
  <c r="D1259" i="106" s="1"/>
  <c r="F58" i="34"/>
  <c r="B3572" i="106"/>
  <c r="D3572" i="106" s="1"/>
  <c r="F76" i="34"/>
  <c r="J367" i="29"/>
  <c r="B7245" i="106" s="1"/>
  <c r="D7245" i="106" s="1"/>
  <c r="B7235" i="106"/>
  <c r="D7235" i="106" s="1"/>
  <c r="K342" i="29"/>
  <c r="J13" i="4"/>
  <c r="B7207" i="106"/>
  <c r="D7207" i="106" s="1"/>
  <c r="B1495" i="106"/>
  <c r="D1495" i="106" s="1"/>
  <c r="K270" i="29"/>
  <c r="B1500" i="106" s="1"/>
  <c r="D1500" i="106" s="1"/>
  <c r="B1424" i="106"/>
  <c r="D1424" i="106" s="1"/>
  <c r="G23" i="108"/>
  <c r="B1482" i="106"/>
  <c r="D1482" i="106" s="1"/>
  <c r="K243" i="29"/>
  <c r="B3391" i="106"/>
  <c r="D3391" i="106" s="1"/>
  <c r="K229" i="29"/>
  <c r="K74" i="29"/>
  <c r="B1119" i="106"/>
  <c r="D1119" i="106" s="1"/>
  <c r="E22" i="108"/>
  <c r="G22" i="108"/>
  <c r="F17" i="4"/>
  <c r="B2596" i="106"/>
  <c r="D2596" i="106" s="1"/>
  <c r="B5214" i="106"/>
  <c r="D5214" i="106" s="1"/>
  <c r="C170" i="5"/>
  <c r="C268" i="5" s="1"/>
  <c r="K343" i="29"/>
  <c r="B7225" i="106" s="1"/>
  <c r="D7225" i="106" s="1"/>
  <c r="B7055" i="106"/>
  <c r="D7055" i="106" s="1"/>
  <c r="B7243" i="106"/>
  <c r="D7243" i="106" s="1"/>
  <c r="K16" i="4"/>
  <c r="B3574" i="106" s="1"/>
  <c r="D3574" i="106" s="1"/>
  <c r="E151" i="29"/>
  <c r="B1242" i="106" s="1"/>
  <c r="D1242" i="106" s="1"/>
  <c r="B3225" i="106"/>
  <c r="D3225" i="106" s="1"/>
  <c r="I8" i="4"/>
  <c r="B3569" i="106"/>
  <c r="D3569" i="106" s="1"/>
  <c r="K8" i="4"/>
  <c r="D17" i="4"/>
  <c r="B2569" i="106"/>
  <c r="D2569" i="106" s="1"/>
  <c r="B2603" i="106"/>
  <c r="D2603" i="106" s="1"/>
  <c r="E268" i="5"/>
  <c r="B2630" i="106"/>
  <c r="D2630" i="106" s="1"/>
  <c r="E8" i="4"/>
  <c r="B2659" i="106"/>
  <c r="D2659" i="106" s="1"/>
  <c r="H17" i="4"/>
  <c r="B287" i="106"/>
  <c r="D287" i="106" s="1"/>
  <c r="N41" i="3"/>
  <c r="K367" i="29"/>
  <c r="B3678" i="106" s="1"/>
  <c r="D3678" i="106" s="1"/>
  <c r="B7624" i="106" l="1"/>
  <c r="I17" i="11"/>
  <c r="B5327" i="106"/>
  <c r="D5327" i="106" s="1"/>
  <c r="B3226" i="106"/>
  <c r="D3226" i="106" s="1"/>
  <c r="E8" i="146"/>
  <c r="E10" i="146" s="1"/>
  <c r="I20" i="4"/>
  <c r="I10" i="4"/>
  <c r="B4128" i="106" s="1"/>
  <c r="D4128" i="106" s="1"/>
  <c r="D9" i="146"/>
  <c r="F19" i="4"/>
  <c r="B4139" i="106" s="1"/>
  <c r="D4139" i="106" s="1"/>
  <c r="B2600" i="106"/>
  <c r="D2600" i="106" s="1"/>
  <c r="B7042" i="106"/>
  <c r="D7042" i="106" s="1"/>
  <c r="J17" i="4"/>
  <c r="J8" i="4"/>
  <c r="B6221" i="106"/>
  <c r="D6221" i="106" s="1"/>
  <c r="B5778" i="106"/>
  <c r="D5778" i="106" s="1"/>
  <c r="G268" i="5"/>
  <c r="G6" i="4"/>
  <c r="E19" i="4"/>
  <c r="B4138" i="106" s="1"/>
  <c r="D4138" i="106" s="1"/>
  <c r="B2635" i="106"/>
  <c r="D2635" i="106" s="1"/>
  <c r="B2567" i="106"/>
  <c r="D2567" i="106" s="1"/>
  <c r="D8" i="4"/>
  <c r="B2551" i="106"/>
  <c r="D2551" i="106" s="1"/>
  <c r="B2655" i="106"/>
  <c r="D2655" i="106" s="1"/>
  <c r="H8" i="4"/>
  <c r="B2591" i="106"/>
  <c r="D2591" i="106" s="1"/>
  <c r="F8" i="4"/>
  <c r="A7250" i="106"/>
  <c r="D7249" i="106"/>
  <c r="G41" i="108"/>
  <c r="G44" i="108" s="1"/>
  <c r="G45" i="108" s="1"/>
  <c r="K10" i="4"/>
  <c r="B4130" i="106" s="1"/>
  <c r="D4130" i="106" s="1"/>
  <c r="B3571" i="106"/>
  <c r="D3571" i="106" s="1"/>
  <c r="K114" i="29"/>
  <c r="K115" i="29" s="1"/>
  <c r="B1153" i="106" s="1"/>
  <c r="D1153" i="106" s="1"/>
  <c r="C13" i="4"/>
  <c r="B1143" i="106"/>
  <c r="D1143" i="106" s="1"/>
  <c r="B288" i="106"/>
  <c r="D288" i="106" s="1"/>
  <c r="D55" i="36"/>
  <c r="H19" i="4"/>
  <c r="B4141" i="106" s="1"/>
  <c r="D4141" i="106" s="1"/>
  <c r="B2661" i="106"/>
  <c r="D2661" i="106" s="1"/>
  <c r="E20" i="4"/>
  <c r="B2632" i="106"/>
  <c r="D2632" i="106" s="1"/>
  <c r="E10" i="4"/>
  <c r="B4124" i="106" s="1"/>
  <c r="D4124" i="106" s="1"/>
  <c r="B5552" i="106"/>
  <c r="D5552" i="106" s="1"/>
  <c r="K175" i="29"/>
  <c r="B1333" i="106" s="1"/>
  <c r="D1333" i="106" s="1"/>
  <c r="B2573" i="106"/>
  <c r="D2573" i="106" s="1"/>
  <c r="D19" i="4"/>
  <c r="B4137" i="106" s="1"/>
  <c r="D4137" i="106" s="1"/>
  <c r="C9" i="146"/>
  <c r="B5223" i="106"/>
  <c r="D5223" i="106" s="1"/>
  <c r="C6" i="4"/>
  <c r="B2553" i="106" s="1"/>
  <c r="D2553" i="106" s="1"/>
  <c r="G12" i="4"/>
  <c r="B1474" i="106"/>
  <c r="D1474" i="106" s="1"/>
  <c r="B1485" i="106"/>
  <c r="D1485" i="106" s="1"/>
  <c r="K279" i="29"/>
  <c r="B7224" i="106"/>
  <c r="D7224" i="106" s="1"/>
  <c r="F13" i="34"/>
  <c r="K17" i="4"/>
  <c r="D10" i="171"/>
  <c r="D19" i="171" s="1"/>
  <c r="D32" i="171" s="1"/>
  <c r="D49" i="171" s="1"/>
  <c r="B2554" i="106"/>
  <c r="D2554" i="106" s="1"/>
  <c r="B5508" i="106"/>
  <c r="D5508" i="106" s="1"/>
  <c r="K152" i="29"/>
  <c r="B1289" i="106" s="1"/>
  <c r="D1289" i="106" s="1"/>
  <c r="B6023" i="106"/>
  <c r="D6023" i="106" s="1"/>
  <c r="K368" i="29"/>
  <c r="B3681" i="106" s="1"/>
  <c r="D3681" i="106" s="1"/>
  <c r="B5915" i="106"/>
  <c r="D5915" i="106" s="1"/>
  <c r="K313" i="29"/>
  <c r="B1561" i="106" s="1"/>
  <c r="D1561" i="106" s="1"/>
  <c r="B5720" i="106"/>
  <c r="D5720" i="106" s="1"/>
  <c r="K211" i="29"/>
  <c r="B1389" i="106" s="1"/>
  <c r="D1389" i="106" s="1"/>
  <c r="E41" i="108"/>
  <c r="E44" i="108" s="1"/>
  <c r="E45" i="108" s="1"/>
  <c r="I18" i="11" l="1"/>
  <c r="B7625" i="106"/>
  <c r="B3575" i="106"/>
  <c r="D3575" i="106" s="1"/>
  <c r="K19" i="4"/>
  <c r="B4144" i="106" s="1"/>
  <c r="D4144" i="106" s="1"/>
  <c r="B1510" i="106"/>
  <c r="D1510" i="106" s="1"/>
  <c r="G13" i="4"/>
  <c r="B2608" i="106" s="1"/>
  <c r="D2608" i="106" s="1"/>
  <c r="K295" i="29"/>
  <c r="E78" i="4"/>
  <c r="B2636" i="106"/>
  <c r="D2636" i="106" s="1"/>
  <c r="B2557" i="106"/>
  <c r="D2557" i="106" s="1"/>
  <c r="C17" i="4"/>
  <c r="B2595" i="106"/>
  <c r="D2595" i="106" s="1"/>
  <c r="F10" i="4"/>
  <c r="B4125" i="106" s="1"/>
  <c r="D4125" i="106" s="1"/>
  <c r="D8" i="146"/>
  <c r="D10" i="146" s="1"/>
  <c r="F20" i="4"/>
  <c r="B2658" i="106"/>
  <c r="D2658" i="106" s="1"/>
  <c r="H10" i="4"/>
  <c r="B4127" i="106" s="1"/>
  <c r="D4127" i="106" s="1"/>
  <c r="H20" i="4"/>
  <c r="B2568" i="106"/>
  <c r="D2568" i="106" s="1"/>
  <c r="D10" i="4"/>
  <c r="B4123" i="106" s="1"/>
  <c r="D4123" i="106" s="1"/>
  <c r="C8" i="146"/>
  <c r="C10" i="146" s="1"/>
  <c r="D20" i="4"/>
  <c r="B2604" i="106"/>
  <c r="D2604" i="106" s="1"/>
  <c r="G8" i="4"/>
  <c r="J10" i="4"/>
  <c r="B6225" i="106" s="1"/>
  <c r="D6225" i="106" s="1"/>
  <c r="J20" i="4"/>
  <c r="B6223" i="106"/>
  <c r="D6223" i="106" s="1"/>
  <c r="B2607" i="106"/>
  <c r="D2607" i="106" s="1"/>
  <c r="B1152" i="106"/>
  <c r="D1152" i="106" s="1"/>
  <c r="F8" i="34"/>
  <c r="K20" i="4"/>
  <c r="A7251" i="106"/>
  <c r="D7250" i="106"/>
  <c r="C8" i="4"/>
  <c r="K296" i="29"/>
  <c r="B1518" i="106" s="1"/>
  <c r="D1518" i="106" s="1"/>
  <c r="B5870" i="106"/>
  <c r="D5870" i="106" s="1"/>
  <c r="J19" i="4"/>
  <c r="B6229" i="106" s="1"/>
  <c r="D6229" i="106" s="1"/>
  <c r="B6227" i="106"/>
  <c r="D6227" i="106" s="1"/>
  <c r="B3227" i="106"/>
  <c r="D3227" i="106" s="1"/>
  <c r="I78" i="4"/>
  <c r="G17" i="4" l="1"/>
  <c r="B7631" i="106"/>
  <c r="F176" i="34"/>
  <c r="J78" i="4"/>
  <c r="B6230" i="106"/>
  <c r="D6230" i="106" s="1"/>
  <c r="G20" i="4"/>
  <c r="G10" i="4"/>
  <c r="B4126" i="106" s="1"/>
  <c r="D4126" i="106" s="1"/>
  <c r="B2606" i="106"/>
  <c r="D2606" i="106" s="1"/>
  <c r="B2574" i="106"/>
  <c r="D2574" i="106" s="1"/>
  <c r="D78" i="4"/>
  <c r="H78" i="4"/>
  <c r="B2662" i="106"/>
  <c r="D2662" i="106" s="1"/>
  <c r="B3278" i="106"/>
  <c r="D3278" i="106" s="1"/>
  <c r="E81" i="4"/>
  <c r="B3576" i="106"/>
  <c r="D3576" i="106" s="1"/>
  <c r="K78" i="4"/>
  <c r="B3320" i="106"/>
  <c r="D3320" i="106" s="1"/>
  <c r="I81" i="4"/>
  <c r="H13" i="118"/>
  <c r="H18" i="118"/>
  <c r="B8" i="146"/>
  <c r="B2555" i="106"/>
  <c r="D2555" i="106" s="1"/>
  <c r="C20" i="4"/>
  <c r="C10" i="4"/>
  <c r="B4122" i="106" s="1"/>
  <c r="D4122" i="106" s="1"/>
  <c r="D16" i="37"/>
  <c r="D7251" i="106"/>
  <c r="A7252" i="106"/>
  <c r="G19" i="4"/>
  <c r="B4140" i="106" s="1"/>
  <c r="D4140" i="106" s="1"/>
  <c r="B2612" i="106"/>
  <c r="D2612" i="106" s="1"/>
  <c r="F78" i="4"/>
  <c r="B2601" i="106"/>
  <c r="D2601" i="106" s="1"/>
  <c r="B2561" i="106"/>
  <c r="D2561" i="106" s="1"/>
  <c r="H17" i="118"/>
  <c r="C19" i="4"/>
  <c r="B4136" i="106" s="1"/>
  <c r="D4136" i="106" s="1"/>
  <c r="B9" i="146"/>
  <c r="F9" i="146" s="1"/>
  <c r="F16" i="37"/>
  <c r="F12" i="34"/>
  <c r="F14" i="34" s="1"/>
  <c r="F77" i="34" s="1"/>
  <c r="B1517" i="106"/>
  <c r="D1517" i="106" s="1"/>
  <c r="F79" i="34" l="1"/>
  <c r="F175" i="34"/>
  <c r="F177" i="34" s="1"/>
  <c r="F179" i="34" s="1"/>
  <c r="F81" i="4"/>
  <c r="B3256" i="106"/>
  <c r="D3256" i="106" s="1"/>
  <c r="A7253" i="106"/>
  <c r="D7252" i="106"/>
  <c r="H16" i="37"/>
  <c r="B2562" i="106"/>
  <c r="D2562" i="106" s="1"/>
  <c r="C78" i="4"/>
  <c r="F8" i="146"/>
  <c r="F10" i="146" s="1"/>
  <c r="B10" i="146"/>
  <c r="B3300" i="106"/>
  <c r="D3300" i="106" s="1"/>
  <c r="H81" i="4"/>
  <c r="K17" i="118"/>
  <c r="H25" i="118"/>
  <c r="K24" i="118" s="1"/>
  <c r="O23" i="118" s="1"/>
  <c r="O25" i="118" s="1"/>
  <c r="B3323" i="106"/>
  <c r="D3323" i="106" s="1"/>
  <c r="I82" i="4"/>
  <c r="E11" i="146"/>
  <c r="D63" i="36"/>
  <c r="K81" i="4"/>
  <c r="B3588" i="106"/>
  <c r="D3588" i="106" s="1"/>
  <c r="B1658" i="106"/>
  <c r="D1658" i="106" s="1"/>
  <c r="D59" i="36"/>
  <c r="E82" i="4"/>
  <c r="D81" i="4"/>
  <c r="B3239" i="106"/>
  <c r="D3239" i="106" s="1"/>
  <c r="B2613" i="106"/>
  <c r="D2613" i="106" s="1"/>
  <c r="G78" i="4"/>
  <c r="J81" i="4"/>
  <c r="B6263" i="106"/>
  <c r="D6263" i="106" s="1"/>
  <c r="J82" i="4" l="1"/>
  <c r="B6266" i="106"/>
  <c r="D6266" i="106" s="1"/>
  <c r="D64" i="36"/>
  <c r="D82" i="4"/>
  <c r="C11" i="146"/>
  <c r="B1644" i="106"/>
  <c r="D1644" i="106" s="1"/>
  <c r="D58" i="36"/>
  <c r="B3262" i="106"/>
  <c r="D3262" i="106" s="1"/>
  <c r="G81" i="4"/>
  <c r="B6269" i="106"/>
  <c r="D6269" i="106" s="1"/>
  <c r="E83" i="4"/>
  <c r="B6278" i="106" s="1"/>
  <c r="D6278" i="106" s="1"/>
  <c r="K82" i="4"/>
  <c r="D65" i="36"/>
  <c r="B3591" i="106"/>
  <c r="D3591" i="106" s="1"/>
  <c r="O16" i="118"/>
  <c r="J20" i="118"/>
  <c r="K20" i="118"/>
  <c r="B6273" i="106"/>
  <c r="D6273" i="106" s="1"/>
  <c r="I83" i="4"/>
  <c r="B6282" i="106" s="1"/>
  <c r="D6282" i="106" s="1"/>
  <c r="D62" i="36"/>
  <c r="B1700" i="106"/>
  <c r="D1700" i="106" s="1"/>
  <c r="H82" i="4"/>
  <c r="B3233" i="106"/>
  <c r="D3233" i="106" s="1"/>
  <c r="C81" i="4"/>
  <c r="A7254" i="106"/>
  <c r="D7253" i="106"/>
  <c r="B1672" i="106"/>
  <c r="D1672" i="106" s="1"/>
  <c r="F82" i="4"/>
  <c r="D60" i="36"/>
  <c r="D11" i="146"/>
  <c r="A7255" i="106" l="1"/>
  <c r="D7254" i="106"/>
  <c r="B6270" i="106"/>
  <c r="D6270" i="106" s="1"/>
  <c r="F83" i="4"/>
  <c r="B6279" i="106" s="1"/>
  <c r="D6279" i="106" s="1"/>
  <c r="H12" i="118"/>
  <c r="K12" i="118" s="1"/>
  <c r="O11" i="118" s="1"/>
  <c r="O13" i="118" s="1"/>
  <c r="B11" i="146"/>
  <c r="F11" i="146" s="1"/>
  <c r="D57" i="36"/>
  <c r="J16" i="37"/>
  <c r="B4269" i="106" s="1"/>
  <c r="D4269" i="106" s="1"/>
  <c r="C82" i="4"/>
  <c r="B1630" i="106"/>
  <c r="D1630" i="106" s="1"/>
  <c r="B6272" i="106"/>
  <c r="D6272" i="106" s="1"/>
  <c r="H83" i="4"/>
  <c r="B6281" i="106" s="1"/>
  <c r="D6281" i="106" s="1"/>
  <c r="B6275" i="106"/>
  <c r="D6275" i="106" s="1"/>
  <c r="K83" i="4"/>
  <c r="B6284" i="106" s="1"/>
  <c r="D6284" i="106" s="1"/>
  <c r="B6268" i="106"/>
  <c r="D6268" i="106" s="1"/>
  <c r="D83" i="4"/>
  <c r="B6277" i="106" s="1"/>
  <c r="D6277" i="106" s="1"/>
  <c r="O17" i="118"/>
  <c r="O20" i="118" s="1"/>
  <c r="G82" i="4"/>
  <c r="B1686" i="106"/>
  <c r="D1686" i="106" s="1"/>
  <c r="D61" i="36"/>
  <c r="B6274" i="106"/>
  <c r="D6274" i="106" s="1"/>
  <c r="J83" i="4"/>
  <c r="B6283" i="106" s="1"/>
  <c r="D6283" i="106" s="1"/>
  <c r="B6267" i="106" l="1"/>
  <c r="D6267" i="106" s="1"/>
  <c r="C83" i="4"/>
  <c r="B6276" i="106" s="1"/>
  <c r="D6276" i="106" s="1"/>
  <c r="C12" i="146"/>
  <c r="D29" i="36"/>
  <c r="J24" i="24" s="1"/>
  <c r="B6271" i="106"/>
  <c r="D6271" i="106" s="1"/>
  <c r="G83" i="4"/>
  <c r="B6280" i="106" s="1"/>
  <c r="D6280" i="106" s="1"/>
  <c r="O35" i="118"/>
  <c r="O37" i="118" s="1"/>
  <c r="D7255" i="106"/>
  <c r="A7256" i="106"/>
  <c r="A7257" i="106" l="1"/>
  <c r="D7256" i="106"/>
  <c r="A7258" i="106" l="1"/>
  <c r="D7257" i="106"/>
  <c r="D7258" i="106" l="1"/>
  <c r="A7259" i="106"/>
  <c r="D7259" i="106" l="1"/>
  <c r="A7260" i="106"/>
  <c r="A7261" i="106" l="1"/>
  <c r="D7260" i="106"/>
  <c r="A7262" i="106" l="1"/>
  <c r="D7261" i="106"/>
  <c r="D7262" i="106" l="1"/>
  <c r="A7263" i="106"/>
  <c r="D7263" i="106" l="1"/>
  <c r="A7264"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D7355" i="106" l="1"/>
  <c r="A7356" i="106"/>
  <c r="D7356" i="106" l="1"/>
  <c r="A7357" i="106"/>
  <c r="D7357" i="106" l="1"/>
  <c r="A7358" i="106"/>
  <c r="D7358" i="106" l="1"/>
  <c r="A7359" i="106"/>
  <c r="D7359" i="106" l="1"/>
  <c r="A7360" i="106"/>
  <c r="D7360" i="106" l="1"/>
  <c r="A7361" i="106"/>
  <c r="D7361" i="106" l="1"/>
  <c r="A7362" i="106"/>
  <c r="D7362" i="106" l="1"/>
  <c r="A7363" i="106"/>
  <c r="D7363" i="106" l="1"/>
  <c r="A7364" i="106"/>
  <c r="D7364" i="106" l="1"/>
  <c r="A7365" i="106"/>
  <c r="D7365" i="106" l="1"/>
  <c r="A7366" i="106"/>
  <c r="D7366" i="106" l="1"/>
  <c r="A7367" i="106"/>
  <c r="D7367" i="106" l="1"/>
  <c r="A7368" i="106"/>
  <c r="D7368" i="106" l="1"/>
  <c r="A7369" i="106"/>
  <c r="D7369" i="106" l="1"/>
  <c r="A7370" i="106"/>
  <c r="D7370" i="106" l="1"/>
  <c r="A7371" i="106"/>
  <c r="D7371" i="106" l="1"/>
  <c r="A7372" i="106"/>
  <c r="D7372" i="106" l="1"/>
  <c r="A7373" i="106"/>
  <c r="D7373" i="106" l="1"/>
  <c r="A7374" i="106"/>
  <c r="D7374" i="106" l="1"/>
  <c r="A7375" i="106"/>
  <c r="D7375" i="106" l="1"/>
  <c r="A7376" i="106"/>
  <c r="D7376" i="106" l="1"/>
  <c r="A7377" i="106"/>
  <c r="D7377" i="106" l="1"/>
  <c r="A7378" i="106"/>
  <c r="D7378" i="106" l="1"/>
  <c r="A7379" i="106"/>
  <c r="D7379" i="106" l="1"/>
  <c r="A7380" i="106"/>
  <c r="D7380" i="106" l="1"/>
  <c r="A7381" i="106"/>
  <c r="D7381" i="106" l="1"/>
  <c r="A7382" i="106"/>
  <c r="D7382" i="106" l="1"/>
  <c r="A7383" i="106"/>
  <c r="D7383" i="106" l="1"/>
  <c r="A7384" i="106"/>
  <c r="D7384" i="106" l="1"/>
  <c r="A7385" i="106"/>
  <c r="D7385" i="106" l="1"/>
  <c r="A7386" i="106"/>
  <c r="D7386" i="106" l="1"/>
  <c r="A7387" i="106"/>
  <c r="D7387" i="106" l="1"/>
  <c r="A7388" i="106"/>
  <c r="D7388" i="106" l="1"/>
  <c r="A7389" i="106"/>
  <c r="D7389" i="106" l="1"/>
  <c r="A7390" i="106"/>
  <c r="D7390" i="106" l="1"/>
  <c r="A7391" i="106"/>
  <c r="D7391" i="106" l="1"/>
  <c r="A7392" i="106"/>
  <c r="D7392" i="106" l="1"/>
  <c r="A7393" i="106"/>
  <c r="D7393" i="106" l="1"/>
  <c r="A7394" i="106"/>
  <c r="D7394" i="106" l="1"/>
  <c r="A7395" i="106"/>
  <c r="D7395" i="106" l="1"/>
  <c r="A7396" i="106"/>
  <c r="D7396" i="106" l="1"/>
  <c r="A7397" i="106"/>
  <c r="D7397" i="106" l="1"/>
  <c r="A7398" i="106"/>
  <c r="D7398" i="106" l="1"/>
  <c r="A7399" i="106"/>
  <c r="D7399" i="106" l="1"/>
  <c r="A7400" i="106"/>
  <c r="D7400" i="106" l="1"/>
  <c r="A7401" i="106"/>
  <c r="D7401" i="106" l="1"/>
  <c r="A7402" i="106"/>
  <c r="D7402" i="106" l="1"/>
  <c r="A7403" i="106"/>
  <c r="D7403" i="106" l="1"/>
  <c r="A7404" i="106"/>
  <c r="D7404" i="106" l="1"/>
  <c r="A7405" i="106"/>
  <c r="D7405" i="106" l="1"/>
  <c r="A7406" i="106"/>
  <c r="D7406" i="106" l="1"/>
  <c r="A7407" i="106"/>
  <c r="D7407" i="106" l="1"/>
  <c r="A7408" i="106"/>
  <c r="D7408" i="106" l="1"/>
  <c r="A7409" i="106"/>
  <c r="D7409" i="106" l="1"/>
  <c r="A7410" i="106"/>
  <c r="D7410" i="106" l="1"/>
  <c r="A7411" i="106"/>
  <c r="D7411" i="106" l="1"/>
  <c r="A7412" i="106"/>
  <c r="D7412" i="106" l="1"/>
  <c r="A7413" i="106"/>
  <c r="D7413" i="106" l="1"/>
  <c r="A7414" i="106"/>
  <c r="D7414" i="106" l="1"/>
  <c r="A7415" i="106"/>
  <c r="D7415" i="106" l="1"/>
  <c r="A7416" i="106"/>
  <c r="D7416" i="106" l="1"/>
  <c r="A7417" i="106"/>
  <c r="D7417" i="106" l="1"/>
  <c r="A7418" i="106"/>
  <c r="D7418" i="106" l="1"/>
  <c r="A7419" i="106"/>
  <c r="D7419" i="106" l="1"/>
  <c r="A7420" i="106"/>
  <c r="D7420" i="106" l="1"/>
  <c r="A7421" i="106"/>
  <c r="D7421" i="106" l="1"/>
  <c r="A7422" i="106"/>
  <c r="D7422" i="106" l="1"/>
  <c r="A7423" i="106"/>
  <c r="D7423" i="106" l="1"/>
  <c r="A7424" i="106"/>
  <c r="D7424" i="106" l="1"/>
  <c r="A7425" i="106"/>
  <c r="D7425" i="106" l="1"/>
  <c r="A7426" i="106"/>
  <c r="D7426" i="106" l="1"/>
  <c r="A7427" i="106"/>
  <c r="D7427" i="106" l="1"/>
  <c r="A7428" i="106"/>
  <c r="D7428" i="106" l="1"/>
  <c r="A7429" i="106"/>
  <c r="D7429" i="106" l="1"/>
  <c r="A7430" i="106"/>
  <c r="D7430" i="106" l="1"/>
  <c r="A7431" i="106"/>
  <c r="D7431" i="106" l="1"/>
  <c r="A7432" i="106"/>
  <c r="D7432" i="106" l="1"/>
  <c r="A7433" i="106"/>
  <c r="D7433" i="106" l="1"/>
  <c r="A7434" i="106"/>
  <c r="D7434" i="106" l="1"/>
  <c r="A7435" i="106"/>
  <c r="D7435" i="106" l="1"/>
  <c r="A7436" i="106"/>
  <c r="D7436" i="106" l="1"/>
  <c r="A7437" i="106"/>
  <c r="D7437" i="106" l="1"/>
  <c r="A7438" i="106"/>
  <c r="D7438" i="106" l="1"/>
  <c r="A7439" i="106"/>
  <c r="D7439" i="106" l="1"/>
  <c r="A7440" i="106"/>
  <c r="D7440" i="106" l="1"/>
  <c r="A7441" i="106"/>
  <c r="D7441" i="106" l="1"/>
  <c r="A7442" i="106"/>
  <c r="D7442" i="106" l="1"/>
  <c r="A7443" i="106"/>
  <c r="D7443" i="106" l="1"/>
  <c r="A7444" i="106"/>
  <c r="D7444" i="106" l="1"/>
  <c r="A7445" i="106"/>
  <c r="D7445" i="106" l="1"/>
  <c r="A7446" i="106"/>
  <c r="D7446" i="106" l="1"/>
  <c r="A7447" i="106"/>
  <c r="D7447" i="106" l="1"/>
  <c r="A7448" i="106"/>
  <c r="D7448" i="106" l="1"/>
  <c r="A7449" i="106"/>
  <c r="D7449" i="106" l="1"/>
  <c r="A7450" i="106"/>
  <c r="D7450" i="106" l="1"/>
  <c r="A7451" i="106"/>
  <c r="D7451" i="106" l="1"/>
  <c r="A7452" i="106"/>
  <c r="D7452" i="106" l="1"/>
  <c r="A7453" i="106"/>
  <c r="D7453" i="106" l="1"/>
  <c r="A7454" i="106"/>
  <c r="D7454" i="106" l="1"/>
  <c r="A7455" i="106"/>
  <c r="D7455" i="106" l="1"/>
  <c r="A7456" i="106"/>
  <c r="D7456" i="106" l="1"/>
  <c r="A7457" i="106"/>
  <c r="D7457" i="106" l="1"/>
  <c r="A7458" i="106"/>
  <c r="D7458" i="106" l="1"/>
  <c r="A7459" i="106"/>
  <c r="D7459" i="106" l="1"/>
  <c r="A7460" i="106"/>
  <c r="D7460" i="106" l="1"/>
  <c r="A7461" i="106"/>
  <c r="D7461" i="106" l="1"/>
  <c r="A7462" i="106"/>
  <c r="D7462" i="106" l="1"/>
  <c r="A7463" i="106"/>
  <c r="D7463" i="106" l="1"/>
  <c r="A7464" i="106"/>
  <c r="D7464" i="106" l="1"/>
  <c r="A7465" i="106"/>
  <c r="D7465" i="106" l="1"/>
  <c r="A7466" i="106"/>
  <c r="D7466" i="106" l="1"/>
  <c r="A7467" i="106"/>
  <c r="D7467" i="106" l="1"/>
  <c r="A7468" i="106"/>
  <c r="D7468" i="106" l="1"/>
  <c r="A7469" i="106"/>
  <c r="D7469" i="106" l="1"/>
  <c r="A7470" i="106"/>
  <c r="D7470" i="106" l="1"/>
  <c r="A7471" i="106"/>
  <c r="D7471" i="106" l="1"/>
  <c r="A7472" i="106"/>
  <c r="D7472" i="106" l="1"/>
  <c r="A7473" i="106"/>
  <c r="D7473" i="106" l="1"/>
  <c r="A7474" i="106"/>
  <c r="D7474" i="106" l="1"/>
  <c r="A7475" i="106"/>
  <c r="D7475" i="106" l="1"/>
  <c r="A7476" i="106"/>
  <c r="D7476" i="106" l="1"/>
  <c r="A7477" i="106"/>
  <c r="D7477" i="106" l="1"/>
  <c r="A7478" i="106"/>
  <c r="D7478" i="106" l="1"/>
  <c r="A7479" i="106"/>
  <c r="D7479" i="106" l="1"/>
  <c r="A7480" i="106"/>
  <c r="D7480" i="106" l="1"/>
  <c r="A7481" i="106"/>
  <c r="D7481" i="106" l="1"/>
  <c r="A7482" i="106"/>
  <c r="D7482" i="106" l="1"/>
  <c r="A7483" i="106"/>
  <c r="D7483" i="106" l="1"/>
  <c r="A7484" i="106"/>
  <c r="D7484" i="106" l="1"/>
  <c r="A7485" i="106"/>
  <c r="D7485" i="106" l="1"/>
  <c r="A7486" i="106"/>
  <c r="D7486" i="106" l="1"/>
  <c r="A7487" i="106"/>
  <c r="D7487" i="106" l="1"/>
  <c r="A7488" i="106"/>
  <c r="D7488" i="106" l="1"/>
  <c r="A7489" i="106"/>
  <c r="D7489" i="106" l="1"/>
  <c r="A7490" i="106"/>
  <c r="D7490" i="106" l="1"/>
  <c r="A7491" i="106"/>
  <c r="D7491" i="106" l="1"/>
  <c r="A7492" i="106"/>
  <c r="D7492" i="106" l="1"/>
  <c r="A7493" i="106"/>
  <c r="D7493" i="106" l="1"/>
  <c r="A7494" i="106"/>
  <c r="D7494" i="106" l="1"/>
  <c r="A7495" i="106"/>
  <c r="D7495" i="106" l="1"/>
  <c r="A7496" i="106"/>
  <c r="D7496" i="106" l="1"/>
  <c r="A7497" i="106"/>
  <c r="D7497" i="106" l="1"/>
  <c r="A7498" i="106"/>
  <c r="D7498" i="106" l="1"/>
  <c r="A7499" i="106"/>
  <c r="D7499" i="106" l="1"/>
  <c r="A7500" i="106"/>
  <c r="D7500" i="106" l="1"/>
  <c r="A7501" i="106"/>
  <c r="D7501" i="106" l="1"/>
  <c r="A7502" i="106"/>
  <c r="D7502" i="106" l="1"/>
  <c r="A7503" i="106"/>
  <c r="D7503" i="106" l="1"/>
  <c r="A7504" i="106"/>
  <c r="D7504" i="106" l="1"/>
  <c r="A7505" i="106"/>
  <c r="D7505" i="106" l="1"/>
  <c r="A7506" i="106"/>
  <c r="D7506" i="106" l="1"/>
  <c r="A7507" i="106"/>
  <c r="D7507" i="106" l="1"/>
  <c r="A7508" i="106"/>
  <c r="D7508" i="106" l="1"/>
  <c r="A7509" i="106"/>
  <c r="D7509" i="106" l="1"/>
  <c r="A7510" i="106"/>
  <c r="D7510" i="106" l="1"/>
  <c r="A7511" i="106"/>
  <c r="D7511" i="106" l="1"/>
  <c r="A7512" i="106"/>
  <c r="D7512" i="106" l="1"/>
  <c r="A7513" i="106"/>
  <c r="D7513" i="106" l="1"/>
  <c r="A7514" i="106"/>
  <c r="D7514" i="106" l="1"/>
  <c r="A7515" i="106"/>
  <c r="D7515" i="106" l="1"/>
  <c r="A7516" i="106"/>
  <c r="D7516" i="106" l="1"/>
  <c r="A7517" i="106"/>
  <c r="D7517" i="106" l="1"/>
  <c r="A7518" i="106"/>
  <c r="D7518" i="106" l="1"/>
  <c r="A7519" i="106"/>
  <c r="D7519" i="106" l="1"/>
  <c r="A7520" i="106"/>
  <c r="D7520" i="106" l="1"/>
  <c r="A7521" i="106"/>
  <c r="D7521" i="106" l="1"/>
  <c r="A7522" i="106"/>
  <c r="D7522" i="106" l="1"/>
  <c r="A7523" i="106"/>
  <c r="D7523" i="106" l="1"/>
  <c r="A7524" i="106"/>
  <c r="D7524" i="106" l="1"/>
  <c r="A7525" i="106"/>
  <c r="D7525" i="106" l="1"/>
  <c r="A7526" i="106"/>
  <c r="D7526" i="106" l="1"/>
  <c r="A7527" i="106"/>
  <c r="D7527" i="106" l="1"/>
  <c r="A7528" i="106"/>
  <c r="D7528" i="106" l="1"/>
  <c r="A7529" i="106"/>
  <c r="D7529" i="106" l="1"/>
  <c r="A7530" i="106"/>
  <c r="D7530" i="106" l="1"/>
  <c r="A7531" i="106"/>
  <c r="D7531" i="106" l="1"/>
  <c r="A7532" i="106"/>
  <c r="D7532" i="106" l="1"/>
  <c r="A7533" i="106"/>
  <c r="D7533" i="106" l="1"/>
  <c r="A7534" i="106"/>
  <c r="D7534" i="106" l="1"/>
  <c r="A7535" i="106"/>
  <c r="D7535" i="106" l="1"/>
  <c r="A7536" i="106"/>
  <c r="D7536" i="106" l="1"/>
  <c r="A7537" i="106"/>
  <c r="D7537" i="106" l="1"/>
  <c r="A7538" i="106"/>
  <c r="D7538" i="106" l="1"/>
  <c r="A7539" i="106"/>
  <c r="D7539" i="106" l="1"/>
  <c r="A7540" i="106"/>
  <c r="D7540" i="106" l="1"/>
  <c r="A7541" i="106"/>
  <c r="D7541" i="106" l="1"/>
  <c r="A7542" i="106"/>
  <c r="D7542" i="106" l="1"/>
  <c r="A7543" i="106"/>
  <c r="D7543" i="106" l="1"/>
  <c r="A7544" i="106"/>
  <c r="D7544" i="106" l="1"/>
  <c r="A7545" i="106"/>
  <c r="D7545" i="106" l="1"/>
  <c r="A7546" i="106"/>
  <c r="D7546" i="106" l="1"/>
  <c r="A7547" i="106"/>
  <c r="D7547" i="106" l="1"/>
  <c r="A7548" i="106"/>
  <c r="D7548" i="106" l="1"/>
  <c r="A7549" i="106"/>
  <c r="D7549" i="106" l="1"/>
  <c r="A7550" i="106"/>
  <c r="D7550" i="106" l="1"/>
  <c r="A7551" i="106"/>
  <c r="D7551" i="106" l="1"/>
  <c r="A7552" i="106"/>
  <c r="D7552" i="106" l="1"/>
  <c r="A7553" i="106"/>
  <c r="D7553" i="106" l="1"/>
  <c r="A7554" i="106"/>
  <c r="D7554" i="106" l="1"/>
  <c r="A7555" i="106"/>
  <c r="D7555" i="106" l="1"/>
  <c r="A7556" i="106"/>
  <c r="D7556" i="106" l="1"/>
  <c r="A7557" i="106"/>
  <c r="D7557" i="106" l="1"/>
  <c r="A7558" i="106"/>
  <c r="D7558" i="106" l="1"/>
  <c r="A7559" i="106"/>
  <c r="D7559" i="106" l="1"/>
  <c r="A7560" i="106"/>
  <c r="D7560" i="106" l="1"/>
  <c r="A7561" i="106"/>
  <c r="D7561" i="106" l="1"/>
  <c r="A7562" i="106"/>
  <c r="D7562" i="106" l="1"/>
  <c r="A7563" i="106"/>
  <c r="D7563" i="106" l="1"/>
  <c r="A7564" i="106"/>
  <c r="D7564" i="106" l="1"/>
  <c r="A7565" i="106"/>
  <c r="D7565" i="106" l="1"/>
  <c r="A7566" i="106"/>
  <c r="D7566" i="106" l="1"/>
  <c r="A7567" i="106"/>
  <c r="D7567" i="106" l="1"/>
  <c r="A7568" i="106"/>
  <c r="D7568" i="106" l="1"/>
  <c r="A7569" i="106"/>
  <c r="D7569" i="106" l="1"/>
  <c r="A7570" i="106"/>
  <c r="D7570" i="106" l="1"/>
  <c r="A7571" i="106"/>
  <c r="D7571" i="106" l="1"/>
  <c r="A7572" i="106"/>
  <c r="D7572" i="106" l="1"/>
  <c r="A7573" i="106"/>
  <c r="D7573" i="106" l="1"/>
  <c r="A7574" i="106"/>
  <c r="D7574" i="106" l="1"/>
  <c r="A7575" i="106"/>
  <c r="D7575" i="106" l="1"/>
  <c r="A7576" i="106"/>
  <c r="D7576" i="106" l="1"/>
  <c r="A7577" i="106"/>
  <c r="D7577" i="106" l="1"/>
  <c r="A7578" i="106"/>
  <c r="D7578" i="106" l="1"/>
  <c r="A7579" i="106"/>
  <c r="D7579" i="106" l="1"/>
  <c r="A7580" i="106"/>
  <c r="D7580" i="106" l="1"/>
  <c r="A7581" i="106"/>
  <c r="D7581" i="106" l="1"/>
  <c r="A7582" i="106"/>
  <c r="D7582" i="106" l="1"/>
  <c r="A7583" i="106"/>
  <c r="D7583" i="106" l="1"/>
  <c r="A7584" i="106"/>
  <c r="D7584" i="106" l="1"/>
  <c r="A7585" i="106"/>
  <c r="D7585" i="106" l="1"/>
  <c r="A7586" i="106"/>
  <c r="D7586" i="106" l="1"/>
  <c r="A7587" i="106"/>
  <c r="D7587" i="106" l="1"/>
  <c r="A7588" i="106"/>
  <c r="D7588" i="106" l="1"/>
  <c r="A7589" i="106"/>
  <c r="D7589" i="106" l="1"/>
  <c r="A7590" i="106"/>
  <c r="D7590" i="106" l="1"/>
  <c r="A7591" i="106"/>
  <c r="D7591" i="106" l="1"/>
  <c r="A7592" i="106"/>
  <c r="D7592" i="106" l="1"/>
  <c r="A7593" i="106"/>
  <c r="D7593" i="106" l="1"/>
  <c r="A7594" i="106"/>
  <c r="D7594" i="106" l="1"/>
  <c r="A7595" i="106"/>
  <c r="D7595" i="106" l="1"/>
  <c r="A7596" i="106"/>
  <c r="D7596" i="106" l="1"/>
  <c r="A7597" i="106"/>
  <c r="D7597" i="106" l="1"/>
  <c r="A7598" i="106"/>
  <c r="D7598" i="106" l="1"/>
  <c r="A7599" i="106"/>
  <c r="D7599" i="106" l="1"/>
  <c r="A7600" i="106"/>
  <c r="A7601" i="106" l="1"/>
  <c r="D7600" i="106"/>
  <c r="D7601" i="106" l="1"/>
  <c r="A7602" i="106"/>
  <c r="D7602" i="106" l="1"/>
  <c r="A7603" i="106"/>
  <c r="D7603" i="106" l="1"/>
  <c r="A7604" i="106"/>
  <c r="D7604" i="106" l="1"/>
  <c r="A7605" i="106"/>
  <c r="D7605" i="106" l="1"/>
  <c r="A7606" i="106"/>
  <c r="D7606" i="106" l="1"/>
  <c r="A7607" i="106"/>
  <c r="D7607" i="106" l="1"/>
  <c r="A7608" i="106"/>
  <c r="D7608" i="106" l="1"/>
  <c r="A7609" i="106"/>
  <c r="D7609" i="106" l="1"/>
  <c r="A7610" i="106"/>
  <c r="D7610" i="106" l="1"/>
  <c r="A7611" i="106"/>
  <c r="D7611" i="106" l="1"/>
  <c r="A7612" i="106"/>
  <c r="D7612" i="106" l="1"/>
  <c r="A7613" i="106"/>
  <c r="D7613" i="106" l="1"/>
  <c r="A7614" i="106"/>
  <c r="D7614" i="106" l="1"/>
  <c r="A7615" i="106"/>
  <c r="D7615" i="106" l="1"/>
  <c r="A7616" i="106"/>
  <c r="D7616" i="106" l="1"/>
  <c r="A7617" i="106"/>
  <c r="D7617" i="106" l="1"/>
  <c r="A7618" i="106"/>
  <c r="D7618" i="106" l="1"/>
  <c r="A7619" i="106"/>
  <c r="D7619" i="106" l="1"/>
  <c r="A7620" i="106"/>
  <c r="D7620" i="106" l="1"/>
  <c r="A7621" i="106"/>
  <c r="D7621" i="106" l="1"/>
  <c r="A7622" i="106"/>
  <c r="D7622" i="106" l="1"/>
  <c r="A7623" i="106"/>
  <c r="D7623" i="106" l="1"/>
  <c r="A7624" i="106"/>
  <c r="A7625" i="106" l="1"/>
  <c r="D7624" i="106"/>
  <c r="A7626" i="106" l="1"/>
  <c r="A7627" i="106" s="1"/>
  <c r="A7628" i="106" s="1"/>
  <c r="A7629" i="106" s="1"/>
  <c r="A7630" i="106" s="1"/>
  <c r="A7631" i="106" s="1"/>
  <c r="D7625" i="106"/>
  <c r="A7632" i="106" l="1"/>
  <c r="A7633" i="106" s="1"/>
  <c r="A7634" i="106" s="1"/>
  <c r="A7635" i="106" s="1"/>
  <c r="D7631" i="106"/>
  <c r="D7635" i="106" l="1"/>
  <c r="A7636" i="106"/>
  <c r="D7636" i="106" l="1"/>
  <c r="A7637" i="106"/>
  <c r="D7637" i="106" l="1"/>
  <c r="A7638" i="106"/>
  <c r="D7638" i="106" l="1"/>
  <c r="A7639" i="106"/>
  <c r="D7639" i="106" l="1"/>
  <c r="A7640" i="106"/>
  <c r="D7640" i="106" l="1"/>
  <c r="A7641" i="106"/>
  <c r="D7641" i="106" l="1"/>
  <c r="A7642" i="106"/>
  <c r="D7642" i="106" l="1"/>
  <c r="A7643" i="106"/>
  <c r="D7643" i="106" l="1"/>
  <c r="A7644" i="106"/>
  <c r="D7644" i="106" l="1"/>
  <c r="A7645" i="106"/>
  <c r="D7645" i="106" l="1"/>
  <c r="A7646" i="106"/>
  <c r="D7646" i="106" l="1"/>
  <c r="A7647" i="106"/>
  <c r="D7647" i="106" l="1"/>
  <c r="A7648" i="106"/>
  <c r="D7648" i="106" l="1"/>
  <c r="A7649"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<sst xmlns="http://schemas.openxmlformats.org/spreadsheetml/2006/main" count="5250" uniqueCount="2175">
  <si>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</si>
  <si>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</si>
  <si>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</si>
  <si>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</si>
  <si>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</si>
  <si>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</si>
  <si>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</si>
  <si>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</si>
  <si>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</si>
  <si>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</si>
  <si>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</si>
  <si>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</si>
  <si>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</si>
  <si>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</si>
  <si>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</si>
  <si>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</si>
  <si>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</si>
  <si>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</si>
  <si>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</si>
  <si>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</si>
  <si>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</si>
  <si>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</si>
  <si>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</si>
  <si>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</si>
  <si>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</si>
  <si>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</si>
  <si>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</si>
  <si>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</si>
  <si>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</si>
  <si>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</si>
  <si>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</si>
  <si>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</si>
  <si>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</si>
  <si>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</si>
  <si>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</si>
  <si>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</si>
  <si>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</si>
  <si>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</si>
  <si>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</si>
  <si>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</si>
  <si>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</si>
  <si>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</si>
  <si>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</si>
  <si>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</si>
  <si>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</si>
  <si>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</si>
  <si>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</si>
  <si>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</si>
  <si>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</si>
  <si>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</si>
  <si>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</si>
  <si>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</si>
  <si>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</si>
  <si>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</si>
  <si>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</si>
  <si>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</si>
  <si>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</si>
  <si>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</si>
  <si>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</si>
  <si>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</si>
  <si>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</si>
  <si>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</si>
  <si>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</si>
  <si>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</si>
  <si>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</si>
  <si>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</si>
  <si>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</si>
  <si>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</si>
  <si>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</si>
  <si>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</si>
  <si>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</si>
  <si>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</si>
  <si>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</si>
  <si>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</si>
  <si>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</si>
  <si>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</si>
  <si>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</si>
  <si>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</si>
  <si>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</si>
  <si>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</si>
  <si>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</si>
  <si>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</si>
  <si>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</si>
  <si>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</si>
  <si>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</si>
  <si>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</si>
  <si>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</si>
  <si>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</si>
  <si>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</si>
  <si>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</si>
  <si>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</si>
  <si>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</si>
  <si>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</si>
  <si>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</si>
  <si>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</si>
  <si>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</si>
  <si>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</si>
  <si>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</si>
  <si>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</si>
  <si>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</si>
  <si>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</si>
  <si>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</si>
  <si>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</si>
  <si>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</si>
  <si>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</si>
  <si>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</si>
  <si>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</si>
  <si>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</si>
  <si>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</si>
  <si>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</si>
  <si>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</si>
  <si>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</si>
  <si>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</si>
  <si>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</si>
  <si>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</si>
  <si>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</si>
  <si>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</si>
  <si>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</si>
  <si>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</si>
  <si>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</si>
  <si>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</si>
  <si>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</si>
  <si>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</si>
  <si>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</si>
  <si>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</si>
  <si>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</si>
  <si>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</si>
  <si>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</si>
  <si>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</si>
  <si>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</si>
  <si>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</si>
  <si>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</si>
  <si>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</si>
  <si>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</si>
  <si>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</si>
  <si>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</si>
  <si>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</si>
  <si>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</si>
  <si>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</si>
  <si>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</si>
  <si>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</si>
  <si>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</si>
  <si>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</si>
  <si>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</si>
  <si>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</si>
  <si>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</si>
  <si>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</si>
  <si>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</si>
  <si>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</si>
  <si>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</si>
  <si>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</si>
  <si>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</si>
  <si>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</si>
  <si>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</si>
  <si>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</si>
  <si>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</si>
  <si>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</si>
  <si>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</si>
  <si>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</si>
  <si>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</si>
  <si>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</si>
  <si>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</si>
  <si>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</si>
  <si>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</si>
  <si>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</si>
  <si>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</si>
  <si>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</si>
  <si>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</si>
  <si>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</si>
  <si>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</si>
  <si>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</si>
  <si>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</si>
  <si>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</si>
  <si>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</si>
  <si>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</si>
  <si>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</si>
  <si>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</si>
  <si>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</si>
  <si>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</si>
  <si>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</si>
  <si>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</si>
  <si>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</si>
  <si>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</si>
  <si>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</si>
  <si>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</si>
  <si>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</si>
  <si>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</si>
  <si>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</si>
  <si>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</si>
  <si>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</si>
  <si>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</si>
  <si>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</si>
  <si>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</si>
  <si>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</si>
  <si>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</si>
  <si>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</si>
  <si>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</si>
  <si>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</si>
  <si>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</si>
  <si>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</si>
  <si>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</si>
  <si>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</si>
  <si>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</si>
  <si>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</si>
  <si>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</si>
  <si>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</si>
  <si>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</si>
  <si>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</si>
  <si>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</si>
  <si>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</si>
  <si>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</si>
  <si>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</si>
  <si>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</si>
  <si>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</si>
  <si>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</si>
  <si>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</si>
  <si>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</si>
  <si>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</si>
  <si>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</si>
  <si>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</si>
  <si>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</si>
  <si>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</si>
  <si>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</si>
  <si>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</si>
  <si>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</si>
  <si>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</si>
  <si>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</si>
  <si>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</si>
  <si>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</si>
  <si>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</si>
  <si>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</si>
  <si>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</si>
  <si>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</si>
  <si>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</si>
  <si>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</si>
  <si>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</si>
  <si>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</si>
  <si>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</si>
  <si>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</si>
  <si>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</si>
  <si>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</si>
  <si>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</si>
  <si>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</si>
  <si>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</si>
  <si>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</si>
  <si>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</si>
  <si>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</si>
  <si>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</si>
  <si>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</si>
  <si>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</si>
  <si>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</si>
  <si>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</si>
  <si>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</si>
  <si>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</si>
  <si>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</si>
  <si>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</si>
  <si>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</si>
  <si>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</si>
  <si>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</si>
  <si>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</si>
  <si>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</si>
  <si>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</si>
  <si>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</si>
  <si>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</si>
  <si>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</si>
  <si>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</si>
  <si>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</si>
  <si>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</si>
  <si>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</si>
  <si>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</si>
  <si>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</si>
  <si>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</si>
  <si>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</si>
  <si>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</si>
  <si>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</si>
  <si>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</si>
  <si>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</si>
  <si>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</si>
  <si>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</si>
  <si>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</si>
  <si>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</si>
  <si>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</si>
  <si>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</si>
  <si>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</si>
  <si>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</si>
  <si>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</si>
  <si>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</si>
  <si>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</si>
  <si>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</si>
  <si>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</si>
  <si>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</si>
  <si>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</si>
  <si>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</si>
  <si>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</si>
  <si>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</si>
  <si>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</si>
  <si>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</si>
  <si>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</si>
  <si>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</si>
  <si>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</si>
  <si>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</si>
  <si>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</si>
  <si>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</si>
  <si>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</si>
  <si>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</si>
  <si>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</si>
  <si>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</si>
  <si>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</si>
  <si>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</si>
  <si>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</si>
  <si>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</si>
  <si>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</si>
  <si>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</si>
  <si>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</si>
  <si>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</si>
  <si>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</si>
  <si>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</si>
  <si>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</si>
  <si>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</si>
  <si>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</si>
  <si>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</si>
  <si>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</si>
  <si>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</si>
  <si>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</si>
  <si>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</si>
  <si>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</si>
  <si>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</si>
  <si>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</si>
  <si>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</si>
  <si>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</si>
  <si>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</si>
  <si>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</si>
  <si>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</si>
  <si>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</si>
  <si>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</si>
  <si>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</si>
  <si>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</si>
  <si>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</si>
  <si>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</si>
  <si>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</si>
  <si>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</si>
  <si>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</si>
  <si>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</si>
  <si>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</si>
  <si>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</si>
  <si>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</si>
  <si>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</si>
  <si>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</si>
  <si>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</si>
  <si>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</si>
  <si>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</si>
  <si>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</si>
  <si>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</si>
  <si>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</si>
  <si>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</si>
  <si>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</si>
  <si>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</si>
  <si>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</si>
  <si>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</si>
  <si>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</si>
  <si>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</si>
  <si>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</si>
  <si>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</si>
  <si>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</si>
  <si>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</si>
  <si>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</si>
  <si>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</si>
  <si>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</si>
  <si>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</si>
  <si>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</si>
  <si>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</si>
  <si>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</si>
  <si>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</si>
  <si>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</si>
  <si>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</si>
  <si>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</si>
  <si>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</si>
  <si>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</si>
  <si>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</si>
  <si>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</si>
  <si>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</si>
  <si>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</si>
  <si>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</si>
  <si>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</si>
  <si>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</si>
  <si>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</si>
  <si>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</si>
  <si>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</si>
  <si>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</si>
  <si>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</si>
  <si>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</si>
  <si>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</si>
  <si>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</si>
  <si>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</si>
  <si>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</si>
  <si>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</si>
  <si>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</si>
  <si>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</si>
  <si>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</si>
  <si>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</si>
  <si>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</si>
  <si>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</si>
  <si>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</si>
  <si>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</si>
  <si>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</si>
  <si>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</si>
  <si>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</si>
  <si>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</si>
  <si>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</si>
  <si>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</si>
  <si>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</si>
  <si>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</si>
  <si>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</si>
  <si>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</si>
  <si>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</si>
  <si>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</si>
  <si>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</si>
  <si>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</si>
  <si>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</si>
  <si>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</si>
  <si>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</si>
  <si>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</si>
  <si>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</si>
  <si>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</si>
  <si>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</si>
  <si>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</si>
  <si>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</si>
  <si>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</si>
  <si>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</si>
  <si>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</si>
  <si>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</si>
  <si>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</si>
  <si>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</si>
  <si>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</si>
  <si>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</si>
  <si>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</si>
  <si>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</si>
  <si>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</si>
  <si>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</si>
  <si>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</si>
  <si>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</si>
  <si>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</si>
  <si>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</si>
  <si>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</si>
  <si>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</si>
  <si>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</si>
  <si>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</si>
  <si>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</si>
  <si>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</si>
  <si>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</si>
  <si>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</si>
  <si>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</si>
  <si>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</si>
  <si>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</si>
  <si>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</si>
  <si>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</si>
  <si>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</si>
  <si>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</si>
  <si>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</si>
  <si>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</si>
  <si>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</si>
  <si>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</si>
  <si>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</si>
  <si>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</si>
  <si>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</si>
  <si>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</si>
  <si>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</si>
  <si>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</si>
  <si>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</si>
  <si>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</si>
  <si>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</si>
  <si>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</si>
  <si>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</si>
  <si>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</si>
  <si>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</si>
  <si>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</si>
  <si>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</si>
  <si>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</si>
  <si>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</si>
  <si>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</si>
  <si>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</si>
  <si>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</si>
  <si>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</si>
  <si>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</si>
  <si>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</si>
  <si>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</si>
  <si>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</si>
  <si>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</si>
  <si>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</si>
  <si>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</si>
  <si>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</si>
  <si>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</si>
  <si>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</si>
  <si>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</si>
  <si>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</si>
  <si>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</si>
  <si>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</si>
  <si>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</si>
  <si>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</si>
  <si>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</si>
  <si>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</si>
  <si>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</si>
  <si>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</si>
  <si>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</si>
  <si>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</si>
  <si>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</si>
  <si>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</si>
  <si>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</si>
  <si>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</si>
  <si>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</si>
  <si>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</si>
  <si>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</si>
  <si>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</si>
  <si>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</si>
  <si>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</si>
  <si>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</si>
  <si>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</si>
  <si>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</si>
  <si>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</si>
  <si>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</si>
  <si>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</si>
  <si>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</si>
  <si>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</si>
  <si>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</si>
  <si>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</si>
  <si>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</si>
  <si>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</si>
  <si>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</si>
  <si>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</si>
  <si>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</si>
  <si>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</si>
  <si>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</si>
  <si>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</si>
  <si>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</si>
  <si>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</si>
  <si>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</si>
  <si>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</si>
  <si>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</si>
  <si>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</si>
  <si>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</si>
  <si>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</si>
  <si>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</si>
  <si>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</si>
  <si>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</si>
  <si>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</si>
  <si>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</si>
  <si>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</si>
  <si>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</si>
  <si>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</si>
  <si>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</si>
  <si>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</si>
  <si>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</si>
  <si>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</si>
  <si>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</si>
  <si>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</si>
  <si>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</si>
  <si>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</si>
  <si>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</si>
  <si>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</si>
  <si>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</si>
  <si>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</si>
  <si>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</si>
  <si>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</si>
  <si>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</si>
  <si>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</si>
  <si>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</si>
  <si>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</si>
  <si>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</si>
  <si>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</si>
  <si>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</si>
  <si>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</si>
  <si>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</si>
  <si>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</si>
  <si>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</si>
  <si>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</si>
  <si>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</si>
  <si>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</si>
  <si>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</si>
  <si>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</si>
  <si>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</si>
  <si>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</si>
  <si>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</si>
  <si>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</si>
  <si>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</si>
  <si>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</si>
  <si>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</si>
  <si>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</si>
  <si>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</si>
  <si>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</si>
  <si>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</si>
  <si>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</si>
  <si>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</si>
  <si>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</si>
  <si>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</si>
  <si>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</si>
  <si>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</si>
  <si>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</si>
  <si>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</si>
  <si>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</si>
  <si>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</si>
  <si>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</si>
  <si>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</si>
  <si>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</si>
  <si>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</si>
  <si>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</si>
  <si>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</si>
  <si>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</si>
  <si>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</si>
  <si>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</si>
  <si>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</si>
  <si>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</si>
  <si>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</si>
  <si>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</si>
  <si>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</si>
  <si>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</si>
  <si>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</si>
  <si>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</si>
  <si>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</si>
  <si>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</si>
  <si>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</si>
  <si>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</si>
  <si>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</si>
  <si>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</si>
  <si>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</si>
  <si>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</si>
  <si>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</si>
  <si>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</si>
  <si>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</si>
  <si>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</si>
  <si>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</si>
  <si>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</si>
  <si>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</si>
  <si>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</si>
  <si>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</si>
  <si>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</si>
  <si>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</si>
  <si>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</si>
  <si>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</si>
  <si>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</si>
  <si>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</si>
  <si>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</si>
  <si>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</si>
  <si>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</si>
  <si>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</si>
  <si>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</si>
  <si>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</si>
  <si>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</si>
  <si>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</si>
  <si>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</si>
  <si>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</si>
  <si>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</si>
  <si>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</si>
  <si>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</si>
  <si>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</si>
  <si>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</si>
  <si>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</si>
  <si>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</si>
  <si>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</si>
  <si>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</si>
  <si>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</si>
  <si>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</si>
  <si>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</si>
  <si>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</si>
  <si>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</si>
  <si>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</si>
  <si>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</si>
  <si>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</si>
  <si>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</si>
  <si>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</si>
  <si>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</si>
  <si>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</si>
  <si>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</si>
  <si>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</si>
  <si>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</si>
  <si>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</si>
  <si>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</si>
  <si>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</si>
  <si>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</si>
  <si>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</si>
  <si>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</si>
  <si>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</si>
  <si>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</si>
  <si>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</si>
  <si>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</si>
  <si>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</si>
  <si>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</si>
  <si>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</si>
  <si>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</si>
  <si>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</si>
  <si>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</si>
  <si>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</si>
  <si>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</si>
  <si>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</si>
  <si>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</si>
  <si>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</si>
  <si>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</si>
  <si>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</si>
  <si>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</si>
  <si>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</si>
  <si>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</si>
  <si>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</si>
  <si>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</si>
  <si>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</si>
  <si>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</si>
  <si>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</si>
  <si>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</si>
  <si>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</si>
  <si>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</si>
  <si>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</si>
  <si>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</si>
  <si>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</si>
  <si>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</si>
  <si>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</si>
  <si>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</si>
  <si>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</si>
  <si>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</si>
  <si>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</si>
  <si>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</si>
  <si>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</si>
  <si>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</si>
  <si>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</si>
  <si>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</si>
  <si>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</si>
  <si>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</si>
  <si>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</si>
  <si>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</si>
  <si>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</si>
  <si>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</si>
  <si>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</si>
  <si>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</si>
  <si>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</si>
  <si>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</si>
  <si>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</si>
  <si>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</si>
  <si>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</si>
  <si>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</si>
  <si>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</si>
  <si>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</si>
  <si>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</si>
  <si>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</si>
  <si>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</si>
  <si>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</si>
  <si>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</si>
  <si>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</si>
  <si>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</si>
  <si>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</si>
  <si>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</si>
  <si>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</si>
  <si>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</si>
  <si>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</si>
  <si>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</si>
  <si>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</si>
  <si>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</si>
  <si>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</si>
  <si>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</si>
  <si>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</si>
  <si>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</si>
  <si>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</si>
  <si>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</si>
  <si>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</si>
  <si>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</si>
  <si>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</si>
  <si>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</si>
  <si>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</si>
  <si>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</si>
  <si>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</si>
  <si>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</si>
  <si>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</si>
  <si>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</si>
  <si>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</si>
  <si>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</si>
  <si>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</si>
  <si>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</si>
  <si>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</si>
  <si>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</si>
  <si>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</si>
  <si>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</si>
  <si>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</si>
  <si>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</si>
  <si>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</si>
  <si>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</si>
  <si>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</si>
  <si>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</si>
  <si>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</si>
  <si>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</si>
  <si>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</si>
  <si>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</si>
  <si>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</si>
  <si>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</si>
  <si>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</si>
  <si>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</si>
  <si>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</si>
  <si>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</si>
  <si>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</si>
  <si>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</si>
  <si>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</si>
  <si>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</si>
  <si>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</si>
  <si>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</si>
  <si>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</si>
  <si>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</si>
  <si>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</si>
  <si>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</si>
  <si>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</si>
  <si>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</si>
  <si>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</si>
  <si>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</si>
  <si>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</si>
  <si>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</si>
  <si>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</si>
  <si>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</si>
  <si>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</si>
  <si>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</si>
  <si>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</si>
  <si>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</si>
  <si>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</si>
  <si>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</si>
  <si>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</si>
  <si>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</si>
  <si>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</si>
  <si>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</si>
  <si>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</si>
  <si>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</si>
  <si>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</si>
  <si>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</si>
  <si>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</si>
  <si>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</si>
  <si>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</si>
  <si>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</si>
  <si>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</si>
  <si>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</si>
  <si>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</si>
  <si>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</si>
  <si>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</si>
  <si>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</si>
  <si>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</si>
  <si>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</si>
  <si>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</si>
  <si>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</si>
  <si>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</si>
  <si>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</si>
  <si>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</si>
  <si>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</si>
  <si>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</si>
  <si>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</si>
  <si>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</si>
  <si>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</si>
  <si>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</si>
  <si>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</si>
  <si>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</si>
  <si>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</si>
  <si>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</si>
  <si>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</si>
  <si>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</si>
  <si>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</si>
  <si>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</si>
  <si>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</si>
  <si>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</si>
  <si>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</si>
  <si>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</si>
  <si>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</si>
  <si>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</si>
  <si>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</si>
  <si>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</si>
  <si>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</si>
  <si>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</si>
  <si>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</si>
  <si>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</si>
  <si>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</si>
  <si>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</si>
  <si>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</si>
  <si>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</si>
  <si>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</si>
  <si>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</si>
  <si>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</si>
  <si>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</si>
  <si>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</si>
  <si>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</si>
  <si>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</si>
  <si>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</si>
  <si>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</si>
  <si>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</si>
  <si>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</si>
  <si>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</si>
  <si>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</si>
  <si>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</si>
  <si>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</si>
  <si>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</si>
  <si>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</si>
  <si>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</si>
  <si>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</si>
  <si>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</si>
  <si>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</si>
  <si>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</si>
  <si>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</si>
  <si>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</si>
  <si>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</si>
  <si>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</si>
  <si>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</si>
  <si>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</si>
  <si>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</si>
  <si>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</si>
  <si>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</si>
  <si>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</si>
  <si>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</si>
  <si>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</si>
  <si>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</si>
  <si>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</si>
  <si>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</si>
  <si>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</si>
  <si>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</si>
  <si>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</si>
  <si>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</si>
  <si>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</si>
  <si>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</si>
  <si>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</si>
  <si>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</si>
  <si>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</si>
  <si>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</si>
  <si>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</si>
  <si>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</si>
  <si>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</si>
  <si>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</si>
  <si>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</si>
  <si>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</si>
  <si>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</si>
  <si>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</si>
  <si>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</si>
  <si>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</si>
  <si>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</si>
  <si>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</si>
  <si>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</si>
  <si>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</si>
  <si>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</si>
  <si>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</si>
  <si>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</si>
  <si>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</si>
  <si>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</si>
  <si>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</si>
  <si>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</si>
  <si>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</si>
  <si>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</si>
  <si>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</si>
  <si>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</si>
  <si>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</si>
  <si>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</si>
  <si>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</si>
  <si>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</si>
  <si>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</si>
  <si>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</si>
  <si>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</si>
  <si>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</si>
  <si>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</si>
  <si>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</si>
  <si>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</si>
  <si>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</si>
  <si>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</si>
  <si>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</si>
  <si>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</si>
  <si>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</si>
  <si>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</si>
  <si>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</si>
  <si>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</si>
  <si>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</si>
  <si>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</si>
  <si>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</si>
  <si>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</si>
  <si>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</si>
  <si>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</si>
  <si>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</si>
  <si>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</si>
  <si>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</si>
  <si>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</si>
  <si>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</si>
  <si>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</si>
  <si>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</si>
  <si>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</si>
  <si>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</si>
  <si>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</si>
  <si>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</si>
  <si>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</si>
  <si>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</si>
  <si>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</si>
  <si>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</si>
  <si>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</si>
  <si>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</si>
  <si>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</si>
  <si>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</si>
  <si>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</si>
  <si>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</si>
  <si>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</si>
  <si>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</si>
  <si>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</si>
  <si>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</si>
  <si>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</si>
  <si>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</si>
  <si>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</si>
  <si>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</si>
  <si>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</si>
  <si>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</si>
  <si>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</si>
  <si>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</si>
  <si>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</si>
  <si>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</si>
  <si>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</si>
  <si>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</si>
  <si>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</si>
  <si>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</si>
  <si>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</si>
  <si>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</si>
  <si>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</si>
  <si>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</si>
  <si>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</si>
  <si>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</si>
  <si>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</si>
  <si>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</si>
  <si>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</si>
  <si>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</si>
  <si>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</si>
  <si>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</si>
  <si>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</si>
  <si>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</si>
  <si>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</si>
  <si>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</si>
  <si>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</si>
  <si>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</si>
  <si>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</si>
  <si>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</si>
  <si>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</si>
  <si>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</si>
  <si>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</si>
  <si>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</si>
  <si>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</si>
  <si>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</si>
  <si>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</si>
  <si>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</si>
  <si>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</si>
  <si>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</si>
  <si>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</si>
  <si>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</si>
  <si>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</si>
  <si>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</si>
  <si>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</si>
  <si>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</si>
  <si>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</si>
  <si>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</si>
  <si>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</si>
  <si>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</si>
  <si>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</si>
  <si>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</si>
  <si>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</si>
  <si>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</si>
  <si>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</si>
  <si>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</si>
  <si>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</si>
  <si>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</si>
  <si>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</si>
  <si>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</si>
  <si>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</si>
  <si>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</si>
  <si>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</si>
  <si>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</si>
  <si>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</si>
  <si>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</si>
  <si>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</si>
  <si>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</si>
  <si>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</si>
  <si>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</si>
  <si>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</si>
  <si>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</si>
  <si>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</si>
  <si>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</si>
  <si>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</si>
  <si>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</si>
  <si>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</si>
  <si>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</si>
  <si>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</si>
  <si>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</si>
  <si>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</si>
  <si>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</si>
  <si>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</si>
  <si>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</si>
  <si>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</si>
  <si>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</si>
  <si>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</si>
  <si>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</si>
  <si>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</si>
  <si>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</si>
  <si>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</si>
  <si>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</si>
  <si>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</si>
  <si>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</si>
  <si>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</si>
  <si>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</si>
  <si>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</si>
  <si>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</si>
  <si>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</si>
  <si>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</si>
  <si>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</si>
  <si>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</si>
  <si>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</si>
  <si>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</si>
  <si>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</si>
  <si>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</si>
  <si>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</si>
  <si>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</si>
  <si>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</si>
  <si>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</si>
  <si>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</si>
  <si>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</si>
  <si>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</si>
  <si>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</si>
  <si>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</si>
  <si>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</si>
  <si>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</si>
  <si>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</si>
  <si>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</si>
  <si>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</si>
  <si>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</si>
  <si>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</si>
  <si>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</si>
  <si>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</si>
  <si>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</si>
  <si>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</si>
  <si>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</si>
  <si>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</si>
  <si>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</si>
  <si>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</si>
  <si>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</si>
  <si>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</si>
  <si>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</si>
  <si>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</si>
  <si>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</si>
  <si>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</si>
  <si>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</si>
  <si>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</si>
  <si>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</si>
  <si>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</si>
  <si>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</si>
  <si>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</si>
  <si>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</si>
  <si>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</si>
  <si>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</si>
  <si>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</si>
  <si>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</si>
  <si>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</si>
  <si>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</si>
  <si>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</si>
  <si>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</si>
  <si>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</si>
  <si>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</si>
  <si>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</si>
  <si>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</si>
  <si>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</si>
  <si>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</si>
  <si>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</si>
  <si>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</si>
  <si>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</si>
  <si>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</si>
  <si>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</si>
  <si>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</si>
  <si>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</si>
  <si>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</si>
  <si>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</si>
  <si>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</si>
  <si>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</si>
  <si>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</si>
  <si>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</si>
  <si>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</si>
  <si>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</si>
  <si>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</si>
  <si>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</si>
  <si>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</si>
  <si>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</si>
  <si>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</si>
  <si>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</si>
  <si>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</si>
  <si>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</si>
  <si>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</si>
  <si>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</si>
  <si>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</si>
  <si>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</si>
  <si>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</si>
  <si>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</si>
  <si>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</si>
  <si>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</si>
  <si>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</si>
  <si>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</si>
  <si>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</si>
  <si>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</si>
  <si>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</si>
  <si>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</si>
  <si>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</si>
  <si>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</si>
  <si>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</si>
  <si>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</si>
  <si>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</si>
  <si>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</si>
  <si>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</si>
  <si>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</si>
  <si>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</si>
  <si>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</si>
  <si>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</si>
  <si>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</si>
  <si>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</si>
  <si>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</si>
  <si>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</si>
  <si>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</si>
  <si>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</si>
  <si>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</si>
  <si>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</si>
  <si>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</si>
  <si>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</si>
  <si>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</si>
  <si>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</si>
  <si>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</si>
  <si>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</si>
  <si>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</si>
  <si>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</si>
  <si>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</si>
  <si>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</si>
  <si>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</si>
  <si>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</si>
  <si>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</si>
  <si>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</si>
  <si>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</si>
  <si>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</si>
  <si>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</si>
  <si>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</si>
  <si>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</si>
  <si>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</si>
  <si>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</si>
  <si>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</si>
  <si>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</si>
  <si>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</si>
  <si>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</si>
  <si>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</si>
  <si>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</si>
  <si>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</si>
  <si>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</si>
  <si>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</si>
  <si>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</si>
  <si>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</si>
  <si>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</si>
  <si>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</si>
  <si>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</si>
  <si>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</si>
  <si>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</si>
  <si>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</si>
  <si>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</si>
  <si>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</si>
  <si>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</si>
  <si>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</si>
  <si>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</si>
  <si>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</si>
  <si>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</si>
  <si>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</si>
  <si>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</si>
  <si>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</si>
  <si>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</si>
  <si>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</si>
  <si>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</si>
  <si>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</si>
  <si>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</si>
  <si>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</si>
  <si>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</si>
  <si>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</si>
  <si>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</si>
  <si>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</si>
  <si>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</si>
  <si>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</si>
  <si>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</si>
  <si>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</si>
  <si>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</si>
  <si>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</si>
  <si>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</si>
  <si>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</si>
  <si>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</si>
  <si>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</si>
  <si>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</si>
  <si>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</si>
  <si>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</si>
  <si>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</si>
  <si>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</si>
  <si>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</si>
  <si>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</si>
  <si>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</si>
  <si>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</si>
  <si>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</si>
  <si>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</si>
  <si>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</si>
  <si>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</si>
  <si>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</si>
  <si>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</si>
  <si>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</si>
  <si>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</si>
  <si>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</si>
  <si>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</si>
  <si>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</si>
  <si>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</si>
  <si>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</si>
  <si>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</si>
  <si>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</si>
  <si>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</si>
  <si>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</si>
  <si>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</si>
  <si>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</si>
  <si>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</si>
  <si>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</si>
  <si>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</si>
  <si>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</si>
  <si>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</si>
  <si>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</si>
  <si>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</si>
  <si>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</si>
  <si>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</si>
  <si>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</si>
  <si>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</si>
  <si>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</si>
  <si>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</si>
  <si>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</si>
  <si>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</si>
  <si>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</si>
  <si>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</si>
  <si>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</si>
  <si>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</si>
  <si>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</si>
  <si>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</si>
  <si>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</si>
  <si>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</si>
  <si>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</si>
  <si>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</si>
  <si>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</si>
  <si>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</si>
  <si>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</si>
  <si>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</si>
  <si>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</si>
  <si>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</si>
  <si>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</si>
  <si>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</si>
  <si>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</si>
  <si>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</si>
  <si>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</si>
  <si>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</si>
  <si>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</si>
  <si>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</si>
  <si>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</si>
  <si>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</si>
  <si>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</si>
  <si>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</si>
  <si>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</si>
  <si>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</si>
  <si>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</si>
  <si>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</si>
  <si>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</si>
  <si>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</si>
  <si>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</si>
  <si>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</si>
  <si>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</si>
  <si>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</si>
  <si>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</si>
  <si>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</si>
  <si>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</si>
  <si>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</si>
  <si>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</si>
  <si>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</si>
  <si>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</si>
  <si>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</si>
  <si>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</si>
  <si>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</si>
  <si>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</si>
  <si>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</si>
  <si>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</si>
  <si>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</si>
  <si>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</si>
  <si>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</si>
  <si>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</si>
  <si>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</si>
  <si>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</si>
  <si>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</si>
  <si>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</si>
  <si>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</si>
  <si>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</si>
  <si>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</si>
  <si>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</si>
  <si>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</si>
  <si>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</si>
  <si>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</si>
  <si>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</si>
  <si>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</si>
  <si>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</si>
  <si>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</si>
  <si>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</si>
  <si>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</si>
  <si>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</si>
  <si>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</si>
  <si>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</si>
  <si>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</si>
  <si>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</si>
  <si>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</si>
  <si>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</si>
  <si>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</si>
  <si>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</si>
  <si>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</si>
  <si>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</si>
  <si>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</si>
  <si>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</si>
  <si>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</si>
  <si>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</si>
  <si>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</si>
  <si>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</si>
  <si>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</si>
  <si>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</si>
  <si>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</si>
  <si>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</si>
  <si>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</si>
  <si>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</si>
  <si>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</si>
  <si>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</si>
  <si>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</si>
  <si>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</si>
  <si>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</si>
  <si>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</si>
  <si>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</si>
  <si>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</si>
  <si>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</si>
  <si>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</si>
  <si>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</si>
  <si>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</si>
  <si>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</si>
  <si>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</si>
  <si>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</si>
  <si>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</si>
  <si>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</si>
  <si>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</si>
  <si>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</si>
  <si>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</si>
  <si>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</si>
  <si>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</si>
  <si>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</si>
  <si>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</si>
  <si>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</si>
  <si>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</si>
  <si>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</si>
  <si>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</si>
  <si>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</si>
  <si>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</si>
  <si>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</si>
  <si>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</si>
  <si>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</si>
  <si>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</si>
  <si>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</si>
  <si>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</si>
  <si>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</si>
  <si>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</si>
  <si>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</si>
  <si>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</si>
  <si>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</si>
  <si>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</si>
  <si>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</si>
  <si>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</si>
  <si>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</si>
  <si>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</si>
  <si>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</si>
  <si>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</si>
  <si>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</si>
  <si>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</si>
  <si>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</si>
  <si>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</si>
  <si>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</si>
  <si>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</si>
  <si>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</si>
  <si>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</si>
  <si>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</si>
  <si>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</si>
  <si>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</si>
  <si>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</si>
  <si>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</si>
  <si>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</si>
  <si>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</si>
  <si>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</si>
  <si>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</si>
  <si>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</si>
  <si>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</si>
  <si>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</si>
  <si>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</si>
  <si>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</si>
  <si>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</si>
  <si>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</si>
  <si>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</si>
  <si>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</si>
  <si>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</si>
  <si>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</si>
  <si>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</si>
  <si>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</si>
  <si>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</si>
  <si>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</si>
  <si>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</si>
  <si>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</si>
  <si>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</si>
  <si>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</si>
  <si>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</si>
  <si>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</si>
  <si>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</si>
  <si>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</si>
  <si>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</si>
  <si>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</si>
  <si>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</si>
  <si>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</si>
  <si>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</si>
  <si>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</si>
  <si>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</si>
  <si>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</si>
  <si>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</si>
  <si>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</si>
  <si>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</si>
  <si>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</si>
  <si>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</si>
  <si>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</si>
  <si>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</si>
  <si>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</si>
  <si>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</si>
  <si>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</si>
  <si>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</si>
  <si>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</si>
  <si>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</si>
  <si>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</si>
  <si>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</si>
  <si>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</si>
  <si>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</si>
  <si>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</si>
  <si>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</si>
  <si>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</si>
  <si>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</si>
  <si>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</si>
  <si>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</si>
  <si>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</si>
  <si>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</si>
  <si>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</si>
  <si>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</si>
  <si>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</si>
  <si>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</si>
  <si>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</si>
  <si>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</si>
  <si>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</si>
  <si>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</si>
  <si>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</si>
  <si>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</si>
  <si>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</si>
  <si>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</si>
  <si>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</si>
  <si>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</si>
  <si>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</si>
  <si>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</si>
  <si>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</si>
  <si>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</si>
  <si>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</si>
  <si>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</si>
  <si>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</si>
  <si>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</si>
  <si>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</si>
  <si>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</si>
  <si>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</si>
  <si>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</si>
  <si>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</si>
  <si>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</si>
  <si>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</si>
  <si>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</si>
  <si>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</si>
  <si>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</si>
  <si>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</si>
  <si>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</si>
  <si>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</si>
  <si>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</si>
  <si>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</si>
  <si>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</si>
  <si>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</si>
  <si>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</si>
  <si>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</si>
  <si>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</si>
  <si>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</si>
  <si>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</si>
  <si>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</si>
  <si>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</si>
  <si>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</si>
  <si>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</si>
  <si>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</si>
  <si>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</si>
  <si>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</si>
  <si>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</si>
  <si>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</si>
  <si>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</si>
  <si>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</si>
  <si>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</si>
  <si>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</si>
  <si>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</si>
  <si>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</si>
  <si>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</si>
  <si>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</si>
  <si>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</si>
  <si>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</si>
  <si>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</si>
  <si>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</si>
  <si>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</si>
  <si>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</si>
  <si>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</si>
  <si>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</si>
  <si>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</si>
  <si>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</si>
  <si>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</si>
  <si>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</si>
  <si>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</si>
  <si>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</si>
  <si>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</si>
  <si>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</si>
  <si>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</si>
  <si>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</si>
  <si>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</si>
  <si>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</si>
  <si>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</si>
  <si>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</si>
  <si>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</si>
  <si>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</si>
  <si>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</si>
  <si>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</si>
  <si>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</si>
  <si>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</si>
  <si>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</si>
  <si>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</si>
  <si>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</si>
  <si>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</si>
  <si>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</si>
  <si>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</si>
  <si>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</si>
  <si>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</si>
  <si>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</si>
  <si>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</si>
  <si>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</si>
  <si>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</si>
  <si>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</si>
  <si>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</si>
  <si>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</si>
  <si>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</si>
  <si>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</si>
  <si>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</si>
  <si>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</si>
  <si>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</si>
  <si>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</si>
  <si>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</si>
  <si>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</si>
  <si>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</si>
  <si>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</si>
  <si>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</si>
  <si>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</si>
  <si>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</si>
  <si>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</si>
  <si>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</si>
  <si>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</si>
  <si>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</si>
  <si>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</si>
  <si>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</si>
  <si>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</si>
  <si>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</si>
  <si>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</si>
  <si>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</si>
  <si>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</si>
  <si>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</si>
  <si>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</si>
  <si>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</si>
  <si>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</si>
  <si>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</si>
  <si>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</si>
  <si>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</si>
  <si>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</si>
  <si>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</si>
  <si>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</si>
  <si>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</si>
  <si>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</si>
  <si>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</si>
  <si>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</si>
  <si>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</si>
  <si>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</si>
  <si>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</si>
  <si>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</si>
  <si>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</si>
  <si>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</si>
  <si>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</si>
  <si>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</si>
  <si>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</si>
  <si>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</si>
  <si>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</si>
  <si>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</si>
  <si>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</si>
  <si>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</si>
  <si>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</si>
  <si>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</si>
  <si>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</si>
  <si>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</si>
  <si>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</si>
  <si>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</si>
  <si>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</si>
  <si>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</si>
  <si>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</si>
  <si>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</si>
  <si>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</si>
  <si>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</si>
  <si>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</si>
  <si>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</si>
  <si>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</si>
  <si>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</si>
  <si>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</si>
  <si>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</si>
  <si>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</si>
  <si>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</si>
  <si>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</si>
  <si>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</si>
  <si>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</si>
  <si>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</si>
  <si>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</si>
  <si>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</si>
  <si>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</si>
  <si>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</si>
  <si>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</si>
  <si>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</si>
  <si>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</si>
  <si>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</si>
  <si>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</si>
  <si>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</si>
  <si>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</si>
  <si>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Note 2:  Indirect Facilities &amp; Administration costs</t>
    </r>
    <r>
      <rPr>
        <b/>
        <vertAlign val="superscript"/>
        <sz val="9"/>
        <rFont val="Calibri"/>
        <family val="2"/>
      </rPr>
      <t>6</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</si>
  <si>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</si>
  <si>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</si>
  <si>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</si>
  <si>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</si>
  <si>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</si>
  <si>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</si>
  <si>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</si>
  <si>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</si>
  <si>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</si>
  <si>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</si>
  <si>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</si>
  <si>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</si>
  <si>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</si>
  <si>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</si>
  <si>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</si>
  <si>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</si>
  <si>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</si>
  <si>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</si>
  <si>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</si>
  <si>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</si>
  <si>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</si>
  <si>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</si>
  <si>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</si>
  <si>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</si>
  <si>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</si>
  <si>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</si>
  <si>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</si>
  <si>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</si>
  <si>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</si>
  <si>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</si>
  <si>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</si>
  <si>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</si>
  <si>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</si>
  <si>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</si>
  <si>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</si>
  <si>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</si>
  <si>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</si>
  <si>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</si>
  <si>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</si>
  <si>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</si>
  <si>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</si>
  <si>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</si>
  <si>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</si>
  <si>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</si>
  <si>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</si>
  <si>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</si>
  <si>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</si>
  <si>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</si>
  <si>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</si>
  <si>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</si>
  <si>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</si>
  <si>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</si>
  <si>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</si>
  <si>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</si>
  <si>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</si>
  <si>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</si>
  <si>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</si>
  <si>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</si>
  <si>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</si>
  <si>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</si>
  <si>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</si>
  <si>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</si>
  <si>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</si>
  <si>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</si>
  <si>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</si>
  <si>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</si>
  <si>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</si>
  <si>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</si>
  <si>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</si>
  <si>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</si>
  <si>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</si>
  <si>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</si>
  <si>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</si>
  <si>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</si>
  <si>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</si>
  <si>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</si>
  <si>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</si>
  <si>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</si>
  <si>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</si>
  <si>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</si>
  <si>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</si>
  <si>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</si>
  <si>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</si>
  <si>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</si>
  <si>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</si>
  <si>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</si>
  <si>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</si>
  <si>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</si>
  <si>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</si>
  <si>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</si>
  <si>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</si>
  <si>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</si>
  <si>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</si>
  <si>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</si>
  <si>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</si>
  <si>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</si>
  <si>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</si>
  <si>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</si>
  <si>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</si>
  <si>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</si>
  <si>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</si>
  <si>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</si>
  <si>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</si>
  <si>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</si>
  <si>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</si>
  <si>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</si>
  <si>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</si>
  <si>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</si>
  <si>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</si>
  <si>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</si>
  <si>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</si>
  <si>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</si>
  <si>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</si>
  <si>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</si>
  <si>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</si>
  <si>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</si>
  <si>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</si>
  <si>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</si>
  <si>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</si>
  <si>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</si>
  <si>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</si>
  <si>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</si>
  <si>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</si>
  <si>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</si>
  <si>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</si>
  <si>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</si>
  <si>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</si>
  <si>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</si>
  <si>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</si>
  <si>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</si>
  <si>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</si>
  <si>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</si>
  <si>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</si>
  <si>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</si>
  <si>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</si>
  <si>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</si>
  <si>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</si>
  <si>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</si>
  <si>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</si>
  <si>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</si>
  <si>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</si>
  <si>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</si>
  <si>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</si>
  <si>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</si>
  <si>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</si>
  <si>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</si>
  <si>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</si>
  <si>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</si>
  <si>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</si>
  <si>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</si>
  <si>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</si>
  <si>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</si>
  <si>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</si>
  <si>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</si>
  <si>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</si>
  <si>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</si>
  <si>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</si>
  <si>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</si>
  <si>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</si>
  <si>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</si>
  <si>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</si>
  <si>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</si>
  <si>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</si>
  <si>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</si>
  <si>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</si>
  <si>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</si>
  <si>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</si>
  <si>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</si>
  <si>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</si>
  <si>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</si>
  <si>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</si>
  <si>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</si>
  <si>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</si>
  <si>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</si>
  <si>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</si>
  <si>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</si>
  <si>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</si>
  <si>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</si>
  <si>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</si>
  <si>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</si>
  <si>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</si>
  <si>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</si>
  <si>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</si>
  <si>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</si>
  <si>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</si>
  <si>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</si>
  <si>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</si>
  <si>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</si>
  <si>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</si>
  <si>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</si>
  <si>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</si>
  <si>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</si>
  <si>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</si>
  <si>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</si>
  <si>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</si>
  <si>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</si>
  <si>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</si>
  <si>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</si>
  <si>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</si>
  <si>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</si>
  <si>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</si>
  <si>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</si>
  <si>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</si>
  <si>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</si>
  <si>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</si>
  <si>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</si>
  <si>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</si>
  <si>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</si>
  <si>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</si>
  <si>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</si>
  <si>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</si>
  <si>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</si>
  <si>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</si>
  <si>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</si>
  <si>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</si>
  <si>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</si>
  <si>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</si>
  <si>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</si>
  <si>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</si>
  <si>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</si>
  <si>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</si>
  <si>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</si>
  <si>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</si>
  <si>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</si>
  <si>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</si>
  <si>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</si>
  <si>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</si>
  <si>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</si>
  <si>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</si>
  <si>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</si>
  <si>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</si>
  <si>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</si>
  <si>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</si>
  <si>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</si>
  <si>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</si>
  <si>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</si>
  <si>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</si>
  <si>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</si>
  <si>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</si>
  <si>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</si>
  <si>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</si>
  <si>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</si>
  <si>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</si>
  <si>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</si>
  <si>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</si>
  <si>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</si>
  <si>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</si>
  <si>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</si>
  <si>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</si>
  <si>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</si>
  <si>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</si>
  <si>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</si>
  <si>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</si>
  <si>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</si>
  <si>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</si>
  <si>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</si>
  <si>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</si>
  <si>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</si>
  <si>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</si>
  <si>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</si>
  <si>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</si>
  <si>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</si>
  <si>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</si>
  <si>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</si>
  <si>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</si>
  <si>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</si>
  <si>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</si>
  <si>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</si>
  <si>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</si>
  <si>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</si>
  <si>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</si>
  <si>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</si>
  <si>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</si>
  <si>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</si>
  <si>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</si>
  <si>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</si>
  <si>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</si>
  <si>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</si>
  <si>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</si>
  <si>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</si>
  <si>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</si>
  <si>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</si>
  <si>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</si>
  <si>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</si>
  <si>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</si>
  <si>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</si>
  <si>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</si>
  <si>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</si>
  <si>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</si>
  <si>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</si>
  <si>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</si>
  <si>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</si>
  <si>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</si>
  <si>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</si>
  <si>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</si>
  <si>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</si>
  <si>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</si>
  <si>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</si>
  <si>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</si>
  <si>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</si>
  <si>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</si>
  <si>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</si>
  <si>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</si>
  <si>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</si>
  <si>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</si>
  <si>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</si>
  <si>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</si>
  <si>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</si>
  <si>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</si>
  <si>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</si>
  <si>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</si>
  <si>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</si>
  <si>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</si>
  <si>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</si>
  <si>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</si>
  <si>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</si>
  <si>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</si>
  <si>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</si>
  <si>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</si>
  <si>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</si>
  <si>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</si>
  <si>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</si>
  <si>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</si>
  <si>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</si>
  <si>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</si>
  <si>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</si>
  <si>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</si>
  <si>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</si>
  <si>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</si>
  <si>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</si>
  <si>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  </t>
    </r>
    <r>
      <rPr>
        <b/>
        <i/>
        <u/>
        <sz val="11"/>
        <color indexed="8"/>
        <rFont val="Calibri"/>
        <family val="2"/>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</si>
  <si>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</si>
  <si>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</si>
  <si>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</si>
  <si>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</si>
  <si>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</si>
  <si>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</si>
  <si>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</si>
  <si>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</si>
  <si>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</si>
  <si>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</si>
  <si>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24-032-0010-26</t>
  </si>
  <si>
    <t>Grundy</t>
  </si>
  <si>
    <t>Coal City Community School District #1</t>
  </si>
  <si>
    <t>550 S. Carbon Hill Road</t>
  </si>
  <si>
    <t>Coal City</t>
  </si>
  <si>
    <t>x</t>
  </si>
  <si>
    <t>Dr. Kent Bugg</t>
  </si>
  <si>
    <t>kbugg@coalcityschools.org</t>
  </si>
  <si>
    <t>(815) 634-2287</t>
  </si>
  <si>
    <t>(815) 770-2088</t>
  </si>
  <si>
    <t>PDF in Opinion Page with signature</t>
  </si>
  <si>
    <t>2010 G.O. Bonds</t>
  </si>
  <si>
    <t>2016 G.O. Refunding Bonds</t>
  </si>
  <si>
    <t>2016 G.O. Working Cash Bonds</t>
  </si>
  <si>
    <t>2017 G.O. Refunding Bonds</t>
  </si>
  <si>
    <t>2018 G.O. Refunding Bonds</t>
  </si>
  <si>
    <t>ED- FISCAL SERVICES- PURCHASED SERVICES</t>
  </si>
  <si>
    <t>FORECAST 5 ANALYTICS</t>
  </si>
  <si>
    <t>10-2520-300</t>
  </si>
  <si>
    <t>ED- FISCAL SERVICES- SUPPLIES</t>
  </si>
  <si>
    <t>10-2520-400</t>
  </si>
  <si>
    <t>SPECIALIZED DATA SYSTEMS</t>
  </si>
  <si>
    <t>FRONTLINE TECHNOLOGIES</t>
  </si>
  <si>
    <t>ALLEGRA COAL CITY</t>
  </si>
  <si>
    <t>Illinois Energy Consortium</t>
  </si>
  <si>
    <t>PMA Liquid Asset Fund</t>
  </si>
  <si>
    <t>Grundy County Special Education Cooperative</t>
  </si>
  <si>
    <t>Reed Custer District #255U; Wilmington CUSD 209U</t>
  </si>
  <si>
    <t>Illinois Central School Bus</t>
  </si>
  <si>
    <t>Grundy Area Vocational Center</t>
  </si>
  <si>
    <t>Page 10, Line 72 - Educational Fund:  Milk money.</t>
  </si>
  <si>
    <t>Page 10, Line 74 - Educational Fund:  Miscellaneous food sales.</t>
  </si>
  <si>
    <t>Page 10, Line 78 - Educational Fund:  Musical, play, and other event admissions.</t>
  </si>
  <si>
    <t>Page 11, Line 107 - Educational Fund:  Refunds, reimbursements, and miscellaneous receipts.</t>
  </si>
  <si>
    <t>Page 15, Line 41 - Educational Fund:  Resource officer and crossing guard expenditures.</t>
  </si>
  <si>
    <t>Page 18, Line 171 - Debt Services Fund:  Bond issuance costs and agent fees</t>
  </si>
  <si>
    <t>4210-2019</t>
  </si>
  <si>
    <t>4210-2018</t>
  </si>
  <si>
    <t>4215-2019</t>
  </si>
  <si>
    <t>4215-2018</t>
  </si>
  <si>
    <t>4220-2019</t>
  </si>
  <si>
    <t>4220-2018</t>
  </si>
  <si>
    <t>TOTAL CHILD NUTRITION CLUSTER</t>
  </si>
  <si>
    <t>N/A</t>
  </si>
  <si>
    <t>NONE</t>
  </si>
  <si>
    <t>CHILD NUTRITION CLUSTER (M):</t>
  </si>
  <si>
    <t xml:space="preserve">  US DEPT OF AGRICULTURE:</t>
  </si>
  <si>
    <t xml:space="preserve">    PASSED THROUGH ISBE:</t>
  </si>
  <si>
    <t xml:space="preserve">     NATIONAL SCHOOL LUNCH- 2019</t>
  </si>
  <si>
    <t xml:space="preserve">     NATIONAL SCHOOL LUNCH- 2018</t>
  </si>
  <si>
    <t xml:space="preserve">     SPECIAL MILK PROGRAM- 2019</t>
  </si>
  <si>
    <t xml:space="preserve">     SPECIAL MILK PROGRAM- 2018</t>
  </si>
  <si>
    <t xml:space="preserve">     NATIONAL SCHOOL BREAKFAST-2019</t>
  </si>
  <si>
    <t xml:space="preserve">     NATIONAL SCHOOL BREAKFAST-2018</t>
  </si>
  <si>
    <t xml:space="preserve">     LANTER</t>
  </si>
  <si>
    <t xml:space="preserve">     FRUITS &amp; VEG</t>
  </si>
  <si>
    <t>US DEPT OF EDUCATION:</t>
  </si>
  <si>
    <t xml:space="preserve">  PASSED THROUGH ISBE:</t>
  </si>
  <si>
    <t xml:space="preserve">    TITLE I- 2019</t>
  </si>
  <si>
    <t xml:space="preserve">    TITLE I- 2018</t>
  </si>
  <si>
    <t>4300-2019</t>
  </si>
  <si>
    <t>4300-2018</t>
  </si>
  <si>
    <t xml:space="preserve">    TITLE IVA- 2018</t>
  </si>
  <si>
    <t xml:space="preserve">    TITLE IVA- 2019</t>
  </si>
  <si>
    <t>4400-2019</t>
  </si>
  <si>
    <t>4400-2018</t>
  </si>
  <si>
    <t xml:space="preserve">    TITLE II- 2019</t>
  </si>
  <si>
    <t>4932-2019</t>
  </si>
  <si>
    <t>TOTAL US DEPT OF EDUCATION</t>
  </si>
  <si>
    <t>US DEPT OF HEALTH &amp; HUMAN SERVICES:</t>
  </si>
  <si>
    <t xml:space="preserve">  PASSED THROUGH IL DEPT OF HEALTHCARE &amp; FAMILY SERVICES</t>
  </si>
  <si>
    <t xml:space="preserve">    MEDICAL ASSISTANCE PROGRAM 2019</t>
  </si>
  <si>
    <t xml:space="preserve">    MEDICAL ASSISTANCE PROGRAM 2018</t>
  </si>
  <si>
    <t>4991-2019</t>
  </si>
  <si>
    <t>4991-2018</t>
  </si>
  <si>
    <t>TOTAL US DEPT OF HEALTH &amp; HUMAN SERVICES:</t>
  </si>
  <si>
    <t xml:space="preserve">  TOTAL PASSED THROUGH ISBE:</t>
  </si>
  <si>
    <t xml:space="preserve">  PASSED THROUGH GRUNDY CO SP ED COOP:</t>
  </si>
  <si>
    <t xml:space="preserve">    IDEA FLOW THROUGH (M)</t>
  </si>
  <si>
    <t>4620-2019</t>
  </si>
  <si>
    <t>TOTAL FEDERAL AWARDS</t>
  </si>
  <si>
    <t xml:space="preserve">Unmodified </t>
  </si>
  <si>
    <t>Unmodified</t>
  </si>
  <si>
    <t>SPECIAL EDUCATION (IDEA) CLUSTER</t>
  </si>
  <si>
    <t>jsmith@coalcityschools.org</t>
  </si>
  <si>
    <t>O&amp;M-Operation &amp; Maintenance of Plant Services-Purchased Services</t>
  </si>
  <si>
    <t>Commercial Electronic Systems</t>
  </si>
  <si>
    <t>TR-Pupil Transportation Services-Purchased Services</t>
  </si>
  <si>
    <t>40-2550-300</t>
  </si>
  <si>
    <t>20-2540-300</t>
  </si>
  <si>
    <t>Simplexgrinnell</t>
  </si>
  <si>
    <t>Page 9, Line 17 - Educational Fund: Grundy County EDPA</t>
  </si>
  <si>
    <t>Page 12, Line 168 - Educational Fund:  State Library Grant; ALOP Grant</t>
  </si>
  <si>
    <t>Page 14, Line 265- Education Fund: McKinney Vent Supply Closet</t>
  </si>
  <si>
    <t>Page 16, Line 56- Education Fund: Dean of Students</t>
  </si>
  <si>
    <t xml:space="preserve">    IDEA FLOW THROUGH PRESCHOOL (M)</t>
  </si>
  <si>
    <t>4600-2019</t>
  </si>
  <si>
    <t>4620-2018</t>
  </si>
  <si>
    <t>PASSED THROUGH WILL CO ROE</t>
  </si>
  <si>
    <t xml:space="preserve">    MCKINNEY VENTO SUPPLY CLOSET</t>
  </si>
  <si>
    <t>4999-2019</t>
  </si>
  <si>
    <t>Of the federal expenditures presented in the schedule, Coal City CUSD #1 provided federal awards to subrecipients as follows:</t>
  </si>
  <si>
    <r>
      <t xml:space="preserve">The following amounts were expended in the form of non-cash assistance by Coal City CUSD #1 and </t>
    </r>
    <r>
      <rPr>
        <b/>
        <sz val="9"/>
        <rFont val="Calibri"/>
        <family val="2"/>
      </rPr>
      <t>should be</t>
    </r>
    <r>
      <rPr>
        <sz val="9"/>
        <rFont val="Calibri"/>
        <family val="2"/>
      </rPr>
      <t xml:space="preserve"> included in the Schedule of Expenditures of Federal Awards:</t>
    </r>
  </si>
  <si>
    <t>The accompanying Schedule of Expenditures of Federal Awards includes the federal grant activity of Coal City CUSD #1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</si>
</sst>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5"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b/>
      <i/>
      <u/>
      <sz val="11"/>
      <color indexed="8"/>
      <name val="Calibri"/>
      <family val="2"/>
    </font>
    <font>
      <sz val="11"/>
      <color theme="1"/>
      <name val="Calibri"/>
      <family val="2"/>
      <scheme val="minor"/>
    </font>
    <font>
      <u/>
      <sz val="11"/>
      <color theme="10"/>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sz val="11"/>
      <color theme="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sz val="11"/>
      <name val="Calibri"/>
      <family val="2"/>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26">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1" fillId="0" borderId="0" applyNumberFormat="0" applyFill="0" applyBorder="0" applyAlignment="0" applyProtection="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498">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24" applyFont="1" applyBorder="1" applyAlignment="1" applyProtection="1">
      <alignment vertical="center"/>
    </xf>
    <xf numFmtId="0" fontId="7" fillId="0" borderId="0" xfId="24" applyNumberFormat="1" applyFont="1" applyBorder="1" applyAlignment="1" applyProtection="1">
      <alignment horizontal="left" vertical="center"/>
    </xf>
    <xf numFmtId="0" fontId="7" fillId="0" borderId="0" xfId="24" applyNumberFormat="1" applyFont="1" applyBorder="1" applyAlignment="1" applyProtection="1">
      <alignment vertical="center"/>
    </xf>
    <xf numFmtId="0" fontId="2" fillId="0" borderId="0" xfId="24" applyNumberFormat="1" applyFont="1" applyBorder="1" applyAlignment="1" applyProtection="1">
      <alignment vertical="center"/>
    </xf>
    <xf numFmtId="0" fontId="5" fillId="0" borderId="0" xfId="24" applyNumberFormat="1" applyFont="1" applyBorder="1" applyAlignment="1" applyProtection="1">
      <alignment vertical="center"/>
    </xf>
    <xf numFmtId="0" fontId="5" fillId="0" borderId="0" xfId="24" applyNumberFormat="1" applyFont="1" applyBorder="1" applyAlignment="1" applyProtection="1">
      <alignment horizontal="left" vertical="center"/>
    </xf>
    <xf numFmtId="0" fontId="2" fillId="0" borderId="0" xfId="24"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24" applyNumberFormat="1" applyFont="1" applyBorder="1" applyAlignment="1" applyProtection="1">
      <alignment horizontal="centerContinuous" vertical="center"/>
    </xf>
    <xf numFmtId="0" fontId="15" fillId="0" borderId="0" xfId="0" applyFont="1" applyFill="1" applyProtection="1"/>
    <xf numFmtId="0" fontId="5" fillId="0" borderId="0" xfId="24" applyFont="1" applyBorder="1" applyAlignment="1" applyProtection="1">
      <alignment horizontal="left" vertical="center"/>
    </xf>
    <xf numFmtId="0" fontId="23" fillId="0" borderId="0" xfId="24" applyFont="1" applyBorder="1" applyAlignment="1" applyProtection="1">
      <alignment vertical="center"/>
    </xf>
    <xf numFmtId="0" fontId="4" fillId="0" borderId="0" xfId="24" applyFont="1" applyBorder="1" applyAlignment="1" applyProtection="1">
      <alignment horizontal="center" vertical="center"/>
    </xf>
    <xf numFmtId="0" fontId="4" fillId="0" borderId="0" xfId="24" applyFont="1" applyBorder="1" applyAlignment="1" applyProtection="1">
      <alignment horizontal="left" vertical="center"/>
    </xf>
    <xf numFmtId="0" fontId="7" fillId="0" borderId="0" xfId="24" applyNumberFormat="1" applyFont="1" applyBorder="1" applyAlignment="1" applyProtection="1">
      <alignment horizontal="center" vertical="center"/>
    </xf>
    <xf numFmtId="0" fontId="2" fillId="0" borderId="0" xfId="24" applyFont="1" applyBorder="1" applyAlignment="1" applyProtection="1">
      <alignment vertical="center"/>
    </xf>
    <xf numFmtId="0" fontId="3" fillId="0" borderId="0" xfId="24" applyFont="1" applyBorder="1" applyAlignment="1" applyProtection="1">
      <alignment horizontal="left" vertical="center"/>
    </xf>
    <xf numFmtId="0" fontId="5" fillId="0" borderId="0" xfId="24" quotePrefix="1" applyNumberFormat="1" applyFont="1" applyBorder="1" applyAlignment="1" applyProtection="1">
      <alignment horizontal="left" vertical="center"/>
    </xf>
    <xf numFmtId="0" fontId="2" fillId="0" borderId="3" xfId="24" applyFont="1" applyBorder="1" applyAlignment="1" applyProtection="1">
      <alignment vertical="center"/>
    </xf>
    <xf numFmtId="0" fontId="5" fillId="0" borderId="4" xfId="24" applyFont="1" applyBorder="1" applyAlignment="1" applyProtection="1">
      <alignment vertical="center"/>
    </xf>
    <xf numFmtId="0" fontId="5" fillId="0" borderId="5" xfId="24" applyFont="1" applyBorder="1" applyAlignment="1" applyProtection="1">
      <alignment vertical="center"/>
    </xf>
    <xf numFmtId="0" fontId="2" fillId="0" borderId="6" xfId="24" applyFont="1" applyBorder="1" applyAlignment="1" applyProtection="1">
      <alignment vertical="center"/>
    </xf>
    <xf numFmtId="0" fontId="5" fillId="0" borderId="7" xfId="24"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24" applyNumberFormat="1" applyFont="1" applyBorder="1" applyAlignment="1" applyProtection="1">
      <alignment vertical="center"/>
    </xf>
    <xf numFmtId="0" fontId="5" fillId="0" borderId="4" xfId="24" applyNumberFormat="1" applyFont="1" applyBorder="1" applyAlignment="1" applyProtection="1">
      <alignment vertical="center"/>
    </xf>
    <xf numFmtId="0" fontId="5" fillId="0" borderId="8" xfId="24" applyNumberFormat="1" applyFont="1" applyBorder="1" applyAlignment="1" applyProtection="1">
      <alignment vertical="center"/>
    </xf>
    <xf numFmtId="0" fontId="5" fillId="0" borderId="5" xfId="24" applyNumberFormat="1" applyFont="1" applyBorder="1" applyAlignment="1" applyProtection="1">
      <alignment horizontal="left" vertical="center"/>
    </xf>
    <xf numFmtId="0" fontId="5" fillId="0" borderId="6" xfId="24" applyNumberFormat="1" applyFont="1" applyBorder="1" applyAlignment="1" applyProtection="1">
      <alignment vertical="center"/>
    </xf>
    <xf numFmtId="0" fontId="5" fillId="0" borderId="7" xfId="24" applyNumberFormat="1" applyFont="1" applyBorder="1" applyAlignment="1" applyProtection="1">
      <alignment vertical="center"/>
    </xf>
    <xf numFmtId="0" fontId="2" fillId="0" borderId="5" xfId="24" applyNumberFormat="1" applyFont="1" applyBorder="1" applyAlignment="1" applyProtection="1">
      <alignment horizontal="left" vertical="center"/>
    </xf>
    <xf numFmtId="0" fontId="5" fillId="0" borderId="5" xfId="24" applyNumberFormat="1" applyFont="1" applyBorder="1" applyAlignment="1" applyProtection="1">
      <alignment vertical="center"/>
    </xf>
    <xf numFmtId="0" fontId="5" fillId="0" borderId="4" xfId="24"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24" applyNumberFormat="1" applyFont="1" applyFill="1" applyBorder="1" applyAlignment="1" applyProtection="1">
      <alignment vertical="center"/>
    </xf>
    <xf numFmtId="0" fontId="2" fillId="0" borderId="3" xfId="24" quotePrefix="1" applyNumberFormat="1" applyFont="1" applyBorder="1" applyAlignment="1" applyProtection="1">
      <alignment horizontal="left" vertical="center"/>
    </xf>
    <xf numFmtId="0" fontId="5" fillId="0" borderId="6" xfId="24"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24" applyFont="1" applyBorder="1" applyAlignment="1" applyProtection="1">
      <alignment vertical="center"/>
    </xf>
    <xf numFmtId="0" fontId="2" fillId="0" borderId="4" xfId="0" applyNumberFormat="1" applyFont="1" applyBorder="1" applyAlignment="1">
      <alignment horizontal="left" vertical="center"/>
    </xf>
    <xf numFmtId="0" fontId="2" fillId="0" borderId="7" xfId="24" applyNumberFormat="1" applyFont="1" applyBorder="1" applyAlignment="1" applyProtection="1">
      <alignment vertical="center"/>
    </xf>
    <xf numFmtId="0" fontId="2" fillId="0" borderId="5" xfId="24" applyNumberFormat="1" applyFont="1" applyBorder="1" applyAlignment="1" applyProtection="1">
      <alignment vertical="center"/>
    </xf>
    <xf numFmtId="0" fontId="2" fillId="0" borderId="4" xfId="24" applyNumberFormat="1" applyFont="1" applyBorder="1" applyAlignment="1" applyProtection="1">
      <alignment horizontal="left" vertical="center"/>
    </xf>
    <xf numFmtId="0" fontId="2" fillId="0" borderId="4" xfId="24" applyFont="1" applyBorder="1" applyAlignment="1" applyProtection="1">
      <alignment vertical="center"/>
    </xf>
    <xf numFmtId="0" fontId="5" fillId="0" borderId="0" xfId="24"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24" applyNumberFormat="1" applyFont="1" applyBorder="1" applyAlignment="1" applyProtection="1">
      <alignment horizontal="left" vertical="center"/>
    </xf>
    <xf numFmtId="0" fontId="3" fillId="0" borderId="4" xfId="24" applyFont="1" applyBorder="1" applyAlignment="1" applyProtection="1">
      <alignment vertical="center"/>
    </xf>
    <xf numFmtId="0" fontId="3" fillId="0" borderId="4" xfId="24"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24" applyFont="1" applyBorder="1" applyAlignment="1" applyProtection="1">
      <alignment horizontal="left" vertical="center"/>
    </xf>
    <xf numFmtId="0" fontId="2" fillId="0" borderId="4" xfId="24" applyFont="1" applyBorder="1" applyAlignment="1" applyProtection="1">
      <alignment horizontal="left" vertical="center"/>
    </xf>
    <xf numFmtId="0" fontId="5" fillId="0" borderId="5" xfId="24" applyFont="1" applyBorder="1" applyAlignment="1" applyProtection="1">
      <alignment horizontal="left" vertical="center"/>
    </xf>
    <xf numFmtId="0" fontId="4" fillId="0" borderId="0" xfId="24" applyNumberFormat="1" applyFont="1" applyBorder="1" applyAlignment="1" applyProtection="1">
      <alignment horizontal="center" vertical="center"/>
    </xf>
    <xf numFmtId="0" fontId="4" fillId="0" borderId="0" xfId="24" applyFont="1" applyBorder="1" applyAlignment="1" applyProtection="1">
      <alignment vertical="center"/>
    </xf>
    <xf numFmtId="0" fontId="2" fillId="0" borderId="3" xfId="24" applyNumberFormat="1" applyFont="1" applyBorder="1" applyAlignment="1" applyProtection="1">
      <alignment horizontal="left" vertical="center"/>
    </xf>
    <xf numFmtId="0" fontId="2" fillId="0" borderId="3" xfId="24"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24" applyNumberFormat="1" applyFont="1" applyBorder="1" applyAlignment="1" applyProtection="1">
      <alignment vertical="center"/>
    </xf>
    <xf numFmtId="0" fontId="2" fillId="0" borderId="6" xfId="24" applyNumberFormat="1" applyFont="1" applyBorder="1" applyAlignment="1" applyProtection="1">
      <alignment horizontal="left" vertical="center"/>
    </xf>
    <xf numFmtId="0" fontId="2" fillId="0" borderId="4" xfId="24"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24" applyNumberFormat="1" applyFont="1" applyBorder="1" applyAlignment="1" applyProtection="1">
      <alignment horizontal="left" vertical="center" indent="1"/>
    </xf>
    <xf numFmtId="0" fontId="5" fillId="0" borderId="9" xfId="24" applyNumberFormat="1" applyFont="1" applyBorder="1" applyAlignment="1" applyProtection="1">
      <alignment vertical="center"/>
    </xf>
    <xf numFmtId="0" fontId="2" fillId="0" borderId="8" xfId="24" applyNumberFormat="1" applyFont="1" applyBorder="1" applyAlignment="1" applyProtection="1">
      <alignment vertical="top"/>
    </xf>
    <xf numFmtId="0" fontId="2" fillId="0" borderId="8" xfId="24" quotePrefix="1" applyNumberFormat="1" applyFont="1" applyBorder="1" applyAlignment="1" applyProtection="1">
      <alignment horizontal="left" vertical="center"/>
    </xf>
    <xf numFmtId="0" fontId="5" fillId="0" borderId="10" xfId="24"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24" applyNumberFormat="1" applyFont="1" applyBorder="1" applyAlignment="1" applyProtection="1">
      <alignment horizontal="center" vertical="center"/>
    </xf>
    <xf numFmtId="0" fontId="7" fillId="0" borderId="0" xfId="24" applyNumberFormat="1" applyFont="1" applyBorder="1" applyAlignment="1" applyProtection="1">
      <alignment horizontal="left" vertical="center" indent="2"/>
    </xf>
    <xf numFmtId="0" fontId="12" fillId="0" borderId="2" xfId="24" applyFont="1" applyBorder="1" applyAlignment="1" applyProtection="1">
      <alignment horizontal="center" vertical="center"/>
      <protection locked="0"/>
    </xf>
    <xf numFmtId="0" fontId="12" fillId="0" borderId="2" xfId="24" applyNumberFormat="1" applyFont="1" applyBorder="1" applyAlignment="1" applyProtection="1">
      <alignment horizontal="center" vertical="center"/>
      <protection locked="0"/>
    </xf>
    <xf numFmtId="0" fontId="22" fillId="0" borderId="0" xfId="24" applyFont="1" applyBorder="1" applyAlignment="1" applyProtection="1">
      <alignment horizontal="left" vertical="center"/>
    </xf>
    <xf numFmtId="0" fontId="4" fillId="0" borderId="2" xfId="24"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24"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24" applyFont="1" applyBorder="1" applyAlignment="1" applyProtection="1">
      <alignment horizontal="left" vertical="center" indent="1"/>
    </xf>
    <xf numFmtId="0" fontId="14" fillId="0" borderId="0" xfId="24" applyNumberFormat="1" applyFont="1" applyBorder="1" applyAlignment="1" applyProtection="1">
      <alignment horizontal="left" vertical="center" indent="1"/>
    </xf>
    <xf numFmtId="0" fontId="5" fillId="0" borderId="9" xfId="24"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24" applyFont="1" applyFill="1" applyBorder="1" applyAlignment="1" applyProtection="1">
      <alignment vertical="center"/>
    </xf>
    <xf numFmtId="0" fontId="5" fillId="0" borderId="6" xfId="24" applyFont="1" applyBorder="1" applyAlignment="1" applyProtection="1">
      <alignment vertical="center"/>
    </xf>
    <xf numFmtId="0" fontId="7" fillId="0" borderId="8" xfId="24" applyNumberFormat="1" applyFont="1" applyBorder="1" applyAlignment="1" applyProtection="1">
      <alignment vertical="center"/>
    </xf>
    <xf numFmtId="0" fontId="2" fillId="0" borderId="0" xfId="24"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24" applyFont="1" applyFill="1" applyBorder="1" applyAlignment="1" applyProtection="1">
      <alignment vertical="center"/>
    </xf>
    <xf numFmtId="0" fontId="5" fillId="0" borderId="4" xfId="24" applyFont="1" applyFill="1" applyBorder="1" applyAlignment="1" applyProtection="1">
      <alignment vertical="center"/>
    </xf>
    <xf numFmtId="0" fontId="5" fillId="0" borderId="5" xfId="24"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24"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2" fillId="0" borderId="0" xfId="0" applyFont="1" applyAlignment="1">
      <alignment horizontal="left" wrapText="1" indent="4"/>
    </xf>
    <xf numFmtId="0" fontId="11" fillId="0" borderId="2" xfId="24" applyNumberFormat="1" applyFont="1" applyBorder="1" applyAlignment="1" applyProtection="1">
      <alignment horizontal="center" vertical="center"/>
      <protection locked="0"/>
    </xf>
    <xf numFmtId="0" fontId="11" fillId="0" borderId="2" xfId="24"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24" applyNumberFormat="1" applyFont="1" applyFill="1" applyBorder="1" applyAlignment="1" applyProtection="1">
      <alignment horizontal="left" vertical="center" indent="1"/>
    </xf>
    <xf numFmtId="0" fontId="4" fillId="0" borderId="6" xfId="24" applyNumberFormat="1" applyFont="1" applyFill="1" applyBorder="1" applyAlignment="1" applyProtection="1">
      <alignment horizontal="left" vertical="center" indent="1"/>
    </xf>
    <xf numFmtId="0" fontId="7" fillId="0" borderId="6" xfId="24" applyNumberFormat="1" applyFont="1" applyBorder="1" applyAlignment="1" applyProtection="1">
      <alignment vertical="center"/>
    </xf>
    <xf numFmtId="0" fontId="5" fillId="0" borderId="9" xfId="24" applyNumberFormat="1" applyFont="1" applyBorder="1" applyAlignment="1" applyProtection="1">
      <alignment horizontal="right" vertical="center"/>
    </xf>
    <xf numFmtId="0" fontId="2" fillId="0" borderId="9" xfId="24" applyFont="1" applyBorder="1" applyAlignment="1" applyProtection="1">
      <alignment vertical="center"/>
    </xf>
    <xf numFmtId="0" fontId="5" fillId="0" borderId="8" xfId="24" applyFont="1" applyBorder="1" applyAlignment="1" applyProtection="1">
      <alignment vertical="center"/>
    </xf>
    <xf numFmtId="0" fontId="5" fillId="0" borderId="10" xfId="24" applyFont="1" applyBorder="1" applyAlignment="1" applyProtection="1">
      <alignment vertical="center"/>
    </xf>
    <xf numFmtId="1" fontId="1" fillId="0" borderId="0" xfId="0" applyNumberFormat="1" applyFont="1" applyAlignment="1">
      <alignment horizontal="center" vertical="center"/>
    </xf>
    <xf numFmtId="0" fontId="2" fillId="0" borderId="111" xfId="24" applyFont="1" applyBorder="1" applyAlignment="1" applyProtection="1">
      <alignment vertical="center"/>
    </xf>
    <xf numFmtId="0" fontId="2" fillId="0" borderId="3" xfId="24" applyFont="1" applyBorder="1" applyAlignment="1" applyProtection="1">
      <alignment horizontal="left" vertical="center"/>
    </xf>
    <xf numFmtId="0" fontId="83" fillId="0" borderId="12" xfId="0" applyFont="1" applyFill="1" applyBorder="1" applyAlignment="1">
      <alignment horizontal="left" vertical="center"/>
    </xf>
    <xf numFmtId="0" fontId="84" fillId="0" borderId="0" xfId="0" applyFont="1" applyBorder="1"/>
    <xf numFmtId="0" fontId="84" fillId="0" borderId="12" xfId="0" applyFont="1" applyBorder="1" applyAlignment="1">
      <alignment horizontal="centerContinuous" vertical="center"/>
    </xf>
    <xf numFmtId="0" fontId="84" fillId="0" borderId="13" xfId="0" applyFont="1" applyBorder="1"/>
    <xf numFmtId="0" fontId="83" fillId="0" borderId="13" xfId="0" applyFont="1" applyBorder="1" applyAlignment="1">
      <alignment horizontal="left" vertical="center"/>
    </xf>
    <xf numFmtId="0" fontId="83" fillId="0" borderId="13" xfId="0" applyFont="1" applyBorder="1" applyAlignment="1">
      <alignment horizontal="center" vertical="center" wrapText="1"/>
    </xf>
    <xf numFmtId="0" fontId="84" fillId="0" borderId="0" xfId="0" applyFont="1" applyBorder="1" applyAlignment="1">
      <alignment horizontal="left"/>
    </xf>
    <xf numFmtId="0" fontId="83" fillId="0" borderId="0" xfId="0" applyFont="1" applyBorder="1"/>
    <xf numFmtId="49" fontId="84" fillId="0" borderId="0" xfId="0" applyNumberFormat="1" applyFont="1" applyBorder="1" applyAlignment="1">
      <alignment horizontal="left"/>
    </xf>
    <xf numFmtId="49" fontId="85" fillId="0" borderId="0" xfId="2" applyNumberFormat="1" applyFont="1" applyBorder="1" applyAlignment="1" applyProtection="1">
      <alignment horizontal="center"/>
    </xf>
    <xf numFmtId="49" fontId="84" fillId="0" borderId="0" xfId="0" applyNumberFormat="1" applyFont="1" applyBorder="1" applyAlignment="1">
      <alignment horizontal="center"/>
    </xf>
    <xf numFmtId="0" fontId="84" fillId="0" borderId="0" xfId="0" applyFont="1" applyBorder="1" applyAlignment="1">
      <alignment horizontal="left" indent="1"/>
    </xf>
    <xf numFmtId="0" fontId="83" fillId="0" borderId="0" xfId="0" applyFont="1" applyBorder="1" applyAlignment="1">
      <alignment horizontal="left"/>
    </xf>
    <xf numFmtId="0" fontId="84" fillId="0" borderId="0" xfId="0" applyFont="1" applyBorder="1" applyAlignment="1">
      <alignment horizontal="centerContinuous" vertical="center"/>
    </xf>
    <xf numFmtId="0" fontId="84" fillId="0" borderId="0" xfId="0" applyFont="1" applyBorder="1" applyAlignment="1">
      <alignment vertical="center"/>
    </xf>
    <xf numFmtId="0" fontId="86" fillId="0" borderId="0" xfId="2" applyFont="1" applyBorder="1" applyAlignment="1" applyProtection="1">
      <alignment horizontal="left" indent="2"/>
    </xf>
    <xf numFmtId="0" fontId="87" fillId="0" borderId="0" xfId="0" applyFont="1" applyBorder="1"/>
    <xf numFmtId="0" fontId="88" fillId="0" borderId="0" xfId="0" applyFont="1" applyBorder="1"/>
    <xf numFmtId="164" fontId="89" fillId="0" borderId="0" xfId="0" applyNumberFormat="1" applyFont="1" applyBorder="1" applyAlignment="1" applyProtection="1">
      <alignment vertical="center"/>
    </xf>
    <xf numFmtId="0" fontId="90" fillId="0" borderId="0" xfId="0" applyFont="1" applyBorder="1"/>
    <xf numFmtId="0" fontId="90" fillId="0" borderId="0" xfId="0" applyFont="1" applyBorder="1" applyAlignment="1" applyProtection="1">
      <alignment vertical="center"/>
    </xf>
    <xf numFmtId="0" fontId="84" fillId="0" borderId="0" xfId="0" applyFont="1" applyBorder="1" applyAlignment="1" applyProtection="1">
      <alignment horizontal="left" vertical="top"/>
      <protection locked="0"/>
    </xf>
    <xf numFmtId="0" fontId="84" fillId="0" borderId="0" xfId="0" applyFont="1" applyFill="1" applyBorder="1"/>
    <xf numFmtId="0" fontId="88" fillId="0" borderId="0" xfId="0" applyFont="1" applyBorder="1" applyAlignment="1">
      <alignment vertical="center"/>
    </xf>
    <xf numFmtId="49" fontId="84" fillId="0" borderId="0" xfId="0" applyNumberFormat="1" applyFont="1" applyBorder="1" applyAlignment="1">
      <alignment horizontal="center" vertical="center"/>
    </xf>
    <xf numFmtId="49" fontId="84" fillId="0" borderId="0" xfId="0" applyNumberFormat="1" applyFont="1" applyBorder="1" applyAlignment="1">
      <alignment vertical="center"/>
    </xf>
    <xf numFmtId="49" fontId="91" fillId="0" borderId="0" xfId="0" applyNumberFormat="1" applyFont="1" applyBorder="1" applyAlignment="1">
      <alignment horizontal="left" vertical="center"/>
    </xf>
    <xf numFmtId="49" fontId="84" fillId="0" borderId="0" xfId="0" applyNumberFormat="1" applyFont="1" applyBorder="1" applyAlignment="1">
      <alignment horizontal="left" indent="2"/>
    </xf>
    <xf numFmtId="49" fontId="84" fillId="0" borderId="0" xfId="0" applyNumberFormat="1" applyFont="1" applyBorder="1"/>
    <xf numFmtId="49" fontId="84" fillId="0" borderId="0" xfId="0" applyNumberFormat="1" applyFont="1" applyBorder="1" applyAlignment="1">
      <alignment horizontal="left" indent="1"/>
    </xf>
    <xf numFmtId="49" fontId="86" fillId="0" borderId="0" xfId="2" applyNumberFormat="1" applyFont="1" applyBorder="1" applyAlignment="1" applyProtection="1">
      <alignment horizontal="left" indent="1"/>
    </xf>
    <xf numFmtId="49" fontId="84" fillId="0" borderId="0" xfId="0" applyNumberFormat="1" applyFont="1" applyFill="1" applyBorder="1" applyAlignment="1">
      <alignment horizontal="left" indent="1"/>
    </xf>
    <xf numFmtId="49" fontId="84" fillId="0" borderId="0" xfId="0" applyNumberFormat="1" applyFont="1" applyFill="1" applyBorder="1" applyAlignment="1">
      <alignment horizontal="left" indent="2"/>
    </xf>
    <xf numFmtId="49" fontId="84" fillId="0" borderId="0" xfId="0" applyNumberFormat="1" applyFont="1" applyFill="1" applyBorder="1" applyAlignment="1">
      <alignment horizontal="left" indent="3"/>
    </xf>
    <xf numFmtId="49" fontId="92" fillId="0" borderId="0" xfId="0" applyNumberFormat="1" applyFont="1" applyBorder="1" applyAlignment="1">
      <alignment horizontal="left" indent="2"/>
    </xf>
    <xf numFmtId="49" fontId="93" fillId="0" borderId="0" xfId="0" applyNumberFormat="1" applyFont="1" applyBorder="1" applyAlignment="1">
      <alignment horizontal="left" indent="5"/>
    </xf>
    <xf numFmtId="49" fontId="93" fillId="0" borderId="0" xfId="0" applyNumberFormat="1" applyFont="1" applyBorder="1" applyAlignment="1">
      <alignment horizontal="left" indent="3"/>
    </xf>
    <xf numFmtId="49" fontId="94" fillId="0" borderId="0" xfId="0" applyNumberFormat="1" applyFont="1" applyBorder="1" applyAlignment="1">
      <alignment horizontal="left"/>
    </xf>
    <xf numFmtId="49" fontId="86" fillId="0" borderId="0" xfId="2" applyNumberFormat="1" applyFont="1" applyBorder="1" applyAlignment="1" applyProtection="1">
      <alignment horizontal="left" indent="3"/>
    </xf>
    <xf numFmtId="49" fontId="84" fillId="0" borderId="0" xfId="0" applyNumberFormat="1" applyFont="1" applyFill="1" applyBorder="1"/>
    <xf numFmtId="49" fontId="86" fillId="0" borderId="0" xfId="2" applyNumberFormat="1" applyFont="1" applyBorder="1" applyAlignment="1" applyProtection="1">
      <alignment horizontal="left" indent="2"/>
    </xf>
    <xf numFmtId="0" fontId="90" fillId="0" borderId="0" xfId="0" applyFont="1" applyBorder="1" applyProtection="1"/>
    <xf numFmtId="0" fontId="90" fillId="0" borderId="0" xfId="0" applyFont="1" applyBorder="1" applyAlignment="1" applyProtection="1">
      <alignment horizontal="left"/>
    </xf>
    <xf numFmtId="164" fontId="88" fillId="0" borderId="0" xfId="0" applyNumberFormat="1" applyFont="1" applyBorder="1" applyAlignment="1" applyProtection="1">
      <alignment horizontal="left"/>
    </xf>
    <xf numFmtId="0" fontId="90" fillId="0" borderId="0" xfId="0" applyFont="1" applyBorder="1" applyAlignment="1" applyProtection="1">
      <alignment horizontal="center" vertical="top" textRotation="180"/>
    </xf>
    <xf numFmtId="0" fontId="90" fillId="0" borderId="0" xfId="0" applyFont="1" applyBorder="1" applyAlignment="1" applyProtection="1"/>
    <xf numFmtId="0" fontId="95" fillId="0" borderId="0" xfId="0" applyFont="1" applyBorder="1" applyAlignment="1" applyProtection="1">
      <alignment horizontal="centerContinuous" vertical="center"/>
    </xf>
    <xf numFmtId="164" fontId="89" fillId="0" borderId="0" xfId="0" applyNumberFormat="1" applyFont="1" applyBorder="1" applyAlignment="1" applyProtection="1">
      <alignment horizontal="left" vertical="center"/>
    </xf>
    <xf numFmtId="0" fontId="84" fillId="0" borderId="0" xfId="0" applyFont="1" applyBorder="1" applyAlignment="1" applyProtection="1">
      <alignment horizontal="left" vertical="center"/>
    </xf>
    <xf numFmtId="0" fontId="90" fillId="0" borderId="0" xfId="0" applyFont="1" applyBorder="1" applyAlignment="1"/>
    <xf numFmtId="0" fontId="95" fillId="0" borderId="0" xfId="0" applyFont="1" applyBorder="1" applyAlignment="1" applyProtection="1">
      <alignment horizontal="center" vertical="center"/>
    </xf>
    <xf numFmtId="0" fontId="88" fillId="0" borderId="0" xfId="0" applyFont="1" applyBorder="1" applyAlignment="1">
      <alignment horizontal="left" vertical="top"/>
    </xf>
    <xf numFmtId="164" fontId="88" fillId="0" borderId="0" xfId="0" applyNumberFormat="1" applyFont="1" applyBorder="1" applyAlignment="1">
      <alignment horizontal="left" vertical="top"/>
    </xf>
    <xf numFmtId="0" fontId="96" fillId="0" borderId="0" xfId="0" applyFont="1" applyBorder="1" applyAlignment="1" applyProtection="1">
      <alignment horizontal="left" vertical="center"/>
    </xf>
    <xf numFmtId="0" fontId="97" fillId="0" borderId="0" xfId="0" applyFont="1" applyBorder="1" applyAlignment="1">
      <alignment horizontal="left" vertical="top"/>
    </xf>
    <xf numFmtId="0" fontId="84" fillId="0" borderId="0" xfId="0" applyFont="1" applyBorder="1" applyProtection="1"/>
    <xf numFmtId="0" fontId="84" fillId="0" borderId="0" xfId="0" applyFont="1" applyBorder="1" applyAlignment="1" applyProtection="1">
      <alignment horizontal="left"/>
    </xf>
    <xf numFmtId="0" fontId="88" fillId="0" borderId="0" xfId="0" applyFont="1" applyBorder="1" applyProtection="1"/>
    <xf numFmtId="0" fontId="83" fillId="0" borderId="0" xfId="0" applyFont="1" applyBorder="1" applyAlignment="1" applyProtection="1">
      <alignment horizontal="center" vertical="center"/>
    </xf>
    <xf numFmtId="164" fontId="83" fillId="0" borderId="2" xfId="0" applyNumberFormat="1" applyFont="1" applyBorder="1" applyAlignment="1" applyProtection="1">
      <alignment horizontal="center" vertical="center"/>
      <protection locked="0"/>
    </xf>
    <xf numFmtId="0" fontId="88" fillId="0" borderId="0" xfId="0" applyFont="1" applyBorder="1" applyAlignment="1">
      <alignment horizontal="left" vertical="center"/>
    </xf>
    <xf numFmtId="0" fontId="84" fillId="0" borderId="0" xfId="0" applyFont="1" applyBorder="1" applyAlignment="1" applyProtection="1">
      <alignment vertical="center"/>
    </xf>
    <xf numFmtId="164" fontId="89" fillId="0" borderId="0" xfId="0" applyNumberFormat="1" applyFont="1" applyBorder="1" applyAlignment="1" applyProtection="1">
      <alignment horizontal="right" vertical="center"/>
    </xf>
    <xf numFmtId="164" fontId="88" fillId="0" borderId="0" xfId="0" applyNumberFormat="1" applyFont="1" applyBorder="1" applyAlignment="1" applyProtection="1">
      <alignment vertical="center"/>
    </xf>
    <xf numFmtId="0" fontId="88" fillId="0" borderId="0" xfId="0" applyFont="1" applyBorder="1" applyAlignment="1" applyProtection="1">
      <alignment horizontal="left" vertical="center" indent="1"/>
    </xf>
    <xf numFmtId="0" fontId="83" fillId="0" borderId="2" xfId="0" applyFont="1" applyBorder="1" applyAlignment="1" applyProtection="1">
      <alignment horizontal="center" vertical="center"/>
      <protection locked="0"/>
    </xf>
    <xf numFmtId="164" fontId="89" fillId="0" borderId="0" xfId="0" applyNumberFormat="1" applyFont="1" applyBorder="1" applyAlignment="1" applyProtection="1">
      <alignment horizontal="right" vertical="center" wrapText="1"/>
    </xf>
    <xf numFmtId="164" fontId="88" fillId="0" borderId="0" xfId="0" applyNumberFormat="1" applyFont="1" applyBorder="1" applyAlignment="1">
      <alignment horizontal="left" vertical="center"/>
    </xf>
    <xf numFmtId="0" fontId="83" fillId="0" borderId="0" xfId="0" applyFont="1" applyBorder="1" applyAlignment="1" applyProtection="1">
      <alignment horizontal="left" vertical="center"/>
    </xf>
    <xf numFmtId="164" fontId="98" fillId="0" borderId="0" xfId="0" applyNumberFormat="1" applyFont="1" applyBorder="1" applyAlignment="1" applyProtection="1">
      <alignment horizontal="left" vertical="center" indent="1"/>
    </xf>
    <xf numFmtId="0" fontId="88" fillId="0" borderId="0" xfId="0" applyFont="1" applyAlignment="1">
      <alignment horizontal="left" vertical="center"/>
    </xf>
    <xf numFmtId="0" fontId="88" fillId="0" borderId="0" xfId="0" applyFont="1" applyAlignment="1">
      <alignment horizontal="left" vertical="center" indent="1"/>
    </xf>
    <xf numFmtId="0" fontId="98" fillId="0" borderId="0" xfId="0" applyFont="1" applyAlignment="1">
      <alignment horizontal="left" vertical="center" indent="1"/>
    </xf>
    <xf numFmtId="0" fontId="83" fillId="0" borderId="14" xfId="0" applyFont="1" applyBorder="1" applyAlignment="1" applyProtection="1">
      <alignment horizontal="center" vertical="center"/>
      <protection locked="0"/>
    </xf>
    <xf numFmtId="0" fontId="88" fillId="0" borderId="0" xfId="0" applyFont="1" applyBorder="1" applyAlignment="1">
      <alignment horizontal="left" vertical="center" indent="1"/>
    </xf>
    <xf numFmtId="0" fontId="83" fillId="0" borderId="0" xfId="0" applyFont="1" applyBorder="1" applyAlignment="1" applyProtection="1">
      <alignment horizontal="center" vertical="center"/>
      <protection locked="0"/>
    </xf>
    <xf numFmtId="0" fontId="88" fillId="0" borderId="0" xfId="0" applyFont="1" applyBorder="1" applyAlignment="1" applyProtection="1">
      <alignment vertical="center"/>
    </xf>
    <xf numFmtId="0" fontId="98" fillId="0" borderId="0" xfId="0" applyFont="1" applyAlignment="1">
      <alignment horizontal="left" vertical="center"/>
    </xf>
    <xf numFmtId="0" fontId="88" fillId="0" borderId="0" xfId="0" applyFont="1" applyBorder="1" applyAlignment="1" applyProtection="1">
      <alignment horizontal="left" vertical="top"/>
    </xf>
    <xf numFmtId="0" fontId="88" fillId="0" borderId="0" xfId="0" applyFont="1" applyBorder="1" applyAlignment="1" applyProtection="1">
      <alignment horizontal="left" vertical="top" indent="1"/>
    </xf>
    <xf numFmtId="0" fontId="98" fillId="0" borderId="0" xfId="0" applyFont="1" applyBorder="1" applyAlignment="1" applyProtection="1">
      <alignment horizontal="left" vertical="top" indent="1"/>
    </xf>
    <xf numFmtId="0" fontId="88" fillId="0" borderId="0" xfId="0" applyFont="1" applyAlignment="1">
      <alignment vertical="top"/>
    </xf>
    <xf numFmtId="0" fontId="88" fillId="0" borderId="0" xfId="0" applyFont="1" applyBorder="1" applyAlignment="1" applyProtection="1">
      <alignment vertical="top"/>
    </xf>
    <xf numFmtId="0" fontId="99" fillId="0" borderId="2" xfId="0" applyFont="1" applyBorder="1" applyAlignment="1" applyProtection="1">
      <alignment horizontal="center"/>
      <protection locked="0"/>
    </xf>
    <xf numFmtId="164" fontId="89" fillId="0" borderId="0" xfId="0" applyNumberFormat="1" applyFont="1" applyBorder="1" applyAlignment="1" applyProtection="1">
      <alignment horizontal="right"/>
    </xf>
    <xf numFmtId="0" fontId="90" fillId="0" borderId="14" xfId="0" applyFont="1" applyBorder="1" applyAlignment="1" applyProtection="1">
      <alignment horizontal="left"/>
    </xf>
    <xf numFmtId="0" fontId="88" fillId="0" borderId="0" xfId="0" applyFont="1" applyBorder="1" applyAlignment="1" applyProtection="1">
      <alignment horizontal="left" vertical="center"/>
    </xf>
    <xf numFmtId="0" fontId="90" fillId="0" borderId="0" xfId="0" applyFont="1" applyBorder="1" applyAlignment="1" applyProtection="1">
      <alignment horizontal="left" vertical="center"/>
    </xf>
    <xf numFmtId="14" fontId="84" fillId="0" borderId="0" xfId="0" applyNumberFormat="1" applyFont="1" applyBorder="1" applyAlignment="1" applyProtection="1">
      <alignment horizontal="center" vertical="center"/>
    </xf>
    <xf numFmtId="14" fontId="99" fillId="0" borderId="15" xfId="0" applyNumberFormat="1" applyFont="1" applyBorder="1" applyAlignment="1" applyProtection="1">
      <alignment horizontal="center" vertical="center"/>
      <protection locked="0"/>
    </xf>
    <xf numFmtId="0" fontId="100" fillId="0" borderId="0" xfId="0" applyFont="1" applyAlignment="1">
      <alignment horizontal="left" vertical="center"/>
    </xf>
    <xf numFmtId="0" fontId="90" fillId="0" borderId="0" xfId="0" applyFont="1" applyAlignment="1">
      <alignment horizontal="left" vertical="center"/>
    </xf>
    <xf numFmtId="0" fontId="96" fillId="0" borderId="0" xfId="0" applyFont="1" applyBorder="1" applyAlignment="1" applyProtection="1">
      <alignment horizontal="left" vertical="center" wrapText="1"/>
    </xf>
    <xf numFmtId="0" fontId="83" fillId="0" borderId="0" xfId="0" applyFont="1" applyBorder="1" applyAlignment="1" applyProtection="1">
      <alignment horizontal="center" vertical="center" wrapText="1"/>
    </xf>
    <xf numFmtId="0" fontId="84" fillId="0" borderId="0" xfId="0" applyFont="1" applyBorder="1" applyAlignment="1" applyProtection="1">
      <alignment horizontal="left" vertical="top"/>
    </xf>
    <xf numFmtId="0" fontId="90" fillId="0" borderId="0" xfId="0" applyFont="1" applyBorder="1" applyAlignment="1">
      <alignment horizontal="left" vertical="top"/>
    </xf>
    <xf numFmtId="0" fontId="90" fillId="0" borderId="0" xfId="0" applyFont="1" applyBorder="1" applyAlignment="1">
      <alignment horizontal="center" vertical="top"/>
    </xf>
    <xf numFmtId="0" fontId="88" fillId="0" borderId="0" xfId="0" applyFont="1" applyAlignment="1">
      <alignment horizontal="left"/>
    </xf>
    <xf numFmtId="0" fontId="88" fillId="0" borderId="0" xfId="0" applyFont="1"/>
    <xf numFmtId="0" fontId="90" fillId="0" borderId="0" xfId="0" applyFont="1" applyBorder="1" applyAlignment="1" applyProtection="1">
      <alignment horizontal="right" vertical="center"/>
    </xf>
    <xf numFmtId="14" fontId="90" fillId="0" borderId="112" xfId="0" applyNumberFormat="1" applyFont="1" applyBorder="1" applyAlignment="1" applyProtection="1">
      <alignment vertical="center"/>
      <protection locked="0"/>
    </xf>
    <xf numFmtId="164" fontId="83" fillId="0" borderId="0" xfId="0" applyNumberFormat="1" applyFont="1" applyBorder="1" applyAlignment="1" applyProtection="1">
      <alignment horizontal="center" vertical="center"/>
    </xf>
    <xf numFmtId="0" fontId="101" fillId="9" borderId="113" xfId="0" applyFont="1" applyFill="1" applyBorder="1" applyAlignment="1">
      <alignment horizontal="center" vertical="center"/>
    </xf>
    <xf numFmtId="0" fontId="101" fillId="9" borderId="114" xfId="0" applyFont="1" applyFill="1" applyBorder="1" applyAlignment="1">
      <alignment horizontal="center" vertical="center"/>
    </xf>
    <xf numFmtId="0" fontId="83" fillId="10" borderId="115" xfId="0" applyFont="1" applyFill="1" applyBorder="1" applyAlignment="1" applyProtection="1">
      <alignment horizontal="left" vertical="center"/>
    </xf>
    <xf numFmtId="164" fontId="83" fillId="10" borderId="115" xfId="0" applyNumberFormat="1" applyFont="1" applyFill="1" applyBorder="1" applyAlignment="1" applyProtection="1">
      <alignment horizontal="center" vertical="center"/>
    </xf>
    <xf numFmtId="164" fontId="89" fillId="10" borderId="115" xfId="0" applyNumberFormat="1" applyFont="1" applyFill="1" applyBorder="1" applyAlignment="1" applyProtection="1">
      <alignment vertical="center"/>
    </xf>
    <xf numFmtId="0" fontId="102" fillId="11" borderId="116" xfId="0" applyFont="1" applyFill="1" applyBorder="1" applyAlignment="1">
      <alignment horizontal="left" vertical="center"/>
    </xf>
    <xf numFmtId="38" fontId="103" fillId="11" borderId="117" xfId="0" applyNumberFormat="1" applyFont="1" applyFill="1" applyBorder="1" applyAlignment="1">
      <alignment horizontal="right"/>
    </xf>
    <xf numFmtId="38" fontId="103" fillId="11" borderId="118" xfId="0" applyNumberFormat="1" applyFont="1" applyFill="1" applyBorder="1" applyAlignment="1">
      <alignment horizontal="right"/>
    </xf>
    <xf numFmtId="0" fontId="104" fillId="12" borderId="117" xfId="0" applyFont="1" applyFill="1" applyBorder="1" applyAlignment="1">
      <alignment vertical="center"/>
    </xf>
    <xf numFmtId="164" fontId="83" fillId="13" borderId="119" xfId="0" applyNumberFormat="1" applyFont="1" applyFill="1" applyBorder="1" applyAlignment="1" applyProtection="1">
      <alignment horizontal="center" vertical="center"/>
    </xf>
    <xf numFmtId="164" fontId="89" fillId="13" borderId="118" xfId="0" applyNumberFormat="1" applyFont="1" applyFill="1" applyBorder="1" applyAlignment="1" applyProtection="1">
      <alignment vertical="center"/>
    </xf>
    <xf numFmtId="0" fontId="90" fillId="13" borderId="117" xfId="0" applyFont="1" applyFill="1" applyBorder="1" applyAlignment="1" applyProtection="1">
      <alignment vertical="center"/>
    </xf>
    <xf numFmtId="38" fontId="103" fillId="12" borderId="120" xfId="0" applyNumberFormat="1" applyFont="1" applyFill="1" applyBorder="1" applyAlignment="1" applyProtection="1">
      <alignment horizontal="right"/>
      <protection locked="0"/>
    </xf>
    <xf numFmtId="38" fontId="103" fillId="12" borderId="117" xfId="0" applyNumberFormat="1" applyFont="1" applyFill="1" applyBorder="1" applyAlignment="1" applyProtection="1">
      <alignment horizontal="right"/>
      <protection locked="0"/>
    </xf>
    <xf numFmtId="38" fontId="103" fillId="12" borderId="118" xfId="0" applyNumberFormat="1" applyFont="1" applyFill="1" applyBorder="1" applyAlignment="1" applyProtection="1">
      <alignment horizontal="right"/>
      <protection locked="0"/>
    </xf>
    <xf numFmtId="0" fontId="83" fillId="10" borderId="118" xfId="0" applyFont="1" applyFill="1" applyBorder="1" applyAlignment="1" applyProtection="1">
      <alignment horizontal="center" vertical="center"/>
    </xf>
    <xf numFmtId="164" fontId="83" fillId="10" borderId="118" xfId="0" applyNumberFormat="1" applyFont="1" applyFill="1" applyBorder="1" applyAlignment="1" applyProtection="1">
      <alignment horizontal="center" vertical="center"/>
    </xf>
    <xf numFmtId="164" fontId="89" fillId="10" borderId="118" xfId="0" applyNumberFormat="1" applyFont="1" applyFill="1" applyBorder="1" applyAlignment="1" applyProtection="1">
      <alignment vertical="center"/>
    </xf>
    <xf numFmtId="0" fontId="102" fillId="11" borderId="117" xfId="0" applyFont="1" applyFill="1" applyBorder="1" applyAlignment="1">
      <alignment horizontal="left" vertical="center"/>
    </xf>
    <xf numFmtId="0" fontId="83" fillId="10" borderId="0" xfId="0" applyFont="1" applyFill="1" applyBorder="1" applyAlignment="1" applyProtection="1">
      <alignment horizontal="left" vertical="center"/>
    </xf>
    <xf numFmtId="164" fontId="83" fillId="10" borderId="0" xfId="0" applyNumberFormat="1" applyFont="1" applyFill="1" applyBorder="1" applyAlignment="1" applyProtection="1">
      <alignment horizontal="center" vertical="center"/>
    </xf>
    <xf numFmtId="164" fontId="89" fillId="10" borderId="0" xfId="0" applyNumberFormat="1" applyFont="1" applyFill="1" applyBorder="1" applyAlignment="1" applyProtection="1">
      <alignment vertical="center"/>
    </xf>
    <xf numFmtId="0" fontId="88" fillId="13" borderId="119" xfId="0" applyFont="1" applyFill="1" applyBorder="1" applyAlignment="1" applyProtection="1">
      <alignment horizontal="left" vertical="center"/>
    </xf>
    <xf numFmtId="164" fontId="83" fillId="13" borderId="118" xfId="0" applyNumberFormat="1" applyFont="1" applyFill="1" applyBorder="1" applyAlignment="1" applyProtection="1">
      <alignment horizontal="center" vertical="center"/>
    </xf>
    <xf numFmtId="164" fontId="88" fillId="13" borderId="118" xfId="0" applyNumberFormat="1" applyFont="1" applyFill="1" applyBorder="1" applyAlignment="1" applyProtection="1">
      <alignment vertical="center"/>
    </xf>
    <xf numFmtId="0" fontId="104" fillId="12" borderId="117" xfId="0" applyFont="1" applyFill="1" applyBorder="1" applyAlignment="1">
      <alignment horizontal="left" vertical="center"/>
    </xf>
    <xf numFmtId="0" fontId="83" fillId="13" borderId="121" xfId="0" applyFont="1" applyFill="1" applyBorder="1" applyAlignment="1" applyProtection="1">
      <alignment horizontal="center" vertical="center"/>
    </xf>
    <xf numFmtId="164" fontId="83" fillId="13" borderId="122" xfId="0" applyNumberFormat="1" applyFont="1" applyFill="1" applyBorder="1" applyAlignment="1" applyProtection="1">
      <alignment horizontal="center" vertical="center"/>
    </xf>
    <xf numFmtId="164" fontId="89" fillId="13" borderId="122" xfId="0" applyNumberFormat="1" applyFont="1" applyFill="1" applyBorder="1" applyAlignment="1" applyProtection="1">
      <alignment vertical="center"/>
    </xf>
    <xf numFmtId="38" fontId="103" fillId="12" borderId="118" xfId="0" applyNumberFormat="1" applyFont="1" applyFill="1" applyBorder="1" applyAlignment="1">
      <alignment horizontal="right"/>
    </xf>
    <xf numFmtId="0" fontId="102" fillId="11" borderId="123" xfId="0" applyFont="1" applyFill="1" applyBorder="1" applyAlignment="1">
      <alignment horizontal="left" vertical="center"/>
    </xf>
    <xf numFmtId="38" fontId="103" fillId="11" borderId="123" xfId="0" applyNumberFormat="1" applyFont="1" applyFill="1" applyBorder="1" applyAlignment="1">
      <alignment horizontal="right"/>
    </xf>
    <xf numFmtId="38" fontId="103" fillId="11" borderId="0" xfId="0" applyNumberFormat="1" applyFont="1" applyFill="1" applyBorder="1" applyAlignment="1" applyProtection="1">
      <alignment horizontal="right"/>
      <protection locked="0"/>
    </xf>
    <xf numFmtId="1" fontId="84" fillId="0" borderId="0" xfId="0" applyNumberFormat="1" applyFont="1" applyBorder="1" applyAlignment="1" applyProtection="1">
      <alignment horizontal="center" vertical="center"/>
    </xf>
    <xf numFmtId="0" fontId="90" fillId="0" borderId="0" xfId="0" applyFont="1" applyBorder="1" applyAlignment="1" applyProtection="1">
      <alignment horizontal="center" vertical="center"/>
    </xf>
    <xf numFmtId="164" fontId="84" fillId="0" borderId="0" xfId="0" applyNumberFormat="1" applyFont="1" applyBorder="1" applyAlignment="1" applyProtection="1">
      <alignment horizontal="left" vertical="center" indent="1"/>
    </xf>
    <xf numFmtId="0" fontId="96" fillId="0" borderId="0" xfId="4" applyFont="1" applyBorder="1" applyAlignment="1" applyProtection="1">
      <alignment horizontal="left" vertical="center"/>
    </xf>
    <xf numFmtId="0" fontId="100" fillId="0" borderId="0" xfId="4" applyFont="1" applyAlignment="1">
      <alignment horizontal="left" vertical="center"/>
    </xf>
    <xf numFmtId="0" fontId="89" fillId="0" borderId="0" xfId="4" applyFont="1" applyBorder="1" applyAlignment="1" applyProtection="1">
      <alignment horizontal="left" vertical="center"/>
    </xf>
    <xf numFmtId="0" fontId="90" fillId="0" borderId="0" xfId="4" applyFont="1" applyBorder="1" applyAlignment="1" applyProtection="1">
      <alignment horizontal="right" vertical="center"/>
    </xf>
    <xf numFmtId="1" fontId="84" fillId="0" borderId="0" xfId="4" applyNumberFormat="1" applyFont="1" applyBorder="1" applyAlignment="1" applyProtection="1">
      <alignment horizontal="center" vertical="center"/>
    </xf>
    <xf numFmtId="0" fontId="90" fillId="0" borderId="0" xfId="4" applyFont="1" applyBorder="1" applyAlignment="1" applyProtection="1">
      <alignment vertical="center"/>
    </xf>
    <xf numFmtId="0" fontId="90" fillId="0" borderId="0" xfId="4" applyFont="1" applyBorder="1" applyAlignment="1" applyProtection="1">
      <alignment horizontal="center" vertical="center"/>
    </xf>
    <xf numFmtId="0" fontId="90" fillId="0" borderId="0" xfId="4" applyNumberFormat="1" applyFont="1" applyBorder="1" applyAlignment="1" applyProtection="1">
      <alignment vertical="center"/>
    </xf>
    <xf numFmtId="0" fontId="88" fillId="0" borderId="0" xfId="4" applyFont="1" applyBorder="1" applyAlignment="1">
      <alignment horizontal="left" indent="1"/>
    </xf>
    <xf numFmtId="0" fontId="84" fillId="0" borderId="0" xfId="4" applyFont="1" applyBorder="1"/>
    <xf numFmtId="164" fontId="89" fillId="0" borderId="0" xfId="4" applyNumberFormat="1" applyFont="1" applyBorder="1" applyAlignment="1" applyProtection="1">
      <alignment vertical="center"/>
    </xf>
    <xf numFmtId="0" fontId="90" fillId="0" borderId="0" xfId="4" applyFont="1" applyBorder="1"/>
    <xf numFmtId="0" fontId="84" fillId="0" borderId="0" xfId="4" applyFont="1" applyBorder="1" applyAlignment="1" applyProtection="1">
      <alignment horizontal="left" vertical="top"/>
    </xf>
    <xf numFmtId="0" fontId="88" fillId="0" borderId="0" xfId="4" applyFont="1" applyBorder="1"/>
    <xf numFmtId="0" fontId="83" fillId="0" borderId="0" xfId="4" applyFont="1" applyBorder="1" applyAlignment="1" applyProtection="1">
      <alignment horizontal="center" vertical="center"/>
    </xf>
    <xf numFmtId="164" fontId="89" fillId="0" borderId="0" xfId="4" applyNumberFormat="1" applyFont="1" applyBorder="1" applyAlignment="1" applyProtection="1">
      <alignment horizontal="right" vertical="center"/>
    </xf>
    <xf numFmtId="0" fontId="105" fillId="0" borderId="0" xfId="4" applyFont="1" applyBorder="1"/>
    <xf numFmtId="0" fontId="90" fillId="0" borderId="0" xfId="4" applyFont="1"/>
    <xf numFmtId="0" fontId="90" fillId="0" borderId="0" xfId="4" applyFont="1" applyProtection="1"/>
    <xf numFmtId="0" fontId="98" fillId="0" borderId="0" xfId="4" applyFont="1" applyBorder="1"/>
    <xf numFmtId="0" fontId="98" fillId="0" borderId="0" xfId="4" applyFont="1" applyBorder="1" applyAlignment="1">
      <alignment horizontal="center" vertical="top"/>
    </xf>
    <xf numFmtId="171" fontId="90" fillId="0" borderId="0" xfId="4" applyNumberFormat="1" applyFont="1" applyBorder="1" applyAlignment="1" applyProtection="1">
      <alignment horizontal="center" vertical="center"/>
    </xf>
    <xf numFmtId="0" fontId="98" fillId="0" borderId="0" xfId="4" applyFont="1" applyBorder="1" applyAlignment="1">
      <alignment horizontal="center"/>
    </xf>
    <xf numFmtId="0" fontId="90" fillId="0" borderId="0" xfId="4" applyFont="1" applyBorder="1" applyProtection="1"/>
    <xf numFmtId="0" fontId="90" fillId="0" borderId="0" xfId="4" applyFont="1" applyProtection="1">
      <protection locked="0"/>
    </xf>
    <xf numFmtId="0" fontId="90" fillId="0" borderId="0" xfId="4" applyFont="1" applyBorder="1" applyProtection="1">
      <protection locked="0"/>
    </xf>
    <xf numFmtId="0" fontId="90" fillId="0" borderId="0" xfId="4" applyFont="1" applyBorder="1" applyAlignment="1">
      <alignment horizontal="center" vertical="center"/>
    </xf>
    <xf numFmtId="164" fontId="88" fillId="0" borderId="0" xfId="4" applyNumberFormat="1" applyFont="1" applyBorder="1"/>
    <xf numFmtId="0" fontId="98" fillId="0" borderId="16" xfId="4" applyFont="1" applyBorder="1" applyAlignment="1">
      <alignment horizontal="center"/>
    </xf>
    <xf numFmtId="0" fontId="84" fillId="0" borderId="0" xfId="4" applyFont="1" applyBorder="1" applyProtection="1"/>
    <xf numFmtId="0" fontId="90" fillId="0" borderId="0" xfId="0" applyFont="1"/>
    <xf numFmtId="0" fontId="98" fillId="0" borderId="0" xfId="0" applyFont="1" applyBorder="1"/>
    <xf numFmtId="0" fontId="98" fillId="0" borderId="0" xfId="0" applyFont="1" applyBorder="1" applyAlignment="1">
      <alignment horizontal="left" vertical="top" wrapText="1"/>
    </xf>
    <xf numFmtId="0" fontId="98" fillId="0" borderId="0" xfId="0" applyFont="1" applyBorder="1" applyAlignment="1">
      <alignment horizontal="center"/>
    </xf>
    <xf numFmtId="0" fontId="98" fillId="0" borderId="0" xfId="0" applyFont="1" applyBorder="1" applyAlignment="1" applyProtection="1">
      <alignment horizontal="center" vertical="top"/>
    </xf>
    <xf numFmtId="0" fontId="90" fillId="0" borderId="0" xfId="0" applyFont="1" applyBorder="1" applyAlignment="1">
      <alignment horizontal="center" vertical="center"/>
    </xf>
    <xf numFmtId="164" fontId="88" fillId="0" borderId="0" xfId="0" applyNumberFormat="1" applyFont="1" applyBorder="1"/>
    <xf numFmtId="0" fontId="83" fillId="0" borderId="0" xfId="0" applyFont="1" applyBorder="1" applyAlignment="1" applyProtection="1">
      <alignment horizontal="center"/>
    </xf>
    <xf numFmtId="0" fontId="98" fillId="0" borderId="0" xfId="0" applyFont="1" applyBorder="1" applyAlignment="1">
      <alignment horizontal="center" vertical="top"/>
    </xf>
    <xf numFmtId="171" fontId="90" fillId="0" borderId="0" xfId="0" applyNumberFormat="1" applyFont="1" applyBorder="1" applyAlignment="1" applyProtection="1">
      <alignment horizontal="center" vertical="center"/>
    </xf>
    <xf numFmtId="164" fontId="88" fillId="0" borderId="0" xfId="0" applyNumberFormat="1" applyFont="1" applyBorder="1" applyProtection="1"/>
    <xf numFmtId="0" fontId="106" fillId="0" borderId="0" xfId="0" applyFont="1" applyBorder="1" applyAlignment="1">
      <alignment horizontal="left" vertical="top" wrapText="1"/>
    </xf>
    <xf numFmtId="166" fontId="90" fillId="0" borderId="0" xfId="0" applyNumberFormat="1" applyFont="1" applyBorder="1" applyAlignment="1" applyProtection="1">
      <alignment horizontal="left" vertical="center"/>
    </xf>
    <xf numFmtId="164" fontId="88" fillId="0" borderId="0" xfId="0" applyNumberFormat="1" applyFont="1" applyBorder="1" applyAlignment="1" applyProtection="1">
      <alignment horizontal="left" vertical="center"/>
    </xf>
    <xf numFmtId="0" fontId="90" fillId="0" borderId="0" xfId="0" applyFont="1" applyAlignment="1">
      <alignment vertical="center"/>
    </xf>
    <xf numFmtId="0" fontId="89" fillId="0" borderId="0" xfId="0" applyFont="1" applyBorder="1" applyAlignment="1" applyProtection="1">
      <alignment vertical="center"/>
    </xf>
    <xf numFmtId="0" fontId="84" fillId="0" borderId="0" xfId="4" applyFont="1" applyBorder="1" applyAlignment="1">
      <alignment horizontal="left" indent="1"/>
    </xf>
    <xf numFmtId="0" fontId="94" fillId="0" borderId="0" xfId="0" applyFont="1" applyBorder="1" applyAlignment="1" applyProtection="1">
      <alignment horizontal="center" vertical="center"/>
    </xf>
    <xf numFmtId="0" fontId="84" fillId="0" borderId="0" xfId="0" applyFont="1" applyAlignment="1" applyProtection="1">
      <alignment vertical="center"/>
    </xf>
    <xf numFmtId="0" fontId="107" fillId="0" borderId="0" xfId="0" applyFont="1" applyBorder="1" applyAlignment="1" applyProtection="1">
      <alignment horizontal="left" vertical="center"/>
    </xf>
    <xf numFmtId="0" fontId="83" fillId="0" borderId="0" xfId="0" applyFont="1" applyBorder="1" applyAlignment="1" applyProtection="1">
      <alignment vertical="center"/>
    </xf>
    <xf numFmtId="0" fontId="108" fillId="0" borderId="0" xfId="0" applyFont="1" applyBorder="1" applyAlignment="1" applyProtection="1">
      <alignment vertical="center"/>
    </xf>
    <xf numFmtId="0" fontId="88" fillId="0" borderId="0" xfId="0" applyFont="1" applyBorder="1" applyAlignment="1" applyProtection="1">
      <alignment horizontal="left" vertical="center" indent="3"/>
    </xf>
    <xf numFmtId="38" fontId="90" fillId="0" borderId="2" xfId="0" applyNumberFormat="1" applyFont="1" applyBorder="1" applyAlignment="1" applyProtection="1">
      <alignment vertical="center"/>
      <protection locked="0"/>
    </xf>
    <xf numFmtId="0" fontId="8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176" fontId="90" fillId="0" borderId="2" xfId="0" applyNumberFormat="1" applyFont="1" applyBorder="1" applyAlignment="1" applyProtection="1">
      <alignment vertical="center" wrapText="1"/>
      <protection locked="0"/>
    </xf>
    <xf numFmtId="0" fontId="84" fillId="0" borderId="0" xfId="0" applyFont="1" applyBorder="1" applyAlignment="1" applyProtection="1">
      <alignment horizontal="center" vertical="center"/>
    </xf>
    <xf numFmtId="0" fontId="109" fillId="0" borderId="0" xfId="0" applyFont="1" applyBorder="1" applyAlignment="1" applyProtection="1">
      <alignment horizontal="center" vertical="center" wrapText="1"/>
    </xf>
    <xf numFmtId="0" fontId="110" fillId="0" borderId="0" xfId="0" applyNumberFormat="1" applyFont="1" applyBorder="1" applyAlignment="1" applyProtection="1">
      <alignment horizontal="left" vertical="center" wrapText="1"/>
    </xf>
    <xf numFmtId="0" fontId="84" fillId="0" borderId="0" xfId="0" applyFont="1" applyAlignment="1">
      <alignment horizontal="left" vertical="center" wrapText="1"/>
    </xf>
    <xf numFmtId="0" fontId="89" fillId="0" borderId="0" xfId="0" applyFont="1" applyBorder="1" applyAlignment="1" applyProtection="1">
      <alignment horizontal="center"/>
    </xf>
    <xf numFmtId="0" fontId="84" fillId="0" borderId="0" xfId="0" applyFont="1" applyBorder="1" applyAlignment="1" applyProtection="1"/>
    <xf numFmtId="0" fontId="89" fillId="0" borderId="0" xfId="0" applyFont="1" applyBorder="1" applyAlignment="1" applyProtection="1">
      <alignment horizontal="center" wrapText="1"/>
    </xf>
    <xf numFmtId="0" fontId="84" fillId="0" borderId="0" xfId="0" applyFont="1" applyBorder="1" applyAlignment="1" applyProtection="1">
      <alignment horizontal="right" vertical="center"/>
    </xf>
    <xf numFmtId="0" fontId="111" fillId="0" borderId="0" xfId="0" applyFont="1" applyBorder="1" applyAlignment="1" applyProtection="1">
      <alignment vertical="center"/>
    </xf>
    <xf numFmtId="0" fontId="98" fillId="0" borderId="0" xfId="0" applyFont="1" applyBorder="1" applyAlignment="1" applyProtection="1">
      <alignment vertical="center"/>
    </xf>
    <xf numFmtId="38" fontId="83" fillId="0" borderId="2" xfId="0" applyNumberFormat="1" applyFont="1" applyBorder="1" applyAlignment="1" applyProtection="1">
      <alignment horizontal="center" vertical="center"/>
      <protection locked="0"/>
    </xf>
    <xf numFmtId="0" fontId="84" fillId="0" borderId="0" xfId="0" applyFont="1" applyAlignment="1" applyProtection="1">
      <alignment horizontal="right" vertical="center"/>
    </xf>
    <xf numFmtId="0" fontId="88" fillId="0" borderId="6" xfId="0" applyFont="1" applyFill="1" applyBorder="1" applyAlignment="1" applyProtection="1">
      <alignment vertical="center"/>
    </xf>
    <xf numFmtId="38" fontId="90" fillId="0" borderId="2" xfId="0" applyNumberFormat="1" applyFont="1" applyBorder="1" applyAlignment="1" applyProtection="1">
      <alignment horizontal="center" vertical="center"/>
      <protection locked="0"/>
    </xf>
    <xf numFmtId="0" fontId="84" fillId="0" borderId="6" xfId="0" applyFont="1" applyBorder="1" applyAlignment="1" applyProtection="1">
      <alignment horizontal="right" vertical="center"/>
    </xf>
    <xf numFmtId="40" fontId="88" fillId="0" borderId="0" xfId="0" applyNumberFormat="1" applyFont="1" applyBorder="1" applyAlignment="1" applyProtection="1">
      <alignment horizontal="center" vertical="center"/>
    </xf>
    <xf numFmtId="0" fontId="112" fillId="0" borderId="0" xfId="0" applyFont="1" applyBorder="1" applyAlignment="1" applyProtection="1">
      <alignment vertical="center"/>
    </xf>
    <xf numFmtId="0" fontId="84" fillId="0" borderId="8" xfId="0" applyFont="1" applyFill="1" applyBorder="1" applyAlignment="1" applyProtection="1">
      <alignment vertical="center"/>
    </xf>
    <xf numFmtId="0" fontId="88" fillId="0" borderId="0" xfId="0" applyFont="1" applyBorder="1" applyAlignment="1" applyProtection="1">
      <alignment horizontal="right" vertical="center"/>
    </xf>
    <xf numFmtId="0" fontId="88" fillId="0" borderId="2" xfId="0" applyFont="1" applyBorder="1" applyAlignment="1" applyProtection="1">
      <alignment vertical="center"/>
    </xf>
    <xf numFmtId="38" fontId="90" fillId="2" borderId="2" xfId="0" applyNumberFormat="1" applyFont="1" applyFill="1" applyBorder="1" applyAlignment="1" applyProtection="1">
      <alignment vertical="center"/>
    </xf>
    <xf numFmtId="0" fontId="84" fillId="3" borderId="2" xfId="0" applyFont="1" applyFill="1" applyBorder="1" applyAlignment="1" applyProtection="1">
      <alignment vertical="center"/>
    </xf>
    <xf numFmtId="0" fontId="99" fillId="0" borderId="2" xfId="0" applyNumberFormat="1" applyFont="1" applyBorder="1" applyAlignment="1" applyProtection="1">
      <alignment horizontal="center" vertical="center"/>
      <protection locked="0"/>
    </xf>
    <xf numFmtId="38" fontId="90" fillId="0" borderId="0" xfId="0" applyNumberFormat="1" applyFont="1" applyBorder="1" applyAlignment="1" applyProtection="1">
      <alignment horizontal="center" vertical="center"/>
    </xf>
    <xf numFmtId="0" fontId="90" fillId="0" borderId="0" xfId="0" applyFont="1" applyBorder="1" applyAlignment="1" applyProtection="1">
      <alignment horizontal="left" vertical="top"/>
    </xf>
    <xf numFmtId="0" fontId="111" fillId="0" borderId="0" xfId="0" applyFont="1" applyBorder="1" applyAlignment="1" applyProtection="1">
      <alignment horizontal="left"/>
    </xf>
    <xf numFmtId="0" fontId="111" fillId="0" borderId="0" xfId="0" applyFont="1" applyBorder="1" applyAlignment="1" applyProtection="1"/>
    <xf numFmtId="0" fontId="113" fillId="0" borderId="0" xfId="0" applyFont="1" applyBorder="1" applyAlignment="1" applyProtection="1">
      <alignment horizontal="right" vertical="center"/>
    </xf>
    <xf numFmtId="0" fontId="90" fillId="0" borderId="0" xfId="0" applyFont="1" applyProtection="1"/>
    <xf numFmtId="0" fontId="84" fillId="0" borderId="0" xfId="0" applyFont="1" applyProtection="1"/>
    <xf numFmtId="0" fontId="114" fillId="0" borderId="0" xfId="2" applyFont="1" applyAlignment="1" applyProtection="1">
      <alignment horizontal="centerContinuous" vertical="center"/>
    </xf>
    <xf numFmtId="0" fontId="90" fillId="0" borderId="0" xfId="0" applyFont="1" applyAlignment="1">
      <alignment horizontal="centerContinuous" vertical="center"/>
    </xf>
    <xf numFmtId="0" fontId="84" fillId="0" borderId="0" xfId="0" applyFont="1" applyAlignment="1" applyProtection="1">
      <alignment horizontal="centerContinuous" vertical="center"/>
    </xf>
    <xf numFmtId="0" fontId="99" fillId="0" borderId="0" xfId="0" applyFont="1"/>
    <xf numFmtId="0" fontId="84" fillId="0" borderId="0" xfId="0" applyNumberFormat="1" applyFont="1" applyAlignment="1">
      <alignment horizontal="left"/>
    </xf>
    <xf numFmtId="0" fontId="90" fillId="0" borderId="0" xfId="0" applyFont="1" applyAlignment="1">
      <alignment horizontal="left"/>
    </xf>
    <xf numFmtId="174" fontId="84" fillId="0" borderId="0" xfId="0" applyNumberFormat="1" applyFont="1" applyAlignment="1">
      <alignment horizontal="left"/>
    </xf>
    <xf numFmtId="174" fontId="90" fillId="0" borderId="0" xfId="0" applyNumberFormat="1" applyFont="1" applyAlignment="1">
      <alignment horizontal="left"/>
    </xf>
    <xf numFmtId="0" fontId="84" fillId="0" borderId="0" xfId="0" applyNumberFormat="1" applyFont="1" applyBorder="1" applyAlignment="1" applyProtection="1">
      <alignment horizontal="left"/>
    </xf>
    <xf numFmtId="0" fontId="84" fillId="0" borderId="0" xfId="0" applyFont="1" applyBorder="1" applyAlignment="1" applyProtection="1">
      <alignment horizontal="right"/>
    </xf>
    <xf numFmtId="49" fontId="84" fillId="0" borderId="0" xfId="0" applyNumberFormat="1" applyFont="1" applyBorder="1" applyAlignment="1" applyProtection="1">
      <alignment horizontal="left" vertical="center"/>
    </xf>
    <xf numFmtId="49" fontId="83" fillId="0" borderId="0" xfId="0" applyNumberFormat="1" applyFont="1" applyBorder="1" applyAlignment="1" applyProtection="1">
      <alignment horizontal="left" vertical="center"/>
    </xf>
    <xf numFmtId="0" fontId="83" fillId="0" borderId="0" xfId="0" applyFont="1" applyBorder="1" applyProtection="1"/>
    <xf numFmtId="0" fontId="83" fillId="0" borderId="0" xfId="0" applyFont="1" applyBorder="1" applyAlignment="1" applyProtection="1">
      <alignment horizontal="right"/>
    </xf>
    <xf numFmtId="0" fontId="90" fillId="0" borderId="0" xfId="17" applyNumberFormat="1" applyFont="1" applyBorder="1" applyAlignment="1" applyProtection="1">
      <alignment horizontal="right"/>
    </xf>
    <xf numFmtId="49" fontId="88" fillId="0" borderId="0" xfId="0" applyNumberFormat="1" applyFont="1" applyBorder="1" applyAlignment="1" applyProtection="1">
      <alignment horizontal="left" vertical="center"/>
    </xf>
    <xf numFmtId="0" fontId="88" fillId="0" borderId="0" xfId="0" applyFont="1" applyFill="1" applyBorder="1" applyProtection="1"/>
    <xf numFmtId="40" fontId="88" fillId="0" borderId="0" xfId="0" applyNumberFormat="1" applyFont="1" applyBorder="1" applyAlignment="1" applyProtection="1">
      <alignment horizontal="right"/>
    </xf>
    <xf numFmtId="37" fontId="88" fillId="0" borderId="0" xfId="0" applyNumberFormat="1" applyFont="1" applyBorder="1" applyProtection="1"/>
    <xf numFmtId="175" fontId="88" fillId="0" borderId="0" xfId="0" applyNumberFormat="1" applyFont="1" applyFill="1" applyBorder="1" applyAlignment="1" applyProtection="1">
      <alignment horizontal="right"/>
    </xf>
    <xf numFmtId="173" fontId="88" fillId="0" borderId="0" xfId="0" applyNumberFormat="1" applyFont="1" applyBorder="1" applyProtection="1"/>
    <xf numFmtId="0" fontId="88" fillId="0" borderId="0" xfId="17" applyNumberFormat="1" applyFont="1" applyBorder="1" applyAlignment="1" applyProtection="1">
      <alignment horizontal="right"/>
    </xf>
    <xf numFmtId="0" fontId="88" fillId="0" borderId="0" xfId="0" applyFont="1" applyProtection="1"/>
    <xf numFmtId="0" fontId="88" fillId="0" borderId="0" xfId="0" applyFont="1" applyBorder="1" applyAlignment="1" applyProtection="1">
      <alignment vertical="center" wrapText="1"/>
    </xf>
    <xf numFmtId="0" fontId="88" fillId="0" borderId="0" xfId="0" applyFont="1" applyBorder="1" applyAlignment="1" applyProtection="1">
      <alignment horizontal="right"/>
    </xf>
    <xf numFmtId="2" fontId="88" fillId="0" borderId="0" xfId="0" applyNumberFormat="1" applyFont="1" applyBorder="1" applyAlignment="1" applyProtection="1">
      <alignment horizontal="right"/>
    </xf>
    <xf numFmtId="0" fontId="115" fillId="0" borderId="0" xfId="0" applyFont="1" applyAlignment="1" applyProtection="1">
      <alignment horizontal="left"/>
    </xf>
    <xf numFmtId="0" fontId="88" fillId="0" borderId="0" xfId="0" applyFont="1" applyAlignment="1">
      <alignment wrapText="1"/>
    </xf>
    <xf numFmtId="0" fontId="84" fillId="0" borderId="0" xfId="0" applyFont="1" applyFill="1" applyBorder="1" applyProtection="1"/>
    <xf numFmtId="0" fontId="84" fillId="0" borderId="0" xfId="0" applyFont="1" applyBorder="1" applyAlignment="1" applyProtection="1">
      <alignment horizontal="center"/>
    </xf>
    <xf numFmtId="175" fontId="88" fillId="0" borderId="0" xfId="0" quotePrefix="1" applyNumberFormat="1" applyFont="1" applyBorder="1" applyAlignment="1" applyProtection="1">
      <alignment horizontal="right"/>
    </xf>
    <xf numFmtId="0" fontId="89" fillId="0" borderId="0" xfId="0" applyFont="1" applyProtection="1"/>
    <xf numFmtId="0" fontId="88" fillId="0" borderId="0" xfId="17" quotePrefix="1" applyNumberFormat="1" applyFont="1" applyBorder="1" applyAlignment="1" applyProtection="1">
      <alignment horizontal="right"/>
    </xf>
    <xf numFmtId="0" fontId="88" fillId="0" borderId="0" xfId="0" applyFont="1" applyBorder="1" applyAlignment="1" applyProtection="1">
      <alignment vertical="top" wrapText="1"/>
    </xf>
    <xf numFmtId="37" fontId="88" fillId="0" borderId="0" xfId="0" applyNumberFormat="1" applyFont="1" applyBorder="1" applyAlignment="1" applyProtection="1">
      <alignment horizontal="right"/>
    </xf>
    <xf numFmtId="175" fontId="88" fillId="4" borderId="0" xfId="0" quotePrefix="1" applyNumberFormat="1" applyFont="1" applyFill="1" applyBorder="1" applyAlignment="1" applyProtection="1">
      <alignment horizontal="right"/>
    </xf>
    <xf numFmtId="38" fontId="88" fillId="0" borderId="0" xfId="0" applyNumberFormat="1" applyFont="1" applyBorder="1" applyProtection="1"/>
    <xf numFmtId="40" fontId="88" fillId="0" borderId="0" xfId="0" applyNumberFormat="1" applyFont="1" applyFill="1" applyBorder="1" applyAlignment="1" applyProtection="1">
      <alignment horizontal="right"/>
    </xf>
    <xf numFmtId="1" fontId="88" fillId="0" borderId="0" xfId="0" applyNumberFormat="1" applyFont="1" applyBorder="1" applyProtection="1"/>
    <xf numFmtId="39" fontId="88" fillId="0" borderId="0" xfId="0" applyNumberFormat="1" applyFont="1" applyBorder="1" applyProtection="1"/>
    <xf numFmtId="1" fontId="90" fillId="0" borderId="0" xfId="17" applyNumberFormat="1" applyFont="1" applyBorder="1" applyAlignment="1" applyProtection="1">
      <alignment horizontal="right"/>
    </xf>
    <xf numFmtId="40" fontId="88" fillId="0" borderId="0" xfId="0" applyNumberFormat="1" applyFont="1" applyBorder="1" applyAlignment="1" applyProtection="1">
      <alignment horizontal="right" vertical="center"/>
    </xf>
    <xf numFmtId="3" fontId="88" fillId="0" borderId="0" xfId="0" applyNumberFormat="1" applyFont="1" applyBorder="1" applyAlignment="1" applyProtection="1">
      <alignment horizontal="right" vertical="center"/>
    </xf>
    <xf numFmtId="173" fontId="88" fillId="0" borderId="0" xfId="0" applyNumberFormat="1" applyFont="1" applyBorder="1" applyAlignment="1" applyProtection="1">
      <alignment horizontal="right"/>
    </xf>
    <xf numFmtId="2" fontId="88" fillId="0" borderId="0" xfId="0" applyNumberFormat="1" applyFont="1" applyBorder="1" applyAlignment="1" applyProtection="1">
      <alignment horizontal="right" vertical="center"/>
    </xf>
    <xf numFmtId="40" fontId="88" fillId="0" borderId="0" xfId="0" applyNumberFormat="1" applyFont="1" applyFill="1" applyBorder="1" applyAlignment="1" applyProtection="1">
      <alignment horizontal="right" vertical="center"/>
    </xf>
    <xf numFmtId="49" fontId="88" fillId="0" borderId="0" xfId="0" applyNumberFormat="1" applyFont="1" applyBorder="1" applyProtection="1"/>
    <xf numFmtId="0" fontId="88" fillId="0" borderId="0" xfId="0" applyFont="1" applyBorder="1" applyAlignment="1" applyProtection="1">
      <alignment horizontal="center"/>
    </xf>
    <xf numFmtId="172" fontId="88" fillId="0" borderId="0" xfId="0" applyNumberFormat="1" applyFont="1" applyBorder="1" applyAlignment="1" applyProtection="1">
      <alignment horizontal="right"/>
    </xf>
    <xf numFmtId="0" fontId="89" fillId="0" borderId="0" xfId="0" applyFont="1" applyFill="1" applyBorder="1" applyAlignment="1" applyProtection="1">
      <alignment horizontal="center"/>
    </xf>
    <xf numFmtId="0" fontId="84" fillId="0" borderId="0" xfId="0" applyFont="1" applyFill="1" applyBorder="1" applyAlignment="1" applyProtection="1">
      <alignment horizontal="right"/>
    </xf>
    <xf numFmtId="0" fontId="83" fillId="0" borderId="0" xfId="0" applyFont="1" applyFill="1" applyBorder="1" applyAlignment="1" applyProtection="1">
      <alignment horizontal="left"/>
    </xf>
    <xf numFmtId="0" fontId="99" fillId="0" borderId="0" xfId="0" applyFont="1" applyFill="1" applyBorder="1" applyAlignment="1" applyProtection="1">
      <alignment horizontal="right"/>
    </xf>
    <xf numFmtId="2" fontId="99" fillId="0" borderId="0" xfId="0" applyNumberFormat="1" applyFont="1" applyFill="1" applyBorder="1" applyAlignment="1" applyProtection="1">
      <alignment horizontal="right"/>
    </xf>
    <xf numFmtId="0" fontId="113" fillId="0" borderId="0" xfId="0" applyFont="1" applyProtection="1"/>
    <xf numFmtId="0" fontId="84" fillId="0" borderId="0" xfId="0" applyFont="1" applyFill="1" applyBorder="1" applyAlignment="1" applyProtection="1">
      <alignment horizontal="center"/>
    </xf>
    <xf numFmtId="0" fontId="96" fillId="0" borderId="0" xfId="17" applyNumberFormat="1" applyFont="1" applyFill="1" applyBorder="1" applyAlignment="1" applyProtection="1">
      <alignment horizontal="right"/>
    </xf>
    <xf numFmtId="49" fontId="113" fillId="0" borderId="0" xfId="0" applyNumberFormat="1" applyFont="1" applyAlignment="1" applyProtection="1">
      <alignment horizontal="right" vertical="top"/>
    </xf>
    <xf numFmtId="0" fontId="88" fillId="0" borderId="0" xfId="0" applyFont="1" applyBorder="1" applyAlignment="1" applyProtection="1">
      <alignment horizontal="left"/>
    </xf>
    <xf numFmtId="49" fontId="84" fillId="0" borderId="0" xfId="0" applyNumberFormat="1" applyFont="1" applyBorder="1" applyAlignment="1" applyProtection="1">
      <alignment horizontal="left" vertical="top"/>
    </xf>
    <xf numFmtId="0" fontId="88" fillId="0" borderId="0" xfId="0" applyFont="1" applyAlignment="1" applyProtection="1">
      <alignment horizontal="left"/>
    </xf>
    <xf numFmtId="49" fontId="84" fillId="0" borderId="0" xfId="0" applyNumberFormat="1" applyFont="1" applyAlignment="1" applyProtection="1">
      <alignment horizontal="left" vertical="center"/>
    </xf>
    <xf numFmtId="49" fontId="84" fillId="0" borderId="0" xfId="0" applyNumberFormat="1" applyFont="1" applyAlignment="1" applyProtection="1">
      <alignment horizontal="left" vertical="top"/>
    </xf>
    <xf numFmtId="0" fontId="84" fillId="0" borderId="0" xfId="0" applyFont="1" applyAlignment="1" applyProtection="1">
      <alignment horizontal="right"/>
    </xf>
    <xf numFmtId="0" fontId="88" fillId="0" borderId="0" xfId="0" applyFont="1" applyAlignment="1" applyProtection="1">
      <alignment horizontal="right"/>
    </xf>
    <xf numFmtId="49" fontId="116" fillId="0" borderId="0" xfId="0" applyNumberFormat="1" applyFont="1" applyAlignment="1" applyProtection="1">
      <alignment horizontal="right" vertical="top"/>
    </xf>
    <xf numFmtId="0" fontId="88" fillId="0" borderId="17" xfId="0" applyFont="1" applyBorder="1" applyAlignment="1" applyProtection="1">
      <alignment horizontal="center" vertical="center"/>
    </xf>
    <xf numFmtId="49" fontId="83" fillId="0" borderId="17" xfId="0" applyNumberFormat="1" applyFont="1" applyBorder="1" applyAlignment="1" applyProtection="1">
      <alignment horizontal="center" vertical="center"/>
    </xf>
    <xf numFmtId="49" fontId="90" fillId="0" borderId="17" xfId="0" applyNumberFormat="1" applyFont="1" applyBorder="1" applyAlignment="1" applyProtection="1">
      <alignment horizontal="center" vertical="center"/>
    </xf>
    <xf numFmtId="49" fontId="99" fillId="0" borderId="3" xfId="0" applyNumberFormat="1" applyFont="1" applyBorder="1" applyAlignment="1" applyProtection="1">
      <alignment horizontal="centerContinuous" vertical="center"/>
    </xf>
    <xf numFmtId="49" fontId="90" fillId="0" borderId="5" xfId="0" applyNumberFormat="1" applyFont="1" applyBorder="1" applyAlignment="1" applyProtection="1">
      <alignment horizontal="centerContinuous" vertical="center"/>
    </xf>
    <xf numFmtId="0" fontId="90" fillId="0" borderId="0" xfId="0" applyFont="1" applyAlignment="1" applyProtection="1">
      <alignmen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0" fontId="89" fillId="0" borderId="18" xfId="0" applyFont="1" applyBorder="1" applyAlignment="1" applyProtection="1">
      <alignment horizontal="center" vertical="center" wrapText="1"/>
    </xf>
    <xf numFmtId="43" fontId="89" fillId="0" borderId="2" xfId="1" applyFont="1" applyBorder="1" applyAlignment="1" applyProtection="1">
      <alignment horizontal="center" vertical="center" wrapText="1"/>
    </xf>
    <xf numFmtId="0" fontId="89" fillId="0" borderId="2" xfId="0" applyFont="1" applyBorder="1" applyAlignment="1" applyProtection="1">
      <alignment horizontal="center" vertical="center" wrapText="1"/>
    </xf>
    <xf numFmtId="0" fontId="88" fillId="0" borderId="14" xfId="0" applyFont="1" applyBorder="1" applyAlignment="1" applyProtection="1">
      <alignment horizontal="left" vertical="center" indent="1"/>
    </xf>
    <xf numFmtId="0" fontId="88" fillId="0" borderId="19" xfId="0" applyFont="1" applyBorder="1" applyAlignment="1" applyProtection="1">
      <alignment horizontal="center" vertical="center"/>
    </xf>
    <xf numFmtId="38" fontId="84" fillId="0" borderId="19" xfId="0" applyNumberFormat="1" applyFont="1" applyBorder="1" applyAlignment="1" applyProtection="1">
      <alignment horizontal="right"/>
      <protection locked="0"/>
    </xf>
    <xf numFmtId="38" fontId="84" fillId="0" borderId="2" xfId="0" applyNumberFormat="1" applyFont="1" applyBorder="1" applyAlignment="1" applyProtection="1">
      <alignment horizontal="right"/>
      <protection locked="0"/>
    </xf>
    <xf numFmtId="38" fontId="84" fillId="0" borderId="2" xfId="0" applyNumberFormat="1" applyFont="1" applyFill="1" applyBorder="1" applyAlignment="1" applyProtection="1">
      <alignment horizontal="right"/>
      <protection locked="0"/>
    </xf>
    <xf numFmtId="38" fontId="84" fillId="3" borderId="20" xfId="0" applyNumberFormat="1" applyFont="1" applyFill="1" applyBorder="1" applyAlignment="1" applyProtection="1">
      <alignment horizontal="right"/>
    </xf>
    <xf numFmtId="38" fontId="84" fillId="3" borderId="7" xfId="0" applyNumberFormat="1" applyFont="1" applyFill="1" applyBorder="1" applyAlignment="1" applyProtection="1">
      <alignment horizontal="right"/>
    </xf>
    <xf numFmtId="0" fontId="88" fillId="0" borderId="2" xfId="0" applyFont="1" applyBorder="1" applyAlignment="1" applyProtection="1">
      <alignment horizontal="center" vertical="center"/>
    </xf>
    <xf numFmtId="38" fontId="84" fillId="0" borderId="17" xfId="0" applyNumberFormat="1" applyFont="1" applyBorder="1" applyAlignment="1" applyProtection="1">
      <alignment horizontal="right"/>
      <protection locked="0"/>
    </xf>
    <xf numFmtId="38" fontId="84" fillId="0" borderId="0" xfId="0" applyNumberFormat="1" applyFont="1" applyBorder="1" applyAlignment="1" applyProtection="1">
      <alignment horizontal="right"/>
      <protection locked="0"/>
    </xf>
    <xf numFmtId="0" fontId="88" fillId="0" borderId="19" xfId="0" applyFont="1" applyBorder="1" applyAlignment="1" applyProtection="1">
      <alignment horizontal="left" vertical="center" indent="1"/>
    </xf>
    <xf numFmtId="38" fontId="84" fillId="0" borderId="17" xfId="0" applyNumberFormat="1" applyFont="1" applyFill="1" applyBorder="1" applyAlignment="1" applyProtection="1">
      <alignment horizontal="right"/>
      <protection locked="0"/>
    </xf>
    <xf numFmtId="38" fontId="84" fillId="2" borderId="17" xfId="0" applyNumberFormat="1" applyFont="1" applyFill="1" applyBorder="1" applyAlignment="1" applyProtection="1">
      <alignment horizontal="right"/>
    </xf>
    <xf numFmtId="38" fontId="84" fillId="0" borderId="19" xfId="0" applyNumberFormat="1" applyFont="1" applyFill="1" applyBorder="1" applyAlignment="1" applyProtection="1">
      <alignment horizontal="right"/>
      <protection locked="0"/>
    </xf>
    <xf numFmtId="38" fontId="84" fillId="2" borderId="20" xfId="0" applyNumberFormat="1" applyFont="1" applyFill="1" applyBorder="1" applyAlignment="1" applyProtection="1">
      <alignment horizontal="right"/>
    </xf>
    <xf numFmtId="38" fontId="84" fillId="0" borderId="18" xfId="0" applyNumberFormat="1" applyFont="1" applyFill="1" applyBorder="1" applyAlignment="1" applyProtection="1">
      <alignment horizontal="right"/>
      <protection locked="0"/>
    </xf>
    <xf numFmtId="38" fontId="84" fillId="0" borderId="20" xfId="0" applyNumberFormat="1" applyFont="1" applyFill="1" applyBorder="1" applyAlignment="1" applyProtection="1">
      <alignment horizontal="right"/>
      <protection locked="0"/>
    </xf>
    <xf numFmtId="38" fontId="84" fillId="2" borderId="18" xfId="0" applyNumberFormat="1" applyFont="1" applyFill="1" applyBorder="1" applyAlignment="1" applyProtection="1">
      <alignment horizontal="right"/>
    </xf>
    <xf numFmtId="38" fontId="84" fillId="0" borderId="18" xfId="0" applyNumberFormat="1" applyFont="1" applyBorder="1" applyAlignment="1" applyProtection="1">
      <alignment horizontal="right"/>
      <protection locked="0"/>
    </xf>
    <xf numFmtId="164" fontId="88" fillId="0" borderId="2" xfId="0" applyNumberFormat="1" applyFont="1" applyFill="1" applyBorder="1" applyAlignment="1" applyProtection="1">
      <alignment horizontal="left" vertical="center"/>
    </xf>
    <xf numFmtId="0" fontId="88" fillId="0" borderId="2" xfId="0" applyFont="1" applyFill="1" applyBorder="1" applyAlignment="1" applyProtection="1">
      <alignment horizontal="center" vertical="center"/>
    </xf>
    <xf numFmtId="38" fontId="84" fillId="2" borderId="7" xfId="0" applyNumberFormat="1" applyFont="1" applyFill="1" applyBorder="1" applyAlignment="1" applyProtection="1">
      <alignment horizontal="right"/>
    </xf>
    <xf numFmtId="0" fontId="90" fillId="0" borderId="0" xfId="0" applyFont="1" applyFill="1" applyAlignment="1" applyProtection="1">
      <alignment vertical="center"/>
    </xf>
    <xf numFmtId="38" fontId="84" fillId="2" borderId="0" xfId="0" applyNumberFormat="1" applyFont="1" applyFill="1" applyBorder="1" applyAlignment="1" applyProtection="1">
      <alignment horizontal="right"/>
    </xf>
    <xf numFmtId="38" fontId="84" fillId="0" borderId="2" xfId="0" applyNumberFormat="1" applyFont="1" applyFill="1" applyBorder="1" applyAlignment="1" applyProtection="1">
      <alignment horizontal="right"/>
    </xf>
    <xf numFmtId="38" fontId="84" fillId="0" borderId="3" xfId="0" applyNumberFormat="1" applyFont="1" applyFill="1" applyBorder="1" applyAlignment="1" applyProtection="1">
      <alignment horizontal="right"/>
      <protection locked="0"/>
    </xf>
    <xf numFmtId="38" fontId="84" fillId="0" borderId="21" xfId="0" applyNumberFormat="1" applyFont="1" applyFill="1" applyBorder="1" applyAlignment="1" applyProtection="1">
      <alignment horizontal="right"/>
      <protection locked="0"/>
    </xf>
    <xf numFmtId="0" fontId="88" fillId="0" borderId="10" xfId="0" applyFont="1" applyBorder="1" applyAlignment="1" applyProtection="1">
      <alignment horizontal="left" vertical="center" indent="1"/>
    </xf>
    <xf numFmtId="0" fontId="88" fillId="0" borderId="18" xfId="0" applyFont="1" applyBorder="1" applyAlignment="1" applyProtection="1">
      <alignment horizontal="center" vertical="center"/>
    </xf>
    <xf numFmtId="38" fontId="84" fillId="0" borderId="20" xfId="0" applyNumberFormat="1" applyFont="1" applyBorder="1" applyAlignment="1" applyProtection="1">
      <alignment horizontal="right"/>
      <protection locked="0"/>
    </xf>
    <xf numFmtId="0" fontId="88" fillId="0" borderId="8" xfId="0" applyFont="1" applyBorder="1" applyAlignment="1" applyProtection="1">
      <alignment horizontal="left" vertical="center" indent="1"/>
    </xf>
    <xf numFmtId="0" fontId="88" fillId="0" borderId="19" xfId="0" applyFont="1" applyBorder="1" applyAlignment="1" applyProtection="1">
      <alignment horizontal="left" vertical="center" wrapText="1" indent="1"/>
    </xf>
    <xf numFmtId="38" fontId="84" fillId="0" borderId="18" xfId="0" applyNumberFormat="1" applyFont="1" applyBorder="1" applyAlignment="1" applyProtection="1">
      <alignment horizontal="right"/>
    </xf>
    <xf numFmtId="0" fontId="88" fillId="0" borderId="2" xfId="0" applyFont="1" applyFill="1" applyBorder="1" applyAlignment="1" applyProtection="1">
      <alignment horizontal="left" vertical="center" indent="1"/>
    </xf>
    <xf numFmtId="38" fontId="90" fillId="2" borderId="20" xfId="0" applyNumberFormat="1" applyFont="1" applyFill="1" applyBorder="1" applyAlignment="1">
      <alignment horizontal="right"/>
    </xf>
    <xf numFmtId="0" fontId="88" fillId="0" borderId="4" xfId="0" applyFont="1" applyFill="1" applyBorder="1" applyAlignment="1" applyProtection="1">
      <alignment horizontal="left" vertical="center" indent="1"/>
    </xf>
    <xf numFmtId="0" fontId="88" fillId="0" borderId="5" xfId="0" applyFont="1" applyFill="1" applyBorder="1" applyAlignment="1" applyProtection="1">
      <alignment horizontal="center" vertical="center"/>
    </xf>
    <xf numFmtId="38" fontId="84" fillId="2" borderId="17" xfId="0" applyNumberFormat="1" applyFont="1" applyFill="1" applyBorder="1" applyAlignment="1">
      <alignment horizontal="right"/>
    </xf>
    <xf numFmtId="0" fontId="88" fillId="0" borderId="0" xfId="0" applyFont="1" applyAlignment="1" applyProtection="1">
      <alignment vertical="center"/>
    </xf>
    <xf numFmtId="0" fontId="88" fillId="0" borderId="0" xfId="0" applyFont="1" applyAlignment="1" applyProtection="1">
      <alignment horizontal="center" vertical="center"/>
    </xf>
    <xf numFmtId="38" fontId="90" fillId="0" borderId="0" xfId="0" applyNumberFormat="1" applyFont="1" applyAlignment="1" applyProtection="1">
      <alignment vertical="center"/>
    </xf>
    <xf numFmtId="49" fontId="89" fillId="0" borderId="17" xfId="0" applyNumberFormat="1" applyFont="1" applyBorder="1" applyAlignment="1" applyProtection="1">
      <alignment horizontal="center" vertical="center"/>
    </xf>
    <xf numFmtId="0" fontId="90" fillId="0" borderId="0" xfId="0" applyFont="1" applyAlignment="1" applyProtection="1">
      <alignment horizontal="center" vertical="center"/>
    </xf>
    <xf numFmtId="0" fontId="84" fillId="0" borderId="0" xfId="0" applyFont="1" applyFill="1" applyAlignment="1" applyProtection="1">
      <alignment horizontal="center" vertical="center"/>
    </xf>
    <xf numFmtId="0" fontId="90" fillId="0" borderId="0" xfId="0" applyFont="1" applyFill="1" applyAlignment="1" applyProtection="1">
      <alignment horizontal="center" vertical="center"/>
    </xf>
    <xf numFmtId="38" fontId="84" fillId="3" borderId="14" xfId="0" applyNumberFormat="1" applyFont="1" applyFill="1" applyBorder="1" applyAlignment="1" applyProtection="1">
      <alignment horizontal="right"/>
    </xf>
    <xf numFmtId="38" fontId="84" fillId="3" borderId="0" xfId="0" applyNumberFormat="1" applyFont="1" applyFill="1" applyBorder="1" applyAlignment="1" applyProtection="1">
      <alignment horizontal="right"/>
    </xf>
    <xf numFmtId="38" fontId="84" fillId="3" borderId="17" xfId="0" applyNumberFormat="1" applyFont="1" applyFill="1" applyBorder="1" applyAlignment="1" applyProtection="1">
      <alignment horizontal="right"/>
    </xf>
    <xf numFmtId="38" fontId="84" fillId="3" borderId="21" xfId="0" applyNumberFormat="1" applyFont="1" applyFill="1" applyBorder="1" applyAlignment="1" applyProtection="1">
      <alignment horizontal="right"/>
    </xf>
    <xf numFmtId="38" fontId="84" fillId="3" borderId="2" xfId="0" applyNumberFormat="1" applyFont="1" applyFill="1" applyBorder="1" applyAlignment="1" applyProtection="1">
      <alignment horizontal="right"/>
    </xf>
    <xf numFmtId="3" fontId="90" fillId="0" borderId="0" xfId="0" applyNumberFormat="1" applyFont="1" applyAlignment="1" applyProtection="1">
      <alignment vertical="center"/>
    </xf>
    <xf numFmtId="0" fontId="98" fillId="0" borderId="8" xfId="0" applyFont="1" applyBorder="1" applyAlignment="1" applyProtection="1">
      <alignment horizontal="left" indent="2"/>
    </xf>
    <xf numFmtId="0" fontId="88" fillId="0" borderId="10" xfId="0" applyFont="1" applyBorder="1" applyAlignment="1" applyProtection="1">
      <alignment horizontal="center" vertical="center"/>
    </xf>
    <xf numFmtId="38" fontId="84" fillId="0" borderId="9" xfId="0" applyNumberFormat="1" applyFont="1" applyBorder="1" applyAlignment="1" applyProtection="1">
      <alignment horizontal="right"/>
      <protection locked="0"/>
    </xf>
    <xf numFmtId="38" fontId="84" fillId="0" borderId="10" xfId="0" applyNumberFormat="1" applyFont="1" applyBorder="1" applyAlignment="1" applyProtection="1">
      <alignment horizontal="right"/>
      <protection locked="0"/>
    </xf>
    <xf numFmtId="0" fontId="83" fillId="0" borderId="0" xfId="0" applyFont="1" applyAlignment="1" applyProtection="1">
      <alignment vertical="center"/>
    </xf>
    <xf numFmtId="0" fontId="99" fillId="0" borderId="0" xfId="0" applyFont="1" applyAlignment="1" applyProtection="1">
      <alignment vertical="center"/>
    </xf>
    <xf numFmtId="38" fontId="84" fillId="3" borderId="10" xfId="0" applyNumberFormat="1" applyFont="1" applyFill="1" applyBorder="1" applyAlignment="1" applyProtection="1">
      <alignment horizontal="right"/>
    </xf>
    <xf numFmtId="38" fontId="84" fillId="3" borderId="18" xfId="0" applyNumberFormat="1" applyFont="1" applyFill="1" applyBorder="1" applyAlignment="1" applyProtection="1">
      <alignment horizontal="right"/>
    </xf>
    <xf numFmtId="38" fontId="84" fillId="3" borderId="9" xfId="0" applyNumberFormat="1" applyFont="1" applyFill="1" applyBorder="1" applyAlignment="1" applyProtection="1">
      <alignment horizontal="right"/>
    </xf>
    <xf numFmtId="38" fontId="84" fillId="3" borderId="19" xfId="0" applyNumberFormat="1" applyFont="1" applyFill="1" applyBorder="1" applyAlignment="1" applyProtection="1">
      <alignment horizontal="right"/>
    </xf>
    <xf numFmtId="0" fontId="84" fillId="0" borderId="0" xfId="0" applyFont="1" applyFill="1" applyAlignment="1" applyProtection="1">
      <alignment vertical="center"/>
    </xf>
    <xf numFmtId="0" fontId="88" fillId="0" borderId="18" xfId="0" applyFont="1" applyFill="1" applyBorder="1" applyAlignment="1" applyProtection="1">
      <alignment horizontal="center" vertical="center"/>
    </xf>
    <xf numFmtId="38" fontId="84" fillId="2" borderId="2" xfId="0" applyNumberFormat="1" applyFont="1" applyFill="1" applyBorder="1" applyAlignment="1" applyProtection="1">
      <alignment horizontal="right"/>
    </xf>
    <xf numFmtId="0" fontId="88" fillId="0" borderId="2" xfId="0" applyFont="1" applyFill="1" applyBorder="1" applyAlignment="1" applyProtection="1">
      <alignment horizontal="center" vertical="top"/>
    </xf>
    <xf numFmtId="38" fontId="84" fillId="2" borderId="22" xfId="0" applyNumberFormat="1" applyFont="1" applyFill="1" applyBorder="1" applyAlignment="1" applyProtection="1">
      <alignment horizontal="right"/>
    </xf>
    <xf numFmtId="0" fontId="84" fillId="0" borderId="0" xfId="0" applyFont="1" applyFill="1" applyBorder="1" applyAlignment="1" applyProtection="1">
      <alignment vertical="center"/>
    </xf>
    <xf numFmtId="38" fontId="84" fillId="0" borderId="23" xfId="0" applyNumberFormat="1" applyFont="1" applyFill="1" applyBorder="1" applyAlignment="1" applyProtection="1">
      <alignment horizontal="right"/>
      <protection locked="0"/>
    </xf>
    <xf numFmtId="38" fontId="84" fillId="0" borderId="24" xfId="0" applyNumberFormat="1" applyFont="1" applyFill="1" applyBorder="1" applyAlignment="1" applyProtection="1">
      <alignment horizontal="right"/>
      <protection locked="0"/>
    </xf>
    <xf numFmtId="38" fontId="84" fillId="0" borderId="25" xfId="0" applyNumberFormat="1" applyFont="1" applyFill="1" applyBorder="1" applyAlignment="1" applyProtection="1">
      <alignment horizontal="right"/>
      <protection locked="0"/>
    </xf>
    <xf numFmtId="38" fontId="84" fillId="0" borderId="0" xfId="0" applyNumberFormat="1" applyFont="1" applyAlignment="1" applyProtection="1"/>
    <xf numFmtId="0" fontId="88" fillId="0" borderId="10" xfId="0" applyFont="1" applyFill="1" applyBorder="1" applyAlignment="1" applyProtection="1">
      <alignment horizontal="center" vertical="center"/>
    </xf>
    <xf numFmtId="38" fontId="84" fillId="0" borderId="26" xfId="0" applyNumberFormat="1" applyFont="1" applyFill="1" applyBorder="1" applyAlignment="1" applyProtection="1">
      <alignment horizontal="right"/>
      <protection locked="0"/>
    </xf>
    <xf numFmtId="0" fontId="88" fillId="0" borderId="27" xfId="0" applyFont="1" applyBorder="1" applyAlignment="1" applyProtection="1">
      <alignment horizontal="left" vertical="center" indent="4"/>
    </xf>
    <xf numFmtId="0" fontId="88" fillId="0" borderId="28" xfId="0" applyFont="1" applyBorder="1" applyAlignment="1" applyProtection="1">
      <alignment horizontal="center" vertical="center"/>
    </xf>
    <xf numFmtId="40" fontId="84" fillId="5" borderId="24" xfId="0" applyNumberFormat="1" applyFont="1" applyFill="1" applyBorder="1" applyAlignment="1" applyProtection="1">
      <alignment horizontal="right" vertical="center"/>
    </xf>
    <xf numFmtId="0" fontId="88" fillId="0" borderId="21" xfId="0" applyFont="1" applyBorder="1" applyAlignment="1" applyProtection="1">
      <alignment horizontal="left" vertical="center" indent="4"/>
    </xf>
    <xf numFmtId="9" fontId="84" fillId="5" borderId="24" xfId="0" applyNumberFormat="1" applyFont="1" applyFill="1" applyBorder="1" applyAlignment="1" applyProtection="1">
      <alignment horizontal="right" vertical="center"/>
    </xf>
    <xf numFmtId="1" fontId="83" fillId="0" borderId="18" xfId="0" applyNumberFormat="1" applyFont="1" applyBorder="1" applyAlignment="1" applyProtection="1">
      <alignment horizontal="center" vertical="center" wrapText="1"/>
    </xf>
    <xf numFmtId="3" fontId="83" fillId="0" borderId="18" xfId="0" applyNumberFormat="1" applyFont="1" applyBorder="1" applyAlignment="1" applyProtection="1">
      <alignment horizontal="center" vertical="center" wrapText="1"/>
    </xf>
    <xf numFmtId="3" fontId="84" fillId="3" borderId="18" xfId="0" applyNumberFormat="1" applyFont="1" applyFill="1" applyBorder="1" applyAlignment="1" applyProtection="1">
      <alignment horizontal="center"/>
    </xf>
    <xf numFmtId="3" fontId="90" fillId="3" borderId="10" xfId="0" applyNumberFormat="1" applyFont="1" applyFill="1" applyBorder="1" applyAlignment="1" applyProtection="1">
      <alignment horizontal="center"/>
    </xf>
    <xf numFmtId="38" fontId="90" fillId="3" borderId="18" xfId="0" applyNumberFormat="1" applyFont="1" applyFill="1" applyBorder="1" applyAlignment="1" applyProtection="1">
      <alignment horizontal="center"/>
    </xf>
    <xf numFmtId="3" fontId="90" fillId="3" borderId="18" xfId="0" applyNumberFormat="1" applyFont="1" applyFill="1" applyBorder="1" applyAlignment="1" applyProtection="1">
      <alignment horizontal="center"/>
    </xf>
    <xf numFmtId="0" fontId="88" fillId="0" borderId="19" xfId="0" applyFont="1" applyBorder="1" applyAlignment="1" applyProtection="1">
      <alignment horizontal="center"/>
    </xf>
    <xf numFmtId="38" fontId="84" fillId="0" borderId="0" xfId="0" applyNumberFormat="1" applyFont="1" applyAlignment="1" applyProtection="1">
      <alignment horizontal="right"/>
      <protection locked="0"/>
    </xf>
    <xf numFmtId="0" fontId="88" fillId="0" borderId="2" xfId="0" applyFont="1" applyBorder="1" applyAlignment="1" applyProtection="1">
      <alignment horizontal="center"/>
    </xf>
    <xf numFmtId="0" fontId="88" fillId="0" borderId="2" xfId="0" applyFont="1" applyBorder="1" applyAlignment="1" applyProtection="1">
      <alignment horizontal="center" vertical="center" wrapText="1"/>
    </xf>
    <xf numFmtId="38" fontId="84" fillId="0" borderId="21" xfId="0" applyNumberFormat="1" applyFont="1" applyBorder="1" applyAlignment="1" applyProtection="1">
      <alignment horizontal="right"/>
      <protection locked="0"/>
    </xf>
    <xf numFmtId="38" fontId="90" fillId="0" borderId="0" xfId="0" applyNumberFormat="1" applyFont="1" applyProtection="1"/>
    <xf numFmtId="38" fontId="84" fillId="3" borderId="6" xfId="0" applyNumberFormat="1" applyFont="1" applyFill="1" applyBorder="1" applyAlignment="1" applyProtection="1">
      <alignment horizontal="right"/>
    </xf>
    <xf numFmtId="37" fontId="84" fillId="3" borderId="6" xfId="0" applyNumberFormat="1" applyFont="1" applyFill="1" applyBorder="1" applyAlignment="1" applyProtection="1">
      <alignment horizontal="right"/>
    </xf>
    <xf numFmtId="37" fontId="84" fillId="3" borderId="20" xfId="0" applyNumberFormat="1" applyFont="1" applyFill="1" applyBorder="1" applyAlignment="1" applyProtection="1">
      <alignment horizontal="right"/>
    </xf>
    <xf numFmtId="0" fontId="88" fillId="0" borderId="20" xfId="0" applyFont="1" applyFill="1" applyBorder="1" applyAlignment="1" applyProtection="1">
      <alignment horizontal="center" vertical="center"/>
    </xf>
    <xf numFmtId="0" fontId="88" fillId="0" borderId="2" xfId="0" applyFont="1" applyBorder="1" applyAlignment="1" applyProtection="1">
      <alignment horizontal="center" vertical="top"/>
    </xf>
    <xf numFmtId="0" fontId="88" fillId="0" borderId="20" xfId="0" applyFont="1" applyFill="1" applyBorder="1" applyAlignment="1" applyProtection="1">
      <alignment horizontal="center" vertical="top"/>
    </xf>
    <xf numFmtId="0" fontId="88" fillId="0" borderId="7" xfId="0" applyFont="1" applyFill="1" applyBorder="1" applyAlignment="1" applyProtection="1">
      <alignment horizontal="center" vertical="center"/>
    </xf>
    <xf numFmtId="38" fontId="84" fillId="0" borderId="9" xfId="0" applyNumberFormat="1" applyFont="1" applyFill="1" applyBorder="1" applyAlignment="1" applyProtection="1">
      <alignment horizontal="right"/>
      <protection locked="0"/>
    </xf>
    <xf numFmtId="38" fontId="84" fillId="3" borderId="0" xfId="0" applyNumberFormat="1" applyFont="1" applyFill="1" applyAlignment="1" applyProtection="1">
      <alignment horizontal="right"/>
    </xf>
    <xf numFmtId="1" fontId="88" fillId="0" borderId="2" xfId="0" applyNumberFormat="1" applyFont="1" applyBorder="1" applyAlignment="1" applyProtection="1">
      <alignment horizontal="center" vertical="center"/>
    </xf>
    <xf numFmtId="0" fontId="88" fillId="0" borderId="14" xfId="0" applyFont="1" applyBorder="1" applyAlignment="1" applyProtection="1">
      <alignment horizontal="left" vertical="top" wrapText="1" indent="1"/>
    </xf>
    <xf numFmtId="1" fontId="88" fillId="0" borderId="2" xfId="0" applyNumberFormat="1" applyFont="1" applyBorder="1" applyAlignment="1" applyProtection="1">
      <alignment horizontal="center" vertical="top"/>
    </xf>
    <xf numFmtId="38" fontId="84" fillId="3" borderId="29" xfId="0" applyNumberFormat="1" applyFont="1" applyFill="1" applyBorder="1" applyAlignment="1" applyProtection="1">
      <alignment horizontal="right"/>
    </xf>
    <xf numFmtId="38" fontId="84" fillId="3" borderId="22" xfId="0" applyNumberFormat="1" applyFont="1" applyFill="1" applyBorder="1" applyAlignment="1" applyProtection="1">
      <alignment horizontal="right"/>
    </xf>
    <xf numFmtId="1" fontId="88" fillId="0" borderId="18" xfId="0" applyNumberFormat="1" applyFont="1" applyBorder="1" applyAlignment="1" applyProtection="1">
      <alignment horizontal="center" vertical="center"/>
    </xf>
    <xf numFmtId="1" fontId="88" fillId="0" borderId="18" xfId="0" applyNumberFormat="1" applyFont="1" applyBorder="1" applyAlignment="1" applyProtection="1">
      <alignment horizontal="center" vertical="center"/>
    </xf>
    <xf numFmtId="38" fontId="84" fillId="0" borderId="18" xfId="0" applyNumberFormat="1" applyFont="1" applyBorder="1" applyAlignment="1" applyProtection="1">
      <alignment horizontal="right"/>
      <protection locked="0"/>
    </xf>
    <xf numFmtId="38" fontId="84" fillId="3" borderId="18" xfId="0" applyNumberFormat="1" applyFont="1" applyFill="1" applyBorder="1" applyAlignment="1" applyProtection="1">
      <alignment horizontal="right"/>
    </xf>
    <xf numFmtId="38" fontId="84" fillId="3" borderId="26" xfId="0" applyNumberFormat="1" applyFont="1" applyFill="1" applyBorder="1" applyAlignment="1" applyProtection="1">
      <alignment horizontal="right"/>
    </xf>
    <xf numFmtId="1" fontId="88" fillId="0" borderId="25" xfId="0" applyNumberFormat="1" applyFont="1" applyBorder="1" applyAlignment="1" applyProtection="1">
      <alignment horizontal="center" vertical="center"/>
    </xf>
    <xf numFmtId="38" fontId="84" fillId="0" borderId="25" xfId="0" applyNumberFormat="1" applyFont="1" applyBorder="1" applyAlignment="1" applyProtection="1">
      <alignment horizontal="right"/>
      <protection locked="0"/>
    </xf>
    <xf numFmtId="1" fontId="88" fillId="0" borderId="24" xfId="0" applyNumberFormat="1" applyFont="1" applyBorder="1" applyAlignment="1" applyProtection="1">
      <alignment horizontal="center" vertical="center"/>
    </xf>
    <xf numFmtId="38" fontId="84" fillId="0" borderId="30" xfId="0" applyNumberFormat="1" applyFont="1" applyBorder="1" applyAlignment="1" applyProtection="1">
      <alignment horizontal="right"/>
      <protection locked="0"/>
    </xf>
    <xf numFmtId="38" fontId="84" fillId="0" borderId="24" xfId="0" applyNumberFormat="1" applyFont="1" applyBorder="1" applyAlignment="1" applyProtection="1">
      <alignment horizontal="right"/>
      <protection locked="0"/>
    </xf>
    <xf numFmtId="38" fontId="84" fillId="0" borderId="31" xfId="0" applyNumberFormat="1" applyFont="1" applyFill="1" applyBorder="1" applyAlignment="1" applyProtection="1">
      <alignment horizontal="right"/>
      <protection locked="0"/>
    </xf>
    <xf numFmtId="38" fontId="84" fillId="0" borderId="23" xfId="0" applyNumberFormat="1" applyFont="1" applyBorder="1" applyAlignment="1" applyProtection="1">
      <alignment horizontal="right"/>
      <protection locked="0"/>
    </xf>
    <xf numFmtId="38" fontId="84" fillId="0" borderId="32" xfId="0" applyNumberFormat="1" applyFont="1" applyBorder="1" applyAlignment="1" applyProtection="1">
      <alignment horizontal="right" vertical="center"/>
      <protection locked="0"/>
    </xf>
    <xf numFmtId="38" fontId="84" fillId="0" borderId="25" xfId="0" applyNumberFormat="1" applyFont="1" applyBorder="1" applyAlignment="1" applyProtection="1">
      <alignment horizontal="right" vertical="center"/>
      <protection locked="0"/>
    </xf>
    <xf numFmtId="38" fontId="84" fillId="0" borderId="23" xfId="0" applyNumberFormat="1" applyFont="1" applyFill="1" applyBorder="1" applyAlignment="1" applyProtection="1">
      <alignment horizontal="right" vertical="center"/>
      <protection locked="0"/>
    </xf>
    <xf numFmtId="38" fontId="84" fillId="0" borderId="25" xfId="0" applyNumberFormat="1" applyFont="1" applyFill="1" applyBorder="1" applyAlignment="1" applyProtection="1">
      <alignment horizontal="right" vertical="center"/>
      <protection locked="0"/>
    </xf>
    <xf numFmtId="0" fontId="88" fillId="0" borderId="2" xfId="0" applyFont="1" applyBorder="1" applyAlignment="1" applyProtection="1">
      <alignment horizontal="center" vertical="top" wrapText="1"/>
    </xf>
    <xf numFmtId="38" fontId="84" fillId="3" borderId="33" xfId="0" applyNumberFormat="1" applyFont="1" applyFill="1" applyBorder="1" applyAlignment="1" applyProtection="1">
      <alignment horizontal="right"/>
    </xf>
    <xf numFmtId="38" fontId="84" fillId="0" borderId="2" xfId="0" applyNumberFormat="1" applyFont="1" applyFill="1" applyBorder="1" applyAlignment="1" applyProtection="1">
      <alignment horizontal="right" vertical="center"/>
      <protection locked="0"/>
    </xf>
    <xf numFmtId="38" fontId="84" fillId="2" borderId="2" xfId="0" applyNumberFormat="1" applyFont="1" applyFill="1" applyBorder="1" applyAlignment="1" applyProtection="1">
      <alignment horizontal="right" vertical="center"/>
    </xf>
    <xf numFmtId="0" fontId="88" fillId="0" borderId="20" xfId="0" applyFont="1" applyBorder="1" applyAlignment="1" applyProtection="1">
      <alignment horizontal="center" vertical="center"/>
    </xf>
    <xf numFmtId="0" fontId="88" fillId="0" borderId="124" xfId="0" applyFont="1" applyFill="1" applyBorder="1" applyAlignment="1" applyProtection="1">
      <alignment horizontal="center" vertical="center"/>
    </xf>
    <xf numFmtId="38" fontId="84" fillId="0" borderId="125" xfId="0" applyNumberFormat="1" applyFont="1" applyFill="1" applyBorder="1" applyAlignment="1" applyProtection="1">
      <alignment horizontal="right"/>
      <protection locked="0"/>
    </xf>
    <xf numFmtId="0" fontId="88" fillId="0" borderId="112" xfId="0" applyFont="1" applyFill="1" applyBorder="1" applyAlignment="1" applyProtection="1">
      <alignment horizontal="center" vertical="center"/>
    </xf>
    <xf numFmtId="38" fontId="84" fillId="0" borderId="126" xfId="0" applyNumberFormat="1" applyFont="1" applyFill="1" applyBorder="1" applyAlignment="1" applyProtection="1">
      <alignment horizontal="right"/>
      <protection locked="0"/>
    </xf>
    <xf numFmtId="38" fontId="84" fillId="0" borderId="127" xfId="0" applyNumberFormat="1" applyFont="1" applyFill="1" applyBorder="1" applyAlignment="1" applyProtection="1">
      <alignment horizontal="right"/>
      <protection locked="0"/>
    </xf>
    <xf numFmtId="0" fontId="90" fillId="0" borderId="0" xfId="0" applyFont="1" applyAlignment="1" applyProtection="1"/>
    <xf numFmtId="0" fontId="88" fillId="0" borderId="0" xfId="0" applyFont="1" applyAlignment="1" applyProtection="1">
      <alignment horizontal="left" vertical="center" wrapText="1"/>
    </xf>
    <xf numFmtId="0" fontId="88" fillId="0" borderId="0" xfId="0" applyFont="1" applyAlignment="1" applyProtection="1">
      <alignment horizontal="center" vertical="center" wrapText="1"/>
    </xf>
    <xf numFmtId="0" fontId="90" fillId="0" borderId="0" xfId="0" applyFont="1" applyAlignment="1" applyProtection="1">
      <alignment wrapText="1"/>
    </xf>
    <xf numFmtId="0" fontId="90" fillId="0" borderId="0" xfId="0" applyFont="1" applyAlignment="1"/>
    <xf numFmtId="38" fontId="84" fillId="3" borderId="28" xfId="0" applyNumberFormat="1" applyFont="1" applyFill="1" applyBorder="1" applyAlignment="1" applyProtection="1">
      <alignment horizontal="right" vertical="center"/>
    </xf>
    <xf numFmtId="38" fontId="84" fillId="3" borderId="22" xfId="0" applyNumberFormat="1" applyFont="1" applyFill="1" applyBorder="1" applyAlignment="1" applyProtection="1">
      <alignment horizontal="right" vertical="center"/>
    </xf>
    <xf numFmtId="38" fontId="84" fillId="3" borderId="0" xfId="0" applyNumberFormat="1" applyFont="1" applyFill="1" applyAlignment="1" applyProtection="1">
      <alignment horizontal="right" vertical="center"/>
    </xf>
    <xf numFmtId="38" fontId="84" fillId="3" borderId="20" xfId="0" applyNumberFormat="1" applyFont="1" applyFill="1" applyBorder="1" applyAlignment="1" applyProtection="1">
      <alignment horizontal="right" vertical="center"/>
    </xf>
    <xf numFmtId="49" fontId="88" fillId="0" borderId="17" xfId="0" applyNumberFormat="1" applyFont="1" applyBorder="1" applyAlignment="1">
      <alignment horizontal="center" vertical="center"/>
    </xf>
    <xf numFmtId="49" fontId="83" fillId="0" borderId="17" xfId="0" applyNumberFormat="1" applyFont="1" applyBorder="1" applyAlignment="1">
      <alignment horizontal="center" vertical="center"/>
    </xf>
    <xf numFmtId="49" fontId="84" fillId="0" borderId="17" xfId="0" applyNumberFormat="1" applyFont="1" applyBorder="1" applyAlignment="1">
      <alignment horizontal="center" vertical="center"/>
    </xf>
    <xf numFmtId="49" fontId="89" fillId="0" borderId="20" xfId="0" applyNumberFormat="1" applyFont="1" applyBorder="1" applyAlignment="1">
      <alignment horizontal="center" vertical="center" wrapText="1"/>
    </xf>
    <xf numFmtId="3" fontId="83" fillId="0" borderId="20" xfId="0" applyNumberFormat="1" applyFont="1" applyBorder="1" applyAlignment="1">
      <alignment horizontal="center" vertical="center"/>
    </xf>
    <xf numFmtId="3" fontId="83" fillId="0" borderId="20" xfId="0" applyNumberFormat="1" applyFont="1" applyBorder="1" applyAlignment="1">
      <alignment horizontal="center" vertical="center" wrapText="1"/>
    </xf>
    <xf numFmtId="0" fontId="90" fillId="0" borderId="0" xfId="0" applyFont="1" applyAlignment="1">
      <alignment horizontal="center" vertical="top" wrapText="1"/>
    </xf>
    <xf numFmtId="0" fontId="90" fillId="0" borderId="0" xfId="0" applyFont="1" applyBorder="1" applyAlignment="1">
      <alignment vertical="center"/>
    </xf>
    <xf numFmtId="3" fontId="84" fillId="3" borderId="18" xfId="0" applyNumberFormat="1" applyFont="1" applyFill="1" applyBorder="1" applyAlignment="1">
      <alignment horizontal="center"/>
    </xf>
    <xf numFmtId="3" fontId="84" fillId="3" borderId="20" xfId="0" applyNumberFormat="1" applyFont="1" applyFill="1" applyBorder="1" applyAlignment="1">
      <alignment horizontal="center"/>
    </xf>
    <xf numFmtId="3" fontId="84" fillId="3" borderId="18" xfId="0" applyNumberFormat="1" applyFont="1" applyFill="1" applyBorder="1" applyAlignment="1">
      <alignment horizontal="right"/>
    </xf>
    <xf numFmtId="0" fontId="88" fillId="0" borderId="0" xfId="0" applyFont="1" applyBorder="1" applyAlignment="1"/>
    <xf numFmtId="49" fontId="88" fillId="0" borderId="2" xfId="0" applyNumberFormat="1" applyFont="1" applyBorder="1" applyAlignment="1">
      <alignment horizontal="center" vertical="center"/>
    </xf>
    <xf numFmtId="38" fontId="84" fillId="6" borderId="2" xfId="0" applyNumberFormat="1" applyFont="1" applyFill="1" applyBorder="1" applyAlignment="1">
      <alignment horizontal="right"/>
    </xf>
    <xf numFmtId="38" fontId="84" fillId="3" borderId="20" xfId="0" applyNumberFormat="1" applyFont="1" applyFill="1" applyBorder="1" applyAlignment="1">
      <alignment horizontal="right"/>
    </xf>
    <xf numFmtId="49" fontId="89" fillId="6" borderId="23" xfId="0" applyNumberFormat="1" applyFont="1" applyFill="1" applyBorder="1" applyAlignment="1">
      <alignment horizontal="center" vertical="center"/>
    </xf>
    <xf numFmtId="38" fontId="84" fillId="3" borderId="22" xfId="0" applyNumberFormat="1" applyFont="1" applyFill="1" applyBorder="1" applyAlignment="1">
      <alignment horizontal="right"/>
    </xf>
    <xf numFmtId="0" fontId="88" fillId="0" borderId="0" xfId="0" applyFont="1" applyFill="1" applyBorder="1" applyAlignment="1"/>
    <xf numFmtId="0" fontId="88" fillId="0" borderId="0" xfId="0" applyFont="1" applyFill="1"/>
    <xf numFmtId="3" fontId="89" fillId="3" borderId="21" xfId="0" applyNumberFormat="1" applyFont="1" applyFill="1" applyBorder="1" applyAlignment="1">
      <alignment horizontal="left" vertical="center" wrapText="1" indent="1"/>
    </xf>
    <xf numFmtId="49" fontId="89" fillId="3" borderId="19" xfId="0" applyNumberFormat="1" applyFont="1" applyFill="1" applyBorder="1" applyAlignment="1">
      <alignment horizontal="center" vertical="center"/>
    </xf>
    <xf numFmtId="38" fontId="84" fillId="3" borderId="18" xfId="0" applyNumberFormat="1" applyFont="1" applyFill="1" applyBorder="1" applyAlignment="1">
      <alignment horizontal="right"/>
    </xf>
    <xf numFmtId="164" fontId="89" fillId="3" borderId="9" xfId="0" applyNumberFormat="1" applyFont="1" applyFill="1" applyBorder="1" applyAlignment="1">
      <alignment horizontal="left" vertical="center" wrapText="1" indent="1"/>
    </xf>
    <xf numFmtId="49" fontId="89" fillId="3" borderId="28" xfId="0" applyNumberFormat="1" applyFont="1" applyFill="1" applyBorder="1" applyAlignment="1">
      <alignment horizontal="center" vertical="center"/>
    </xf>
    <xf numFmtId="38" fontId="84" fillId="3" borderId="26" xfId="0" applyNumberFormat="1" applyFont="1" applyFill="1" applyBorder="1" applyAlignment="1">
      <alignment horizontal="right"/>
    </xf>
    <xf numFmtId="49" fontId="88" fillId="0" borderId="17" xfId="0" applyNumberFormat="1" applyFont="1" applyBorder="1" applyAlignment="1">
      <alignment horizontal="center" vertical="center" wrapText="1"/>
    </xf>
    <xf numFmtId="49" fontId="88" fillId="0" borderId="2" xfId="0" applyNumberFormat="1" applyFont="1" applyBorder="1" applyAlignment="1">
      <alignment horizontal="center" vertical="top"/>
    </xf>
    <xf numFmtId="38" fontId="84" fillId="3" borderId="28" xfId="0" applyNumberFormat="1" applyFont="1" applyFill="1" applyBorder="1" applyAlignment="1">
      <alignment horizontal="right"/>
    </xf>
    <xf numFmtId="49" fontId="88" fillId="0" borderId="18" xfId="0" applyNumberFormat="1" applyFont="1" applyBorder="1" applyAlignment="1">
      <alignment horizontal="center" vertical="center"/>
    </xf>
    <xf numFmtId="49" fontId="89" fillId="3" borderId="10" xfId="0" applyNumberFormat="1" applyFont="1" applyFill="1" applyBorder="1" applyAlignment="1">
      <alignment horizontal="center" vertical="center"/>
    </xf>
    <xf numFmtId="49" fontId="88" fillId="0" borderId="24" xfId="0" applyNumberFormat="1" applyFont="1" applyFill="1" applyBorder="1" applyAlignment="1">
      <alignment horizontal="center" vertical="center"/>
    </xf>
    <xf numFmtId="0" fontId="88" fillId="0" borderId="0" xfId="0" applyFont="1" applyAlignment="1">
      <alignment vertical="center"/>
    </xf>
    <xf numFmtId="38" fontId="84" fillId="7" borderId="18" xfId="0" applyNumberFormat="1" applyFont="1" applyFill="1" applyBorder="1" applyAlignment="1" applyProtection="1">
      <alignment horizontal="right"/>
      <protection locked="0"/>
    </xf>
    <xf numFmtId="0" fontId="88" fillId="0" borderId="26" xfId="0" applyFont="1" applyFill="1" applyBorder="1" applyAlignment="1">
      <alignment horizontal="center" vertical="center"/>
    </xf>
    <xf numFmtId="38" fontId="84" fillId="2" borderId="22" xfId="0" applyNumberFormat="1" applyFont="1" applyFill="1" applyBorder="1" applyAlignment="1">
      <alignment horizontal="right"/>
    </xf>
    <xf numFmtId="0" fontId="88" fillId="0" borderId="18" xfId="0" applyFont="1" applyFill="1" applyBorder="1" applyAlignment="1">
      <alignment horizontal="center" vertical="center"/>
    </xf>
    <xf numFmtId="38" fontId="84" fillId="2" borderId="20" xfId="0" applyNumberFormat="1" applyFont="1" applyFill="1" applyBorder="1" applyAlignment="1">
      <alignment horizontal="right"/>
    </xf>
    <xf numFmtId="0" fontId="88" fillId="0" borderId="2" xfId="0" applyFont="1" applyFill="1" applyBorder="1" applyAlignment="1">
      <alignment horizontal="center" vertical="center"/>
    </xf>
    <xf numFmtId="0" fontId="88" fillId="0" borderId="18" xfId="0" applyFont="1" applyFill="1" applyBorder="1" applyAlignment="1">
      <alignment horizontal="center" vertical="center"/>
    </xf>
    <xf numFmtId="38" fontId="84" fillId="0" borderId="18" xfId="0" applyNumberFormat="1" applyFont="1" applyFill="1" applyBorder="1" applyAlignment="1" applyProtection="1">
      <alignment horizontal="right"/>
      <protection locked="0"/>
    </xf>
    <xf numFmtId="38" fontId="84" fillId="2" borderId="18" xfId="0" applyNumberFormat="1" applyFont="1" applyFill="1" applyBorder="1" applyAlignment="1">
      <alignment horizontal="right"/>
    </xf>
    <xf numFmtId="49" fontId="88" fillId="0" borderId="18" xfId="0" applyNumberFormat="1" applyFont="1" applyFill="1" applyBorder="1" applyAlignment="1">
      <alignment horizontal="center" vertical="center"/>
    </xf>
    <xf numFmtId="164" fontId="89" fillId="2" borderId="21" xfId="0" applyNumberFormat="1" applyFont="1" applyFill="1" applyBorder="1" applyAlignment="1">
      <alignment horizontal="left" vertical="center" wrapText="1" indent="1"/>
    </xf>
    <xf numFmtId="49" fontId="89" fillId="2" borderId="19" xfId="0" applyNumberFormat="1" applyFont="1" applyFill="1" applyBorder="1" applyAlignment="1">
      <alignment horizontal="center" vertical="center"/>
    </xf>
    <xf numFmtId="0" fontId="88" fillId="0" borderId="0" xfId="0" applyFont="1" applyAlignment="1"/>
    <xf numFmtId="49" fontId="89" fillId="0" borderId="26" xfId="0" applyNumberFormat="1" applyFont="1" applyFill="1" applyBorder="1" applyAlignment="1">
      <alignment horizontal="center" vertical="center"/>
    </xf>
    <xf numFmtId="3" fontId="89" fillId="0" borderId="21" xfId="0" applyNumberFormat="1" applyFont="1" applyBorder="1" applyAlignment="1">
      <alignment horizontal="left" vertical="top" wrapText="1" indent="2"/>
    </xf>
    <xf numFmtId="49" fontId="88" fillId="0" borderId="14" xfId="0" applyNumberFormat="1" applyFont="1" applyFill="1" applyBorder="1" applyAlignment="1">
      <alignment horizontal="left" vertical="top" indent="1"/>
    </xf>
    <xf numFmtId="38" fontId="84" fillId="0" borderId="14" xfId="0" applyNumberFormat="1" applyFont="1" applyFill="1" applyBorder="1" applyAlignment="1">
      <alignment horizontal="right"/>
    </xf>
    <xf numFmtId="0" fontId="84" fillId="0" borderId="0" xfId="0" applyFont="1" applyAlignment="1">
      <alignment vertical="center"/>
    </xf>
    <xf numFmtId="3" fontId="89" fillId="3" borderId="3" xfId="0" applyNumberFormat="1" applyFont="1" applyFill="1" applyBorder="1" applyAlignment="1">
      <alignment horizontal="left" vertical="center" wrapText="1" indent="1"/>
    </xf>
    <xf numFmtId="164" fontId="89" fillId="3" borderId="21" xfId="0" applyNumberFormat="1" applyFont="1" applyFill="1" applyBorder="1" applyAlignment="1">
      <alignment horizontal="left" vertical="center" wrapText="1" indent="1"/>
    </xf>
    <xf numFmtId="38" fontId="84" fillId="3" borderId="2" xfId="0" applyNumberFormat="1" applyFont="1" applyFill="1" applyBorder="1" applyAlignment="1">
      <alignment horizontal="right"/>
    </xf>
    <xf numFmtId="49" fontId="88" fillId="0" borderId="26" xfId="0" applyNumberFormat="1" applyFont="1" applyFill="1" applyBorder="1" applyAlignment="1">
      <alignment horizontal="center" vertical="center"/>
    </xf>
    <xf numFmtId="38" fontId="84" fillId="0" borderId="26" xfId="0" applyNumberFormat="1" applyFont="1" applyBorder="1" applyAlignment="1" applyProtection="1">
      <alignment horizontal="right"/>
      <protection locked="0"/>
    </xf>
    <xf numFmtId="164" fontId="89" fillId="3" borderId="21" xfId="0" applyNumberFormat="1" applyFont="1" applyFill="1" applyBorder="1" applyAlignment="1" applyProtection="1">
      <alignment horizontal="left" vertical="center" wrapText="1" indent="1"/>
    </xf>
    <xf numFmtId="49" fontId="89" fillId="3" borderId="19" xfId="0" applyNumberFormat="1" applyFont="1" applyFill="1" applyBorder="1" applyAlignment="1" applyProtection="1">
      <alignment horizontal="center" vertical="center"/>
    </xf>
    <xf numFmtId="49" fontId="89" fillId="5" borderId="23" xfId="0" applyNumberFormat="1" applyFont="1" applyFill="1" applyBorder="1" applyAlignment="1">
      <alignment horizontal="center" vertical="center"/>
    </xf>
    <xf numFmtId="3" fontId="89" fillId="2" borderId="6" xfId="0" applyNumberFormat="1" applyFont="1" applyFill="1" applyBorder="1" applyAlignment="1">
      <alignment horizontal="left" vertical="center" wrapText="1" indent="1"/>
    </xf>
    <xf numFmtId="49" fontId="89" fillId="2" borderId="20" xfId="0" applyNumberFormat="1" applyFont="1" applyFill="1" applyBorder="1" applyAlignment="1">
      <alignment horizontal="center" vertical="center"/>
    </xf>
    <xf numFmtId="38" fontId="84" fillId="2" borderId="26" xfId="0" applyNumberFormat="1" applyFont="1" applyFill="1" applyBorder="1" applyAlignment="1">
      <alignment horizontal="right"/>
    </xf>
    <xf numFmtId="3" fontId="89" fillId="0" borderId="21" xfId="0" applyNumberFormat="1" applyFont="1" applyFill="1" applyBorder="1" applyAlignment="1">
      <alignment horizontal="left" vertical="top" wrapText="1" indent="2"/>
    </xf>
    <xf numFmtId="0" fontId="90" fillId="0" borderId="14" xfId="0" applyFont="1" applyFill="1" applyBorder="1" applyAlignment="1">
      <alignment horizontal="left" vertical="top" wrapText="1" indent="2"/>
    </xf>
    <xf numFmtId="0" fontId="90" fillId="0" borderId="0" xfId="0" applyFont="1" applyFill="1" applyBorder="1" applyAlignment="1"/>
    <xf numFmtId="0" fontId="90" fillId="0" borderId="0" xfId="0" applyFont="1" applyFill="1" applyBorder="1"/>
    <xf numFmtId="0" fontId="84" fillId="0" borderId="0" xfId="0" applyFont="1" applyBorder="1" applyAlignment="1"/>
    <xf numFmtId="0" fontId="84" fillId="0" borderId="0" xfId="0" applyFont="1"/>
    <xf numFmtId="3" fontId="89" fillId="3" borderId="9" xfId="0" applyNumberFormat="1" applyFont="1" applyFill="1" applyBorder="1" applyAlignment="1">
      <alignment horizontal="left" vertical="center" wrapText="1" indent="1"/>
    </xf>
    <xf numFmtId="49" fontId="89" fillId="3" borderId="26" xfId="0" applyNumberFormat="1" applyFont="1" applyFill="1" applyBorder="1" applyAlignment="1">
      <alignment horizontal="center" vertical="center"/>
    </xf>
    <xf numFmtId="49" fontId="89" fillId="3" borderId="18" xfId="0" applyNumberFormat="1" applyFont="1" applyFill="1" applyBorder="1" applyAlignment="1">
      <alignment horizontal="center" vertical="top"/>
    </xf>
    <xf numFmtId="49" fontId="89" fillId="3" borderId="2" xfId="0" applyNumberFormat="1" applyFont="1" applyFill="1" applyBorder="1" applyAlignment="1">
      <alignment horizontal="center" vertical="top"/>
    </xf>
    <xf numFmtId="49" fontId="88" fillId="0" borderId="14" xfId="0" applyNumberFormat="1" applyFont="1" applyFill="1" applyBorder="1" applyAlignment="1">
      <alignment horizontal="center" vertical="top"/>
    </xf>
    <xf numFmtId="0" fontId="90" fillId="0" borderId="0" xfId="0" applyFont="1" applyFill="1"/>
    <xf numFmtId="0" fontId="89" fillId="3" borderId="21" xfId="0" applyFont="1" applyFill="1" applyBorder="1" applyAlignment="1">
      <alignment horizontal="left" vertical="center" wrapText="1" indent="1"/>
    </xf>
    <xf numFmtId="49" fontId="89" fillId="3" borderId="10" xfId="0" applyNumberFormat="1" applyFont="1" applyFill="1" applyBorder="1" applyAlignment="1">
      <alignment horizontal="center" vertical="center"/>
    </xf>
    <xf numFmtId="49" fontId="88" fillId="0" borderId="18" xfId="0" applyNumberFormat="1" applyFont="1" applyBorder="1" applyAlignment="1">
      <alignment horizontal="center" vertical="center"/>
    </xf>
    <xf numFmtId="49" fontId="89" fillId="3" borderId="18" xfId="0" applyNumberFormat="1" applyFont="1" applyFill="1" applyBorder="1" applyAlignment="1">
      <alignment horizontal="center" vertical="center"/>
    </xf>
    <xf numFmtId="3" fontId="89" fillId="2" borderId="26" xfId="0" applyNumberFormat="1" applyFont="1" applyFill="1" applyBorder="1" applyAlignment="1">
      <alignment horizontal="left" vertical="center" wrapText="1" indent="1"/>
    </xf>
    <xf numFmtId="49" fontId="89" fillId="2" borderId="26" xfId="0" applyNumberFormat="1" applyFont="1" applyFill="1" applyBorder="1" applyAlignment="1">
      <alignment horizontal="center" vertical="center"/>
    </xf>
    <xf numFmtId="3" fontId="89" fillId="3" borderId="2" xfId="0" applyNumberFormat="1" applyFont="1" applyFill="1" applyBorder="1" applyAlignment="1">
      <alignment horizontal="left" vertical="center" wrapText="1" indent="1"/>
    </xf>
    <xf numFmtId="49" fontId="89" fillId="3" borderId="10" xfId="0" applyNumberFormat="1" applyFont="1" applyFill="1" applyBorder="1" applyAlignment="1">
      <alignment horizontal="center" vertical="center" wrapText="1"/>
    </xf>
    <xf numFmtId="49" fontId="88" fillId="0" borderId="17" xfId="0" applyNumberFormat="1" applyFont="1" applyBorder="1" applyAlignment="1">
      <alignment horizontal="center" vertical="top"/>
    </xf>
    <xf numFmtId="49" fontId="89" fillId="3" borderId="28" xfId="0" applyNumberFormat="1" applyFont="1" applyFill="1" applyBorder="1" applyAlignment="1">
      <alignment horizontal="center" vertical="center" wrapText="1"/>
    </xf>
    <xf numFmtId="49" fontId="88" fillId="0" borderId="2" xfId="0" applyNumberFormat="1" applyFont="1" applyBorder="1" applyAlignment="1">
      <alignment horizontal="center" vertical="center" wrapText="1"/>
    </xf>
    <xf numFmtId="38" fontId="84" fillId="3" borderId="18" xfId="0" applyNumberFormat="1" applyFont="1" applyFill="1" applyBorder="1" applyAlignment="1">
      <alignment horizontal="right"/>
    </xf>
    <xf numFmtId="38" fontId="84" fillId="3" borderId="17" xfId="0" applyNumberFormat="1" applyFont="1" applyFill="1" applyBorder="1" applyAlignment="1">
      <alignment horizontal="right"/>
    </xf>
    <xf numFmtId="164" fontId="89" fillId="3" borderId="6" xfId="0" applyNumberFormat="1" applyFont="1" applyFill="1" applyBorder="1" applyAlignment="1">
      <alignment horizontal="left" vertical="center" wrapText="1" indent="1"/>
    </xf>
    <xf numFmtId="0" fontId="88" fillId="0" borderId="2" xfId="0" applyFont="1" applyBorder="1" applyAlignment="1">
      <alignment horizontal="center" vertical="center"/>
    </xf>
    <xf numFmtId="49" fontId="88" fillId="0" borderId="2" xfId="0" applyNumberFormat="1" applyFont="1" applyFill="1" applyBorder="1" applyAlignment="1">
      <alignment horizontal="center" vertical="center"/>
    </xf>
    <xf numFmtId="3" fontId="89" fillId="0" borderId="9" xfId="0" applyNumberFormat="1" applyFont="1" applyFill="1" applyBorder="1" applyAlignment="1">
      <alignment horizontal="left" vertical="top" wrapText="1" indent="1"/>
    </xf>
    <xf numFmtId="0" fontId="90" fillId="0" borderId="8" xfId="0" applyFont="1" applyFill="1" applyBorder="1" applyAlignment="1">
      <alignment horizontal="left" vertical="top" wrapText="1"/>
    </xf>
    <xf numFmtId="38" fontId="84" fillId="0" borderId="8" xfId="0" applyNumberFormat="1" applyFont="1" applyFill="1" applyBorder="1" applyAlignment="1">
      <alignment horizontal="right"/>
    </xf>
    <xf numFmtId="38" fontId="84" fillId="0" borderId="0" xfId="0" applyNumberFormat="1" applyFont="1" applyFill="1" applyBorder="1" applyAlignment="1">
      <alignment horizontal="right"/>
    </xf>
    <xf numFmtId="0" fontId="89" fillId="2" borderId="3" xfId="0" applyFont="1" applyFill="1" applyBorder="1" applyAlignment="1">
      <alignment horizontal="left" vertical="center" wrapText="1" indent="1"/>
    </xf>
    <xf numFmtId="49" fontId="88" fillId="2" borderId="19" xfId="0" applyNumberFormat="1" applyFont="1" applyFill="1" applyBorder="1" applyAlignment="1">
      <alignment horizontal="center" vertical="center"/>
    </xf>
    <xf numFmtId="49" fontId="88" fillId="0" borderId="19" xfId="0" applyNumberFormat="1" applyFont="1" applyFill="1" applyBorder="1" applyAlignment="1">
      <alignment horizontal="center" vertical="center"/>
    </xf>
    <xf numFmtId="49" fontId="88" fillId="0" borderId="19" xfId="0" applyNumberFormat="1" applyFont="1" applyFill="1" applyBorder="1" applyAlignment="1">
      <alignment horizontal="center" vertical="top"/>
    </xf>
    <xf numFmtId="164" fontId="89" fillId="3" borderId="21" xfId="0" applyNumberFormat="1" applyFont="1" applyFill="1" applyBorder="1" applyAlignment="1">
      <alignment horizontal="left" vertical="top" wrapText="1" indent="1"/>
    </xf>
    <xf numFmtId="49" fontId="89" fillId="3" borderId="19" xfId="0" applyNumberFormat="1" applyFont="1" applyFill="1" applyBorder="1" applyAlignment="1">
      <alignment horizontal="center" vertical="top"/>
    </xf>
    <xf numFmtId="0" fontId="90" fillId="2" borderId="0" xfId="0" applyFont="1" applyFill="1" applyAlignment="1">
      <alignment vertical="center"/>
    </xf>
    <xf numFmtId="49" fontId="89" fillId="2" borderId="2" xfId="19" applyNumberFormat="1" applyFont="1" applyFill="1" applyBorder="1" applyAlignment="1">
      <alignment horizontal="left" vertical="center" wrapText="1" indent="1"/>
    </xf>
    <xf numFmtId="0" fontId="89" fillId="2" borderId="2" xfId="20" applyNumberFormat="1" applyFont="1" applyFill="1" applyBorder="1" applyAlignment="1">
      <alignment horizontal="center" vertical="top"/>
    </xf>
    <xf numFmtId="38" fontId="84" fillId="2" borderId="0" xfId="20" applyNumberFormat="1" applyFont="1" applyFill="1" applyBorder="1" applyAlignment="1" applyProtection="1">
      <alignment horizontal="right"/>
    </xf>
    <xf numFmtId="38" fontId="84" fillId="2" borderId="20" xfId="20" applyNumberFormat="1" applyFont="1" applyFill="1" applyBorder="1" applyAlignment="1" applyProtection="1">
      <alignment horizontal="right"/>
    </xf>
    <xf numFmtId="38" fontId="84" fillId="0" borderId="2" xfId="20" applyNumberFormat="1" applyFont="1" applyFill="1" applyBorder="1" applyAlignment="1" applyProtection="1">
      <alignment horizontal="right"/>
      <protection locked="0"/>
    </xf>
    <xf numFmtId="38" fontId="84" fillId="0" borderId="2" xfId="18" applyNumberFormat="1" applyFont="1" applyBorder="1" applyProtection="1">
      <protection locked="0"/>
    </xf>
    <xf numFmtId="0" fontId="111" fillId="0" borderId="0" xfId="18" applyFont="1"/>
    <xf numFmtId="0" fontId="88" fillId="0" borderId="6" xfId="0" applyFont="1" applyBorder="1" applyAlignment="1">
      <alignment horizontal="left" vertical="center" wrapText="1"/>
    </xf>
    <xf numFmtId="49" fontId="88" fillId="0" borderId="0" xfId="0" applyNumberFormat="1" applyFont="1" applyAlignment="1">
      <alignment horizontal="center" vertical="center"/>
    </xf>
    <xf numFmtId="0" fontId="90" fillId="0" borderId="0" xfId="0" applyFont="1" applyAlignment="1">
      <alignment horizontal="right" vertical="center"/>
    </xf>
    <xf numFmtId="38" fontId="90" fillId="0" borderId="0" xfId="0" applyNumberFormat="1" applyFont="1" applyAlignment="1">
      <alignment horizontal="right" vertical="center"/>
    </xf>
    <xf numFmtId="38" fontId="90" fillId="0" borderId="0" xfId="0" applyNumberFormat="1" applyFont="1" applyFill="1" applyAlignment="1">
      <alignment horizontal="right" vertical="center"/>
    </xf>
    <xf numFmtId="38" fontId="89" fillId="2" borderId="17" xfId="0" applyNumberFormat="1" applyFont="1" applyFill="1" applyBorder="1" applyAlignment="1">
      <alignment horizontal="center" vertical="center" wrapText="1"/>
    </xf>
    <xf numFmtId="0" fontId="88" fillId="0" borderId="2" xfId="0" applyFont="1" applyBorder="1" applyAlignment="1">
      <alignment horizontal="left" vertical="center" wrapText="1" indent="1"/>
    </xf>
    <xf numFmtId="38" fontId="90" fillId="0" borderId="0" xfId="0" applyNumberFormat="1" applyFont="1"/>
    <xf numFmtId="0" fontId="98" fillId="0" borderId="0" xfId="0" applyFont="1" applyAlignment="1">
      <alignment horizontal="left" indent="2"/>
    </xf>
    <xf numFmtId="0" fontId="98" fillId="0" borderId="0" xfId="0" applyFont="1" applyAlignment="1">
      <alignment horizontal="left"/>
    </xf>
    <xf numFmtId="0" fontId="98" fillId="0" borderId="0" xfId="0" applyFont="1" applyAlignment="1">
      <alignment horizontal="left" vertical="top" indent="2"/>
    </xf>
    <xf numFmtId="0" fontId="98" fillId="0" borderId="0" xfId="0" applyFont="1" applyAlignment="1">
      <alignment horizontal="left" vertical="top"/>
    </xf>
    <xf numFmtId="49" fontId="88" fillId="0" borderId="0" xfId="0" applyNumberFormat="1" applyFont="1" applyFill="1" applyBorder="1" applyAlignment="1" applyProtection="1">
      <alignment horizontal="left" vertical="center"/>
    </xf>
    <xf numFmtId="49" fontId="88" fillId="0" borderId="0" xfId="0" applyNumberFormat="1" applyFont="1" applyAlignment="1" applyProtection="1">
      <alignment horizontal="left" vertical="center"/>
    </xf>
    <xf numFmtId="49" fontId="89" fillId="0" borderId="2" xfId="0" applyNumberFormat="1" applyFont="1" applyFill="1" applyBorder="1" applyAlignment="1" applyProtection="1">
      <alignment horizontal="center" vertical="center" wrapText="1"/>
    </xf>
    <xf numFmtId="49" fontId="88" fillId="0" borderId="21" xfId="0" applyNumberFormat="1" applyFont="1" applyBorder="1" applyAlignment="1" applyProtection="1">
      <alignment horizontal="left" vertical="center" indent="1"/>
    </xf>
    <xf numFmtId="49" fontId="88" fillId="0" borderId="14" xfId="0" applyNumberFormat="1" applyFont="1" applyBorder="1" applyAlignment="1" applyProtection="1">
      <alignment horizontal="left" vertical="center"/>
    </xf>
    <xf numFmtId="38" fontId="84" fillId="0" borderId="2" xfId="0" applyNumberFormat="1" applyFont="1" applyBorder="1" applyAlignment="1" applyProtection="1">
      <alignment horizontal="right" vertical="center"/>
      <protection locked="0"/>
    </xf>
    <xf numFmtId="38" fontId="84" fillId="3" borderId="0" xfId="0" applyNumberFormat="1" applyFont="1" applyFill="1" applyBorder="1" applyAlignment="1" applyProtection="1">
      <alignment horizontal="right" vertical="center"/>
    </xf>
    <xf numFmtId="38" fontId="84" fillId="3" borderId="7" xfId="0" applyNumberFormat="1" applyFont="1" applyFill="1" applyBorder="1" applyAlignment="1" applyProtection="1">
      <alignment horizontal="right" vertical="center"/>
    </xf>
    <xf numFmtId="0" fontId="111" fillId="0" borderId="0" xfId="21" applyFont="1" applyFill="1"/>
    <xf numFmtId="49" fontId="89" fillId="0" borderId="2" xfId="21" applyNumberFormat="1" applyFont="1" applyFill="1" applyBorder="1" applyAlignment="1">
      <alignment horizontal="center" vertical="center" wrapText="1"/>
    </xf>
    <xf numFmtId="0" fontId="90" fillId="0" borderId="0" xfId="21" applyFont="1" applyFill="1"/>
    <xf numFmtId="164" fontId="88" fillId="0" borderId="2" xfId="21" applyNumberFormat="1" applyFont="1" applyFill="1" applyBorder="1" applyAlignment="1" applyProtection="1">
      <alignment horizontal="left" vertical="center"/>
      <protection locked="0"/>
    </xf>
    <xf numFmtId="177" fontId="88" fillId="0" borderId="2" xfId="21" applyNumberFormat="1" applyFont="1" applyFill="1" applyBorder="1" applyAlignment="1" applyProtection="1">
      <alignment horizontal="right"/>
      <protection locked="0"/>
    </xf>
    <xf numFmtId="38" fontId="84" fillId="0" borderId="2" xfId="21" applyNumberFormat="1" applyFont="1" applyFill="1" applyBorder="1" applyAlignment="1" applyProtection="1">
      <alignment horizontal="right"/>
      <protection locked="0"/>
    </xf>
    <xf numFmtId="3" fontId="84" fillId="0" borderId="2" xfId="21" applyNumberFormat="1" applyFont="1" applyFill="1" applyBorder="1" applyAlignment="1" applyProtection="1">
      <alignment horizontal="right" vertical="center"/>
      <protection locked="0"/>
    </xf>
    <xf numFmtId="0" fontId="90" fillId="0" borderId="0" xfId="21" applyFont="1" applyFill="1" applyAlignment="1"/>
    <xf numFmtId="0" fontId="88" fillId="0" borderId="0" xfId="21" applyFont="1" applyFill="1" applyAlignment="1"/>
    <xf numFmtId="38" fontId="84" fillId="0" borderId="2" xfId="21" applyNumberFormat="1" applyFont="1" applyFill="1" applyBorder="1" applyAlignment="1" applyProtection="1">
      <alignment horizontal="right" vertical="center"/>
      <protection locked="0"/>
    </xf>
    <xf numFmtId="0" fontId="111" fillId="0" borderId="0" xfId="21" applyFont="1" applyFill="1" applyAlignment="1">
      <alignment vertical="top"/>
    </xf>
    <xf numFmtId="0" fontId="84" fillId="0" borderId="2" xfId="0" applyFont="1" applyFill="1" applyBorder="1" applyAlignment="1" applyProtection="1">
      <alignment horizontal="right"/>
      <protection locked="0"/>
    </xf>
    <xf numFmtId="0" fontId="84" fillId="0" borderId="2" xfId="21" applyFont="1" applyFill="1" applyBorder="1" applyAlignment="1" applyProtection="1">
      <alignment horizontal="right" vertical="top"/>
      <protection locked="0"/>
    </xf>
    <xf numFmtId="38" fontId="84" fillId="0" borderId="2" xfId="21" applyNumberFormat="1" applyFont="1" applyFill="1" applyBorder="1" applyAlignment="1" applyProtection="1">
      <alignment horizontal="right" vertical="top"/>
      <protection locked="0"/>
    </xf>
    <xf numFmtId="38" fontId="84" fillId="0" borderId="2" xfId="21" quotePrefix="1" applyNumberFormat="1" applyFont="1" applyFill="1" applyBorder="1" applyAlignment="1" applyProtection="1">
      <alignment horizontal="right"/>
      <protection locked="0"/>
    </xf>
    <xf numFmtId="0" fontId="88" fillId="0" borderId="0" xfId="21" applyFont="1" applyFill="1" applyBorder="1" applyAlignment="1"/>
    <xf numFmtId="38" fontId="84" fillId="2" borderId="2" xfId="21" applyNumberFormat="1" applyFont="1" applyFill="1" applyBorder="1" applyAlignment="1" applyProtection="1">
      <alignment horizontal="right"/>
    </xf>
    <xf numFmtId="0" fontId="111" fillId="0" borderId="0" xfId="21" applyFont="1" applyFill="1" applyAlignment="1"/>
    <xf numFmtId="0" fontId="88" fillId="0" borderId="0" xfId="21" applyFont="1" applyFill="1" applyAlignment="1">
      <alignment vertical="top"/>
    </xf>
    <xf numFmtId="0" fontId="88" fillId="0" borderId="0" xfId="21" applyFont="1" applyFill="1" applyAlignment="1">
      <alignment horizontal="left" indent="1"/>
    </xf>
    <xf numFmtId="49" fontId="88" fillId="0" borderId="0" xfId="21" applyNumberFormat="1" applyFont="1" applyFill="1" applyAlignment="1">
      <alignment horizontal="right" vertical="center"/>
    </xf>
    <xf numFmtId="0" fontId="88" fillId="0" borderId="0" xfId="21" applyFont="1" applyFill="1" applyAlignment="1">
      <alignment horizontal="left" vertical="center" indent="1"/>
    </xf>
    <xf numFmtId="0" fontId="88" fillId="0" borderId="0" xfId="21" applyFont="1" applyFill="1" applyAlignment="1">
      <alignment vertical="center"/>
    </xf>
    <xf numFmtId="0" fontId="88" fillId="0" borderId="0" xfId="21" applyFont="1" applyFill="1" applyAlignment="1">
      <alignment horizontal="left" vertical="top" indent="1"/>
    </xf>
    <xf numFmtId="0" fontId="88" fillId="0" borderId="0" xfId="21" applyFont="1" applyFill="1" applyAlignment="1">
      <alignment horizontal="left"/>
    </xf>
    <xf numFmtId="0" fontId="111" fillId="0" borderId="0" xfId="21" applyFont="1" applyFill="1" applyBorder="1" applyAlignment="1">
      <alignment horizontal="left" vertical="center"/>
    </xf>
    <xf numFmtId="0" fontId="88" fillId="0" borderId="0" xfId="21" applyFont="1" applyFill="1" applyBorder="1" applyAlignment="1">
      <alignment horizontal="left"/>
    </xf>
    <xf numFmtId="49" fontId="88" fillId="0" borderId="0" xfId="21" applyNumberFormat="1" applyFont="1" applyFill="1" applyBorder="1" applyAlignment="1">
      <alignment horizontal="right"/>
    </xf>
    <xf numFmtId="0" fontId="90" fillId="0" borderId="16" xfId="21" applyFont="1" applyFill="1" applyBorder="1" applyAlignment="1" applyProtection="1">
      <protection locked="0"/>
    </xf>
    <xf numFmtId="49" fontId="88" fillId="0" borderId="0" xfId="21" applyNumberFormat="1" applyFont="1" applyFill="1" applyAlignment="1">
      <alignment horizontal="left" vertical="center"/>
    </xf>
    <xf numFmtId="49" fontId="98" fillId="0" borderId="0" xfId="21" applyNumberFormat="1" applyFont="1" applyFill="1" applyAlignment="1">
      <alignment horizontal="left" vertical="center"/>
    </xf>
    <xf numFmtId="0" fontId="89" fillId="0" borderId="34" xfId="0" applyFont="1" applyBorder="1" applyAlignment="1" applyProtection="1">
      <alignment horizontal="center" vertical="center" wrapText="1"/>
    </xf>
    <xf numFmtId="0" fontId="89" fillId="0" borderId="11" xfId="0" applyFont="1" applyFill="1" applyBorder="1" applyAlignment="1" applyProtection="1">
      <alignment horizontal="center" vertical="center"/>
    </xf>
    <xf numFmtId="0" fontId="89" fillId="0" borderId="11" xfId="0" applyFont="1" applyFill="1" applyBorder="1" applyAlignment="1" applyProtection="1">
      <alignment horizontal="center" vertical="center" wrapText="1"/>
    </xf>
    <xf numFmtId="0" fontId="90" fillId="0" borderId="35" xfId="0" applyFont="1" applyBorder="1" applyAlignment="1" applyProtection="1">
      <alignment vertical="center"/>
    </xf>
    <xf numFmtId="38" fontId="84" fillId="0" borderId="11" xfId="0" applyNumberFormat="1" applyFont="1" applyBorder="1" applyAlignment="1" applyProtection="1">
      <alignment vertical="center"/>
      <protection locked="0"/>
    </xf>
    <xf numFmtId="38" fontId="84" fillId="0" borderId="11" xfId="0" applyNumberFormat="1" applyFont="1" applyFill="1" applyBorder="1" applyAlignment="1" applyProtection="1">
      <alignment horizontal="right" vertical="center"/>
      <protection locked="0"/>
    </xf>
    <xf numFmtId="0" fontId="90" fillId="2" borderId="35" xfId="0" applyFont="1" applyFill="1" applyBorder="1" applyAlignment="1" applyProtection="1">
      <alignment vertical="center"/>
    </xf>
    <xf numFmtId="38" fontId="84" fillId="2" borderId="36" xfId="0" applyNumberFormat="1" applyFont="1" applyFill="1" applyBorder="1" applyAlignment="1" applyProtection="1">
      <alignment vertical="center"/>
    </xf>
    <xf numFmtId="38" fontId="84" fillId="2" borderId="11" xfId="0" applyNumberFormat="1" applyFont="1" applyFill="1" applyBorder="1" applyAlignment="1" applyProtection="1">
      <alignment vertical="center"/>
    </xf>
    <xf numFmtId="38" fontId="84" fillId="2" borderId="36" xfId="0" applyNumberFormat="1" applyFont="1" applyFill="1" applyBorder="1" applyAlignment="1" applyProtection="1">
      <alignment horizontal="right" vertical="center"/>
    </xf>
    <xf numFmtId="49" fontId="88" fillId="0" borderId="35" xfId="0" applyNumberFormat="1" applyFont="1" applyBorder="1" applyAlignment="1" applyProtection="1">
      <alignment horizontal="center" vertical="center" wrapText="1"/>
    </xf>
    <xf numFmtId="38" fontId="84" fillId="2" borderId="37" xfId="0" applyNumberFormat="1" applyFont="1" applyFill="1" applyBorder="1" applyAlignment="1" applyProtection="1">
      <alignment vertical="center"/>
    </xf>
    <xf numFmtId="38" fontId="84" fillId="0" borderId="11" xfId="0" applyNumberFormat="1" applyFont="1" applyFill="1" applyBorder="1" applyAlignment="1" applyProtection="1">
      <alignment vertical="center"/>
      <protection locked="0"/>
    </xf>
    <xf numFmtId="38" fontId="84" fillId="2" borderId="37" xfId="0" applyNumberFormat="1" applyFont="1" applyFill="1" applyBorder="1" applyAlignment="1" applyProtection="1">
      <alignment horizontal="right" vertical="center"/>
    </xf>
    <xf numFmtId="0" fontId="88" fillId="0" borderId="38" xfId="0" applyFont="1" applyBorder="1" applyAlignment="1" applyProtection="1">
      <alignment horizontal="left" indent="1"/>
    </xf>
    <xf numFmtId="0" fontId="88" fillId="0" borderId="39" xfId="0" applyFont="1" applyBorder="1" applyAlignment="1" applyProtection="1">
      <alignment horizontal="left" indent="1"/>
    </xf>
    <xf numFmtId="0" fontId="90" fillId="0" borderId="35" xfId="0" applyFont="1" applyBorder="1" applyAlignment="1">
      <alignment horizontal="left" indent="1"/>
    </xf>
    <xf numFmtId="49" fontId="88" fillId="0" borderId="35" xfId="0" applyNumberFormat="1" applyFont="1" applyBorder="1" applyAlignment="1" applyProtection="1">
      <alignment horizontal="center" vertical="center"/>
    </xf>
    <xf numFmtId="0" fontId="88" fillId="0" borderId="38" xfId="0" applyFont="1" applyBorder="1" applyAlignment="1" applyProtection="1">
      <alignment horizontal="left" vertical="center" indent="1"/>
    </xf>
    <xf numFmtId="0" fontId="88" fillId="0" borderId="39" xfId="0" applyFont="1" applyBorder="1" applyAlignment="1" applyProtection="1">
      <alignment horizontal="left" vertical="center" wrapText="1" indent="1"/>
    </xf>
    <xf numFmtId="0" fontId="90" fillId="0" borderId="35" xfId="0" applyFont="1" applyBorder="1" applyAlignment="1">
      <alignment horizontal="left" wrapText="1" indent="1"/>
    </xf>
    <xf numFmtId="38" fontId="84" fillId="2" borderId="11" xfId="0" applyNumberFormat="1" applyFont="1" applyFill="1" applyBorder="1" applyAlignment="1" applyProtection="1">
      <alignment horizontal="right" vertical="center"/>
    </xf>
    <xf numFmtId="38" fontId="84" fillId="2" borderId="40" xfId="0" applyNumberFormat="1" applyFont="1" applyFill="1" applyBorder="1" applyAlignment="1" applyProtection="1">
      <alignment vertical="center"/>
    </xf>
    <xf numFmtId="49" fontId="88" fillId="0" borderId="39" xfId="0" applyNumberFormat="1" applyFont="1" applyBorder="1" applyAlignment="1" applyProtection="1">
      <alignment horizontal="center" vertical="center"/>
    </xf>
    <xf numFmtId="38" fontId="84" fillId="0" borderId="35" xfId="0" applyNumberFormat="1" applyFont="1" applyBorder="1" applyAlignment="1" applyProtection="1">
      <alignment vertical="center"/>
      <protection locked="0"/>
    </xf>
    <xf numFmtId="49" fontId="88" fillId="2" borderId="41" xfId="0" applyNumberFormat="1" applyFont="1" applyFill="1" applyBorder="1" applyAlignment="1" applyProtection="1">
      <alignment horizontal="center" vertical="center"/>
    </xf>
    <xf numFmtId="0" fontId="84" fillId="2" borderId="42" xfId="0" applyFont="1" applyFill="1" applyBorder="1" applyAlignment="1" applyProtection="1">
      <alignment horizontal="right" vertical="center"/>
    </xf>
    <xf numFmtId="0" fontId="84" fillId="2" borderId="43" xfId="0" applyFont="1" applyFill="1" applyBorder="1" applyAlignment="1" applyProtection="1">
      <alignment horizontal="right" vertical="center"/>
    </xf>
    <xf numFmtId="0" fontId="84" fillId="2" borderId="44" xfId="0" applyFont="1" applyFill="1" applyBorder="1" applyAlignment="1" applyProtection="1">
      <alignment horizontal="right" vertical="center"/>
    </xf>
    <xf numFmtId="49" fontId="88" fillId="0" borderId="11" xfId="0" applyNumberFormat="1" applyFont="1" applyBorder="1" applyAlignment="1" applyProtection="1">
      <alignment horizontal="center" vertical="center"/>
    </xf>
    <xf numFmtId="49" fontId="88" fillId="3" borderId="11" xfId="0" applyNumberFormat="1" applyFont="1" applyFill="1" applyBorder="1" applyAlignment="1" applyProtection="1">
      <alignment horizontal="center" vertical="center"/>
    </xf>
    <xf numFmtId="38" fontId="84" fillId="3" borderId="36" xfId="0" applyNumberFormat="1" applyFont="1" applyFill="1" applyBorder="1" applyAlignment="1" applyProtection="1">
      <alignment vertical="center"/>
    </xf>
    <xf numFmtId="38" fontId="84" fillId="3" borderId="40" xfId="0" applyNumberFormat="1" applyFont="1" applyFill="1" applyBorder="1" applyAlignment="1" applyProtection="1">
      <alignment vertical="center"/>
    </xf>
    <xf numFmtId="38" fontId="84" fillId="3" borderId="37" xfId="0" applyNumberFormat="1" applyFont="1" applyFill="1" applyBorder="1" applyAlignment="1" applyProtection="1">
      <alignment horizontal="right" vertical="center"/>
    </xf>
    <xf numFmtId="38" fontId="84" fillId="3" borderId="40" xfId="0" applyNumberFormat="1" applyFont="1" applyFill="1" applyBorder="1" applyAlignment="1" applyProtection="1">
      <alignment horizontal="right" vertical="center"/>
    </xf>
    <xf numFmtId="38" fontId="84" fillId="2" borderId="40" xfId="0" applyNumberFormat="1" applyFont="1" applyFill="1" applyBorder="1" applyAlignment="1" applyProtection="1">
      <alignment horizontal="right" vertical="center"/>
    </xf>
    <xf numFmtId="38" fontId="84" fillId="3" borderId="37" xfId="0" applyNumberFormat="1" applyFont="1" applyFill="1" applyBorder="1" applyAlignment="1" applyProtection="1">
      <alignment vertical="center"/>
    </xf>
    <xf numFmtId="38" fontId="84" fillId="0" borderId="37" xfId="0" applyNumberFormat="1" applyFont="1" applyFill="1" applyBorder="1" applyAlignment="1" applyProtection="1">
      <alignment horizontal="right" vertical="center"/>
      <protection locked="0"/>
    </xf>
    <xf numFmtId="0" fontId="89" fillId="0" borderId="38" xfId="0" applyFont="1" applyFill="1" applyBorder="1" applyAlignment="1">
      <alignment horizontal="left" indent="2"/>
    </xf>
    <xf numFmtId="0" fontId="89" fillId="0" borderId="39" xfId="0" applyFont="1" applyFill="1" applyBorder="1" applyAlignment="1" applyProtection="1">
      <alignment horizontal="left" vertical="center"/>
    </xf>
    <xf numFmtId="0" fontId="90" fillId="0" borderId="35" xfId="0" applyFont="1" applyBorder="1" applyAlignment="1" applyProtection="1"/>
    <xf numFmtId="0" fontId="88" fillId="0" borderId="11" xfId="0" applyFont="1" applyFill="1" applyBorder="1" applyAlignment="1">
      <alignment horizontal="center" wrapText="1"/>
    </xf>
    <xf numFmtId="38" fontId="84" fillId="0" borderId="37" xfId="0" applyNumberFormat="1" applyFont="1" applyFill="1" applyBorder="1" applyAlignment="1" applyProtection="1">
      <alignment vertical="center"/>
      <protection locked="0"/>
    </xf>
    <xf numFmtId="0" fontId="84" fillId="0" borderId="45" xfId="0" applyFont="1" applyBorder="1" applyAlignment="1" applyProtection="1">
      <alignment vertical="center"/>
    </xf>
    <xf numFmtId="0" fontId="90" fillId="0" borderId="34" xfId="0" applyFont="1" applyBorder="1" applyProtection="1"/>
    <xf numFmtId="0" fontId="90" fillId="0" borderId="44" xfId="0" applyFont="1" applyBorder="1" applyProtection="1"/>
    <xf numFmtId="0" fontId="99" fillId="0" borderId="0" xfId="0" applyFont="1" applyBorder="1" applyAlignment="1" applyProtection="1">
      <alignment horizontal="center"/>
    </xf>
    <xf numFmtId="0" fontId="99" fillId="0" borderId="11" xfId="0" applyFont="1" applyBorder="1" applyAlignment="1" applyProtection="1">
      <alignment horizontal="center"/>
      <protection locked="0"/>
    </xf>
    <xf numFmtId="0" fontId="88" fillId="0" borderId="0" xfId="0" applyFont="1" applyAlignment="1" applyProtection="1">
      <alignment horizontal="left" vertical="center" indent="1"/>
    </xf>
    <xf numFmtId="0" fontId="88" fillId="0" borderId="46" xfId="0" applyFont="1" applyBorder="1" applyAlignment="1" applyProtection="1">
      <alignment vertical="center"/>
    </xf>
    <xf numFmtId="0" fontId="88" fillId="0" borderId="0" xfId="0" applyFont="1" applyAlignment="1" applyProtection="1">
      <alignment horizontal="left" indent="1"/>
    </xf>
    <xf numFmtId="0" fontId="88" fillId="0" borderId="11" xfId="0" applyFont="1" applyBorder="1" applyAlignment="1" applyProtection="1">
      <alignment horizontal="left" vertical="center"/>
    </xf>
    <xf numFmtId="0" fontId="98" fillId="0" borderId="46" xfId="0" applyFont="1" applyBorder="1" applyAlignment="1" applyProtection="1"/>
    <xf numFmtId="0" fontId="84" fillId="0" borderId="44" xfId="0" applyFont="1" applyBorder="1" applyAlignment="1" applyProtection="1">
      <alignment vertical="center"/>
    </xf>
    <xf numFmtId="0" fontId="98" fillId="0" borderId="46" xfId="0" applyFont="1" applyBorder="1" applyAlignment="1" applyProtection="1">
      <alignment vertical="top"/>
    </xf>
    <xf numFmtId="0" fontId="90" fillId="2" borderId="39" xfId="0" applyFont="1" applyFill="1" applyBorder="1" applyProtection="1"/>
    <xf numFmtId="0" fontId="84" fillId="2" borderId="11" xfId="0" applyFont="1" applyFill="1" applyBorder="1" applyAlignment="1" applyProtection="1">
      <alignment vertical="center"/>
    </xf>
    <xf numFmtId="0" fontId="117" fillId="0" borderId="0" xfId="0" applyFont="1" applyAlignment="1" applyProtection="1">
      <alignment horizontal="left" indent="2"/>
    </xf>
    <xf numFmtId="0" fontId="88" fillId="0" borderId="39" xfId="0" applyFont="1" applyBorder="1" applyAlignment="1" applyProtection="1">
      <alignment vertical="center"/>
    </xf>
    <xf numFmtId="0" fontId="88" fillId="0" borderId="35" xfId="0" applyFont="1" applyBorder="1" applyAlignment="1" applyProtection="1">
      <alignment vertical="center"/>
    </xf>
    <xf numFmtId="0" fontId="88" fillId="0" borderId="39" xfId="0" applyFont="1" applyBorder="1" applyAlignment="1" applyProtection="1">
      <alignment horizontal="left" vertical="center" indent="1"/>
    </xf>
    <xf numFmtId="0" fontId="117" fillId="0" borderId="0" xfId="0" applyFont="1" applyAlignment="1" applyProtection="1">
      <alignment horizontal="left" vertical="top"/>
    </xf>
    <xf numFmtId="0" fontId="88" fillId="0" borderId="0" xfId="0" applyFont="1" applyAlignment="1" applyProtection="1">
      <alignment vertical="top"/>
    </xf>
    <xf numFmtId="0" fontId="90" fillId="0" borderId="0" xfId="0" applyFont="1" applyAlignment="1" applyProtection="1">
      <alignment vertical="top"/>
    </xf>
    <xf numFmtId="0" fontId="90" fillId="0" borderId="0" xfId="0" applyFont="1" applyBorder="1" applyAlignment="1" applyProtection="1">
      <alignment vertical="top"/>
    </xf>
    <xf numFmtId="0" fontId="89" fillId="2" borderId="38" xfId="0" applyFont="1" applyFill="1" applyBorder="1" applyAlignment="1" applyProtection="1">
      <alignment vertical="center"/>
    </xf>
    <xf numFmtId="0" fontId="105" fillId="0" borderId="45" xfId="0" applyFont="1" applyFill="1" applyBorder="1" applyAlignment="1" applyProtection="1">
      <alignment horizontal="left" indent="2"/>
    </xf>
    <xf numFmtId="0" fontId="90" fillId="0" borderId="34" xfId="0" applyFont="1" applyBorder="1" applyAlignment="1">
      <alignment horizontal="left" vertical="center"/>
    </xf>
    <xf numFmtId="0" fontId="90" fillId="0" borderId="34" xfId="0" applyFont="1" applyFill="1" applyBorder="1" applyAlignment="1" applyProtection="1">
      <alignment vertical="center"/>
    </xf>
    <xf numFmtId="0" fontId="83" fillId="0" borderId="34" xfId="0" applyFont="1" applyFill="1" applyBorder="1" applyAlignment="1" applyProtection="1">
      <alignment horizontal="left" vertical="center"/>
    </xf>
    <xf numFmtId="0" fontId="90" fillId="0" borderId="34" xfId="0" applyFont="1" applyFill="1" applyBorder="1" applyAlignment="1">
      <alignment horizontal="left" vertical="center"/>
    </xf>
    <xf numFmtId="0" fontId="89" fillId="0" borderId="45" xfId="0" applyFont="1" applyBorder="1" applyAlignment="1" applyProtection="1">
      <alignment horizontal="center" vertical="center" wrapText="1"/>
    </xf>
    <xf numFmtId="0" fontId="89" fillId="0" borderId="37" xfId="0" applyFont="1" applyBorder="1" applyAlignment="1" applyProtection="1">
      <alignment horizontal="center" vertical="center" wrapText="1"/>
    </xf>
    <xf numFmtId="0" fontId="83" fillId="0" borderId="37" xfId="0" applyFont="1" applyBorder="1" applyAlignment="1" applyProtection="1">
      <alignment horizontal="center" vertical="center" wrapText="1"/>
    </xf>
    <xf numFmtId="0" fontId="90" fillId="0" borderId="0" xfId="0" applyFont="1" applyAlignment="1" applyProtection="1">
      <alignment horizontal="center" vertical="center" wrapText="1"/>
    </xf>
    <xf numFmtId="38" fontId="84" fillId="0" borderId="40" xfId="0" applyNumberFormat="1" applyFont="1" applyFill="1" applyBorder="1" applyAlignment="1" applyProtection="1">
      <alignment horizontal="right" vertical="center"/>
      <protection locked="0"/>
    </xf>
    <xf numFmtId="0" fontId="89" fillId="2" borderId="40" xfId="0" applyFont="1" applyFill="1" applyBorder="1" applyAlignment="1" applyProtection="1">
      <alignment horizontal="center" vertical="center" wrapText="1"/>
    </xf>
    <xf numFmtId="38" fontId="89" fillId="2" borderId="40" xfId="0" quotePrefix="1" applyNumberFormat="1" applyFont="1" applyFill="1" applyBorder="1" applyAlignment="1" applyProtection="1">
      <alignment horizontal="center" vertical="center"/>
    </xf>
    <xf numFmtId="49" fontId="84" fillId="2" borderId="36" xfId="0" applyNumberFormat="1" applyFont="1" applyFill="1" applyBorder="1" applyAlignment="1" applyProtection="1">
      <alignment horizontal="right" vertical="center"/>
    </xf>
    <xf numFmtId="49" fontId="84" fillId="2" borderId="40" xfId="0" applyNumberFormat="1" applyFont="1" applyFill="1" applyBorder="1" applyAlignment="1" applyProtection="1">
      <alignment horizontal="right" vertical="center"/>
    </xf>
    <xf numFmtId="0" fontId="88" fillId="0" borderId="11" xfId="0" applyFont="1" applyBorder="1" applyAlignment="1" applyProtection="1">
      <alignment horizontal="center" vertical="center"/>
    </xf>
    <xf numFmtId="38" fontId="84" fillId="0" borderId="37" xfId="0" applyNumberFormat="1" applyFont="1" applyBorder="1" applyAlignment="1" applyProtection="1">
      <alignment horizontal="right" vertical="center"/>
      <protection locked="0"/>
    </xf>
    <xf numFmtId="49" fontId="84" fillId="3" borderId="37" xfId="0" applyNumberFormat="1" applyFont="1" applyFill="1" applyBorder="1" applyAlignment="1" applyProtection="1">
      <alignment horizontal="right" vertical="center"/>
    </xf>
    <xf numFmtId="38" fontId="89" fillId="2" borderId="40" xfId="0" applyNumberFormat="1" applyFont="1" applyFill="1" applyBorder="1" applyAlignment="1" applyProtection="1">
      <alignment horizontal="center" vertical="center"/>
    </xf>
    <xf numFmtId="38" fontId="84" fillId="0" borderId="11" xfId="0" applyNumberFormat="1" applyFont="1" applyBorder="1" applyAlignment="1" applyProtection="1">
      <alignment horizontal="right" vertical="center"/>
      <protection locked="0"/>
    </xf>
    <xf numFmtId="0" fontId="88" fillId="0" borderId="38" xfId="0" applyFont="1" applyBorder="1" applyAlignment="1" applyProtection="1">
      <alignment horizontal="left" vertical="center" wrapText="1" indent="1"/>
    </xf>
    <xf numFmtId="38" fontId="84" fillId="0" borderId="11" xfId="0" applyNumberFormat="1" applyFont="1" applyBorder="1" applyAlignment="1" applyProtection="1">
      <alignment horizontal="right"/>
      <protection locked="0"/>
    </xf>
    <xf numFmtId="38" fontId="84" fillId="0" borderId="11" xfId="0" applyNumberFormat="1" applyFont="1" applyFill="1" applyBorder="1" applyAlignment="1" applyProtection="1">
      <alignment horizontal="right"/>
      <protection locked="0"/>
    </xf>
    <xf numFmtId="0" fontId="88" fillId="0" borderId="38" xfId="0" applyFont="1" applyBorder="1" applyAlignment="1" applyProtection="1">
      <alignment horizontal="left" vertical="center" wrapText="1" indent="2"/>
    </xf>
    <xf numFmtId="49" fontId="89" fillId="2" borderId="40" xfId="0" applyNumberFormat="1" applyFont="1" applyFill="1" applyBorder="1" applyAlignment="1" applyProtection="1">
      <alignment horizontal="center" vertical="center"/>
    </xf>
    <xf numFmtId="38" fontId="84" fillId="2" borderId="43" xfId="0" applyNumberFormat="1" applyFont="1" applyFill="1" applyBorder="1" applyAlignment="1" applyProtection="1">
      <alignment horizontal="right" vertical="center"/>
    </xf>
    <xf numFmtId="0" fontId="90" fillId="2" borderId="37" xfId="0" applyFont="1" applyFill="1" applyBorder="1" applyAlignment="1" applyProtection="1">
      <alignment vertical="center"/>
    </xf>
    <xf numFmtId="0" fontId="90" fillId="0" borderId="0" xfId="0" applyFont="1" applyAlignment="1" applyProtection="1">
      <alignment horizontal="right" vertical="center" indent="1"/>
    </xf>
    <xf numFmtId="0" fontId="88" fillId="0" borderId="0" xfId="0" applyFont="1" applyAlignment="1" applyProtection="1">
      <alignment horizontal="right" vertical="center" indent="1"/>
    </xf>
    <xf numFmtId="0" fontId="88" fillId="0" borderId="0" xfId="0" applyFont="1" applyBorder="1" applyAlignment="1" applyProtection="1">
      <alignment horizontal="right" vertical="center" indent="1"/>
    </xf>
    <xf numFmtId="0" fontId="88" fillId="0" borderId="47" xfId="22" applyFont="1" applyFill="1" applyBorder="1" applyAlignment="1">
      <alignment vertical="center"/>
    </xf>
    <xf numFmtId="0" fontId="88" fillId="0" borderId="0" xfId="22" applyFont="1" applyAlignment="1">
      <alignment vertical="center"/>
    </xf>
    <xf numFmtId="0" fontId="88" fillId="0" borderId="47" xfId="22" applyFont="1" applyFill="1" applyBorder="1" applyAlignment="1">
      <alignment horizontal="centerContinuous" vertical="center"/>
    </xf>
    <xf numFmtId="0" fontId="118" fillId="0" borderId="0" xfId="22" applyFont="1" applyBorder="1" applyAlignment="1">
      <alignment vertical="top"/>
    </xf>
    <xf numFmtId="0" fontId="88" fillId="0" borderId="0" xfId="22" applyFont="1" applyBorder="1" applyAlignment="1">
      <alignment vertical="center"/>
    </xf>
    <xf numFmtId="0" fontId="88" fillId="0" borderId="0" xfId="22" applyFont="1" applyBorder="1" applyAlignment="1">
      <alignment horizontal="right" vertical="center"/>
    </xf>
    <xf numFmtId="0" fontId="119" fillId="0" borderId="0" xfId="22" applyFont="1" applyFill="1" applyAlignment="1">
      <alignment horizontal="left" vertical="center" indent="1"/>
    </xf>
    <xf numFmtId="0" fontId="119" fillId="0" borderId="0" xfId="22" applyFont="1" applyAlignment="1">
      <alignment horizontal="center" vertical="center"/>
    </xf>
    <xf numFmtId="0" fontId="88" fillId="0" borderId="0" xfId="22" applyFont="1" applyAlignment="1">
      <alignment horizontal="right" vertical="center"/>
    </xf>
    <xf numFmtId="0" fontId="119" fillId="0" borderId="0" xfId="22" applyFont="1" applyAlignment="1">
      <alignment vertical="center"/>
    </xf>
    <xf numFmtId="0" fontId="88" fillId="0" borderId="0" xfId="22" applyFont="1" applyFill="1" applyAlignment="1">
      <alignment vertical="center"/>
    </xf>
    <xf numFmtId="0" fontId="89" fillId="0" borderId="0" xfId="22" applyFont="1" applyFill="1" applyBorder="1" applyAlignment="1">
      <alignment horizontal="left"/>
    </xf>
    <xf numFmtId="0" fontId="88" fillId="0" borderId="0" xfId="22" applyFont="1" applyFill="1" applyBorder="1" applyAlignment="1">
      <alignment vertical="center"/>
    </xf>
    <xf numFmtId="0" fontId="88" fillId="0" borderId="0" xfId="22" applyFont="1" applyFill="1" applyBorder="1" applyAlignment="1">
      <alignment horizontal="right" vertical="center"/>
    </xf>
    <xf numFmtId="0" fontId="88" fillId="0" borderId="0" xfId="22" applyFont="1" applyFill="1" applyAlignment="1">
      <alignment horizontal="left" vertical="center"/>
    </xf>
    <xf numFmtId="49" fontId="88" fillId="0" borderId="0" xfId="22" applyNumberFormat="1" applyFont="1" applyFill="1" applyAlignment="1">
      <alignment horizontal="left" vertical="center"/>
    </xf>
    <xf numFmtId="0" fontId="88" fillId="0" borderId="0" xfId="22" applyFont="1" applyFill="1" applyAlignment="1">
      <alignment horizontal="right" vertical="center"/>
    </xf>
    <xf numFmtId="3" fontId="88" fillId="0" borderId="0" xfId="22" applyNumberFormat="1" applyFont="1" applyFill="1" applyAlignment="1">
      <alignment vertical="center"/>
    </xf>
    <xf numFmtId="3" fontId="88" fillId="0" borderId="0" xfId="22" applyNumberFormat="1" applyFont="1" applyFill="1" applyBorder="1" applyAlignment="1">
      <alignment vertical="center"/>
    </xf>
    <xf numFmtId="0" fontId="89" fillId="0" borderId="0" xfId="22" applyFont="1" applyFill="1" applyBorder="1" applyAlignment="1">
      <alignment horizontal="left" vertical="center"/>
    </xf>
    <xf numFmtId="0" fontId="88" fillId="0" borderId="0" xfId="22" applyFont="1" applyFill="1" applyAlignment="1">
      <alignment horizontal="center" vertical="center"/>
    </xf>
    <xf numFmtId="0" fontId="88" fillId="0" borderId="0" xfId="22" applyFont="1" applyFill="1" applyAlignment="1">
      <alignment vertical="center" wrapText="1"/>
    </xf>
    <xf numFmtId="0" fontId="88" fillId="0" borderId="0" xfId="22" applyFont="1" applyFill="1" applyAlignment="1">
      <alignment horizontal="center" vertical="top"/>
    </xf>
    <xf numFmtId="0" fontId="88" fillId="0" borderId="0" xfId="22" applyFont="1" applyFill="1" applyAlignment="1">
      <alignment vertical="top" wrapText="1"/>
    </xf>
    <xf numFmtId="0" fontId="88" fillId="0" borderId="0" xfId="22" applyFont="1" applyFill="1" applyBorder="1" applyAlignment="1">
      <alignment horizontal="right" vertical="top"/>
    </xf>
    <xf numFmtId="1" fontId="88" fillId="0" borderId="0" xfId="22" applyNumberFormat="1" applyFont="1" applyFill="1" applyAlignment="1">
      <alignment horizontal="center" vertical="center"/>
    </xf>
    <xf numFmtId="1" fontId="88" fillId="0" borderId="0" xfId="22" applyNumberFormat="1" applyFont="1" applyFill="1" applyAlignment="1">
      <alignment horizontal="left" vertical="center"/>
    </xf>
    <xf numFmtId="38" fontId="88" fillId="0" borderId="0" xfId="22" applyNumberFormat="1" applyFont="1" applyFill="1" applyAlignment="1">
      <alignment horizontal="right"/>
    </xf>
    <xf numFmtId="0" fontId="88" fillId="0" borderId="0" xfId="22" quotePrefix="1" applyFont="1" applyFill="1" applyAlignment="1">
      <alignment horizontal="left" vertical="center" wrapText="1"/>
    </xf>
    <xf numFmtId="167" fontId="88" fillId="0" borderId="0" xfId="22" applyNumberFormat="1" applyFont="1" applyFill="1" applyBorder="1" applyAlignment="1" applyProtection="1">
      <alignment horizontal="right" vertical="center"/>
    </xf>
    <xf numFmtId="0" fontId="88" fillId="0" borderId="0" xfId="22" applyFont="1" applyFill="1" applyAlignment="1">
      <alignment horizontal="left" vertical="center" wrapText="1"/>
    </xf>
    <xf numFmtId="49" fontId="88" fillId="0" borderId="0" xfId="22" applyNumberFormat="1" applyFont="1" applyFill="1" applyAlignment="1">
      <alignment horizontal="center" vertical="center"/>
    </xf>
    <xf numFmtId="3" fontId="88" fillId="0" borderId="0" xfId="22" quotePrefix="1" applyNumberFormat="1" applyFont="1" applyFill="1" applyAlignment="1">
      <alignment horizontal="left" vertical="center" wrapText="1"/>
    </xf>
    <xf numFmtId="3" fontId="88" fillId="0" borderId="0" xfId="22" applyNumberFormat="1" applyFont="1" applyFill="1" applyAlignment="1">
      <alignment vertical="center" wrapText="1"/>
    </xf>
    <xf numFmtId="0" fontId="88" fillId="0" borderId="0" xfId="22" applyNumberFormat="1" applyFont="1" applyFill="1" applyAlignment="1">
      <alignment horizontal="center" vertical="center"/>
    </xf>
    <xf numFmtId="3" fontId="88" fillId="0" borderId="0" xfId="22" applyNumberFormat="1" applyFont="1" applyFill="1" applyAlignment="1">
      <alignment horizontal="center" vertical="center" wrapText="1"/>
    </xf>
    <xf numFmtId="3" fontId="88" fillId="0" borderId="0" xfId="22" applyNumberFormat="1" applyFont="1" applyAlignment="1">
      <alignment vertical="center"/>
    </xf>
    <xf numFmtId="3" fontId="88" fillId="0" borderId="0" xfId="22" applyNumberFormat="1" applyFont="1" applyFill="1" applyAlignment="1">
      <alignment horizontal="left" vertical="center" wrapText="1"/>
    </xf>
    <xf numFmtId="0" fontId="88" fillId="0" borderId="0" xfId="22" applyFont="1" applyAlignment="1">
      <alignment horizontal="left" vertical="center"/>
    </xf>
    <xf numFmtId="0" fontId="88" fillId="0" borderId="0" xfId="22" applyFont="1" applyAlignment="1">
      <alignment horizontal="center" vertical="center"/>
    </xf>
    <xf numFmtId="0" fontId="88" fillId="0" borderId="0" xfId="22" applyFont="1" applyFill="1" applyAlignment="1">
      <alignment horizontal="left" vertical="top"/>
    </xf>
    <xf numFmtId="49" fontId="88" fillId="0" borderId="0" xfId="22" applyNumberFormat="1" applyFont="1" applyFill="1" applyAlignment="1">
      <alignment horizontal="center" vertical="top"/>
    </xf>
    <xf numFmtId="3" fontId="88" fillId="0" borderId="0" xfId="22" applyNumberFormat="1" applyFont="1" applyFill="1" applyAlignment="1">
      <alignment horizontal="left" vertical="top" wrapText="1"/>
    </xf>
    <xf numFmtId="40" fontId="88" fillId="0" borderId="34" xfId="22" applyNumberFormat="1" applyFont="1" applyFill="1" applyBorder="1" applyAlignment="1" applyProtection="1">
      <alignment horizontal="right"/>
      <protection locked="0"/>
    </xf>
    <xf numFmtId="0" fontId="88" fillId="0" borderId="0" xfId="22" applyFont="1" applyFill="1" applyBorder="1" applyAlignment="1">
      <alignment horizontal="left" vertical="center"/>
    </xf>
    <xf numFmtId="0" fontId="89" fillId="0" borderId="0" xfId="22" quotePrefix="1" applyFont="1" applyFill="1" applyAlignment="1">
      <alignment horizontal="left" vertical="center"/>
    </xf>
    <xf numFmtId="0" fontId="89" fillId="0" borderId="0" xfId="22" applyFont="1" applyFill="1" applyAlignment="1">
      <alignment horizontal="right" vertical="center"/>
    </xf>
    <xf numFmtId="4" fontId="89" fillId="0" borderId="0" xfId="22" applyNumberFormat="1" applyFont="1" applyFill="1" applyBorder="1" applyAlignment="1" applyProtection="1">
      <alignment vertical="center"/>
    </xf>
    <xf numFmtId="0" fontId="88" fillId="0" borderId="0" xfId="22" applyFont="1" applyFill="1" applyAlignment="1" applyProtection="1">
      <alignment horizontal="left" vertical="center"/>
    </xf>
    <xf numFmtId="0" fontId="89" fillId="0" borderId="0" xfId="23" applyFont="1" applyFill="1" applyBorder="1" applyAlignment="1">
      <alignment vertical="center"/>
    </xf>
    <xf numFmtId="0" fontId="88" fillId="0" borderId="0" xfId="23" applyFont="1" applyFill="1" applyBorder="1" applyAlignment="1">
      <alignment vertical="center"/>
    </xf>
    <xf numFmtId="0" fontId="88" fillId="0" borderId="0" xfId="23" applyFont="1" applyFill="1" applyBorder="1" applyAlignment="1">
      <alignment horizontal="right" vertical="center"/>
    </xf>
    <xf numFmtId="0" fontId="109" fillId="0" borderId="0" xfId="0" quotePrefix="1" applyFont="1" applyFill="1" applyBorder="1" applyAlignment="1">
      <alignment horizontal="left" vertical="center"/>
    </xf>
    <xf numFmtId="0" fontId="88" fillId="0" borderId="0" xfId="23" applyFont="1" applyFill="1" applyAlignment="1">
      <alignment horizontal="left" vertical="center"/>
    </xf>
    <xf numFmtId="49" fontId="88" fillId="0" borderId="0" xfId="23" applyNumberFormat="1" applyFont="1" applyFill="1" applyAlignment="1">
      <alignment horizontal="left" vertical="center"/>
    </xf>
    <xf numFmtId="0" fontId="88" fillId="0" borderId="0" xfId="23" applyFont="1" applyFill="1" applyAlignment="1">
      <alignment horizontal="center" vertical="center"/>
    </xf>
    <xf numFmtId="0" fontId="88" fillId="0" borderId="0" xfId="23" applyFont="1" applyFill="1" applyAlignment="1">
      <alignment vertical="center" wrapText="1"/>
    </xf>
    <xf numFmtId="0" fontId="88" fillId="0" borderId="0" xfId="23" applyFont="1" applyFill="1" applyAlignment="1">
      <alignment vertical="center"/>
    </xf>
    <xf numFmtId="0" fontId="88" fillId="0" borderId="0" xfId="23" applyNumberFormat="1" applyFont="1" applyFill="1" applyAlignment="1">
      <alignment horizontal="center" vertical="center"/>
    </xf>
    <xf numFmtId="3" fontId="88" fillId="0" borderId="0" xfId="23" applyNumberFormat="1" applyFont="1" applyFill="1" applyAlignment="1">
      <alignment vertical="center"/>
    </xf>
    <xf numFmtId="0" fontId="88" fillId="0" borderId="0" xfId="23" applyFont="1" applyFill="1" applyAlignment="1">
      <alignment horizontal="center" vertical="top"/>
    </xf>
    <xf numFmtId="3" fontId="88" fillId="0" borderId="0" xfId="23" applyNumberFormat="1" applyFont="1" applyFill="1" applyBorder="1" applyAlignment="1">
      <alignment vertical="center"/>
    </xf>
    <xf numFmtId="38" fontId="88" fillId="0" borderId="0" xfId="23" applyNumberFormat="1" applyFont="1" applyFill="1" applyAlignment="1">
      <alignment horizontal="left" vertical="center" wrapText="1"/>
    </xf>
    <xf numFmtId="0" fontId="88" fillId="0" borderId="0" xfId="23" applyFont="1" applyFill="1" applyAlignment="1">
      <alignment horizontal="left" vertical="center" wrapText="1"/>
    </xf>
    <xf numFmtId="0" fontId="88" fillId="0" borderId="0" xfId="23" quotePrefix="1" applyFont="1" applyFill="1" applyAlignment="1">
      <alignment horizontal="left" vertical="center" wrapText="1"/>
    </xf>
    <xf numFmtId="1" fontId="88" fillId="0" borderId="0" xfId="23" applyNumberFormat="1" applyFont="1" applyFill="1" applyAlignment="1">
      <alignment horizontal="center" vertical="center"/>
    </xf>
    <xf numFmtId="0" fontId="88" fillId="0" borderId="0" xfId="23" quotePrefix="1" applyFont="1" applyFill="1" applyAlignment="1">
      <alignment horizontal="left" vertical="center"/>
    </xf>
    <xf numFmtId="1" fontId="88" fillId="0" borderId="0" xfId="23" quotePrefix="1" applyNumberFormat="1" applyFont="1" applyFill="1" applyAlignment="1">
      <alignment horizontal="center" vertical="center"/>
    </xf>
    <xf numFmtId="0" fontId="88" fillId="0" borderId="0" xfId="23" applyFont="1" applyFill="1" applyAlignment="1">
      <alignment horizontal="left" vertical="top"/>
    </xf>
    <xf numFmtId="1" fontId="88" fillId="0" borderId="0" xfId="23" applyNumberFormat="1" applyFont="1" applyFill="1" applyAlignment="1">
      <alignment horizontal="center" vertical="top"/>
    </xf>
    <xf numFmtId="0" fontId="88" fillId="0" borderId="0" xfId="23" applyFont="1" applyFill="1" applyAlignment="1">
      <alignment vertical="top" wrapText="1"/>
    </xf>
    <xf numFmtId="0" fontId="88" fillId="0" borderId="0" xfId="23" applyFont="1" applyFill="1" applyBorder="1" applyAlignment="1">
      <alignment horizontal="right" vertical="top"/>
    </xf>
    <xf numFmtId="0" fontId="88" fillId="0" borderId="0" xfId="23" applyFont="1" applyAlignment="1">
      <alignment horizontal="left" vertical="center"/>
    </xf>
    <xf numFmtId="1" fontId="88" fillId="0" borderId="0" xfId="23" applyNumberFormat="1" applyFont="1" applyAlignment="1">
      <alignment horizontal="center" vertical="center"/>
    </xf>
    <xf numFmtId="0" fontId="88" fillId="0" borderId="0" xfId="23" applyFont="1" applyAlignment="1">
      <alignment vertical="center" wrapText="1"/>
    </xf>
    <xf numFmtId="0" fontId="88" fillId="0" borderId="0" xfId="23" applyFont="1" applyAlignment="1">
      <alignment vertical="center"/>
    </xf>
    <xf numFmtId="167" fontId="88" fillId="0" borderId="0" xfId="23" applyNumberFormat="1" applyFont="1" applyFill="1" applyBorder="1" applyAlignment="1" applyProtection="1">
      <alignment horizontal="right" vertical="center"/>
    </xf>
    <xf numFmtId="0" fontId="88" fillId="0" borderId="0" xfId="23" applyFont="1" applyAlignment="1">
      <alignment horizontal="center" vertical="center"/>
    </xf>
    <xf numFmtId="0" fontId="88" fillId="0" borderId="0" xfId="23" applyFont="1" applyAlignment="1">
      <alignment horizontal="left" vertical="center" wrapText="1"/>
    </xf>
    <xf numFmtId="49" fontId="88" fillId="8" borderId="0" xfId="23" applyNumberFormat="1" applyFont="1" applyFill="1" applyBorder="1" applyAlignment="1">
      <alignment horizontal="left" vertical="center"/>
    </xf>
    <xf numFmtId="49" fontId="88" fillId="8" borderId="0" xfId="23" applyNumberFormat="1" applyFont="1" applyFill="1" applyBorder="1" applyAlignment="1">
      <alignment horizontal="center" vertical="center"/>
    </xf>
    <xf numFmtId="0" fontId="88" fillId="8" borderId="0" xfId="23" applyNumberFormat="1" applyFont="1" applyFill="1" applyBorder="1" applyAlignment="1">
      <alignment vertical="center" wrapText="1"/>
    </xf>
    <xf numFmtId="49" fontId="88" fillId="8" borderId="0" xfId="23" applyNumberFormat="1" applyFont="1" applyFill="1" applyBorder="1" applyAlignment="1">
      <alignment horizontal="right" vertical="center"/>
    </xf>
    <xf numFmtId="49" fontId="88" fillId="0" borderId="0" xfId="23" applyNumberFormat="1" applyFont="1" applyFill="1" applyBorder="1" applyAlignment="1">
      <alignment horizontal="left" vertical="center"/>
    </xf>
    <xf numFmtId="49" fontId="88" fillId="0" borderId="0" xfId="23" applyNumberFormat="1" applyFont="1" applyFill="1" applyBorder="1" applyAlignment="1">
      <alignment horizontal="left" vertical="center" wrapText="1"/>
    </xf>
    <xf numFmtId="49" fontId="88" fillId="0" borderId="0" xfId="23" applyNumberFormat="1" applyFont="1" applyFill="1" applyBorder="1" applyAlignment="1">
      <alignment horizontal="center" vertical="center"/>
    </xf>
    <xf numFmtId="0" fontId="88" fillId="0" borderId="0" xfId="23" applyNumberFormat="1" applyFont="1" applyFill="1" applyBorder="1" applyAlignment="1">
      <alignment vertical="center" wrapText="1"/>
    </xf>
    <xf numFmtId="49" fontId="88" fillId="0" borderId="0" xfId="23" applyNumberFormat="1" applyFont="1" applyFill="1" applyBorder="1" applyAlignment="1">
      <alignment horizontal="right" vertical="center"/>
    </xf>
    <xf numFmtId="0" fontId="88" fillId="0" borderId="0" xfId="23" applyFont="1" applyBorder="1" applyAlignment="1">
      <alignment vertical="center"/>
    </xf>
    <xf numFmtId="0" fontId="88" fillId="0" borderId="0" xfId="23" applyFont="1" applyAlignment="1">
      <alignment horizontal="left" vertical="top"/>
    </xf>
    <xf numFmtId="0" fontId="88" fillId="0" borderId="0" xfId="23" applyFont="1" applyAlignment="1">
      <alignment horizontal="center" vertical="top"/>
    </xf>
    <xf numFmtId="0" fontId="88" fillId="0" borderId="0" xfId="23" applyFont="1" applyAlignment="1">
      <alignment horizontal="left" vertical="top" wrapText="1"/>
    </xf>
    <xf numFmtId="0" fontId="88" fillId="0" borderId="0" xfId="23" applyFont="1" applyBorder="1" applyAlignment="1">
      <alignment horizontal="left" vertical="center"/>
    </xf>
    <xf numFmtId="0" fontId="88" fillId="0" borderId="0" xfId="23" quotePrefix="1" applyFont="1" applyAlignment="1">
      <alignment horizontal="left" vertical="top"/>
    </xf>
    <xf numFmtId="0" fontId="88" fillId="0" borderId="0" xfId="23" applyFont="1" applyAlignment="1">
      <alignment horizontal="right" vertical="center"/>
    </xf>
    <xf numFmtId="38" fontId="88" fillId="0" borderId="0" xfId="23" applyNumberFormat="1" applyFont="1" applyFill="1" applyAlignment="1">
      <alignment horizontal="right"/>
    </xf>
    <xf numFmtId="0" fontId="88" fillId="0" borderId="0" xfId="23" applyFont="1" applyAlignment="1" applyProtection="1">
      <alignment vertical="center"/>
    </xf>
    <xf numFmtId="0" fontId="83" fillId="2" borderId="3" xfId="0" applyFont="1" applyFill="1" applyBorder="1" applyAlignment="1">
      <alignment horizontal="left"/>
    </xf>
    <xf numFmtId="0" fontId="83" fillId="2" borderId="4" xfId="0" applyFont="1" applyFill="1" applyBorder="1"/>
    <xf numFmtId="0" fontId="90" fillId="2" borderId="4" xfId="0" applyFont="1" applyFill="1" applyBorder="1"/>
    <xf numFmtId="0" fontId="90" fillId="2" borderId="5" xfId="0" applyFont="1" applyFill="1" applyBorder="1"/>
    <xf numFmtId="0" fontId="83" fillId="2" borderId="0" xfId="0" applyFont="1" applyFill="1" applyBorder="1" applyAlignment="1"/>
    <xf numFmtId="0" fontId="83" fillId="2" borderId="0" xfId="0" applyFont="1" applyFill="1" applyBorder="1"/>
    <xf numFmtId="0" fontId="90" fillId="2" borderId="0" xfId="0" applyFont="1" applyFill="1" applyBorder="1"/>
    <xf numFmtId="0" fontId="90" fillId="2" borderId="7" xfId="0" applyFont="1" applyFill="1" applyBorder="1"/>
    <xf numFmtId="0" fontId="112" fillId="2" borderId="0" xfId="0" applyFont="1" applyFill="1" applyAlignment="1">
      <alignment horizontal="left"/>
    </xf>
    <xf numFmtId="0" fontId="90" fillId="2" borderId="0" xfId="0" applyFont="1" applyFill="1" applyAlignment="1"/>
    <xf numFmtId="0" fontId="90" fillId="2" borderId="0" xfId="0" applyFont="1" applyFill="1" applyBorder="1" applyAlignment="1">
      <alignment vertical="center"/>
    </xf>
    <xf numFmtId="0" fontId="90" fillId="2" borderId="0" xfId="0" applyFont="1" applyFill="1" applyBorder="1" applyAlignment="1">
      <alignment horizontal="left" vertical="center"/>
    </xf>
    <xf numFmtId="0" fontId="90" fillId="2" borderId="7" xfId="0" applyFont="1" applyFill="1" applyBorder="1" applyAlignment="1">
      <alignment horizontal="left" vertical="center"/>
    </xf>
    <xf numFmtId="0" fontId="83" fillId="2" borderId="3" xfId="0" applyFont="1" applyFill="1" applyBorder="1" applyAlignment="1" applyProtection="1">
      <alignment vertical="center"/>
    </xf>
    <xf numFmtId="0" fontId="89" fillId="2" borderId="4" xfId="0" applyFont="1" applyFill="1" applyBorder="1" applyAlignment="1" applyProtection="1">
      <alignment vertical="center"/>
    </xf>
    <xf numFmtId="0" fontId="90" fillId="2" borderId="4" xfId="0" applyFont="1" applyFill="1" applyBorder="1" applyAlignment="1" applyProtection="1">
      <alignment vertical="center"/>
    </xf>
    <xf numFmtId="0" fontId="90" fillId="0" borderId="6" xfId="0" applyFont="1" applyFill="1" applyBorder="1" applyAlignment="1" applyProtection="1">
      <alignment vertical="center"/>
    </xf>
    <xf numFmtId="0" fontId="90" fillId="0" borderId="7" xfId="0" applyFont="1" applyFill="1" applyBorder="1" applyAlignment="1" applyProtection="1">
      <alignment vertical="center"/>
    </xf>
    <xf numFmtId="0" fontId="88" fillId="0" borderId="21" xfId="0" applyFont="1" applyBorder="1" applyAlignment="1" applyProtection="1">
      <alignment horizontal="left" vertical="center" indent="1"/>
    </xf>
    <xf numFmtId="0" fontId="90" fillId="0" borderId="14" xfId="0" applyFont="1" applyBorder="1" applyAlignment="1" applyProtection="1">
      <alignment vertical="center"/>
    </xf>
    <xf numFmtId="0" fontId="88" fillId="0" borderId="19" xfId="0" applyFont="1" applyBorder="1" applyAlignment="1" applyProtection="1">
      <alignment horizontal="right" vertical="center"/>
    </xf>
    <xf numFmtId="38" fontId="84" fillId="0" borderId="21" xfId="0" applyNumberFormat="1" applyFont="1" applyBorder="1" applyAlignment="1" applyProtection="1">
      <alignment vertical="center"/>
      <protection locked="0"/>
    </xf>
    <xf numFmtId="0" fontId="88" fillId="0" borderId="6" xfId="0" applyFont="1" applyFill="1" applyBorder="1" applyAlignment="1" applyProtection="1">
      <alignment horizontal="center" vertical="center"/>
    </xf>
    <xf numFmtId="38" fontId="84" fillId="0" borderId="7" xfId="0" applyNumberFormat="1" applyFont="1" applyFill="1" applyBorder="1" applyAlignment="1" applyProtection="1">
      <alignment vertical="center"/>
    </xf>
    <xf numFmtId="0" fontId="98" fillId="0" borderId="14" xfId="0" applyFont="1" applyBorder="1" applyAlignment="1" applyProtection="1">
      <alignment vertical="center"/>
    </xf>
    <xf numFmtId="38" fontId="84" fillId="14" borderId="21" xfId="0" applyNumberFormat="1" applyFont="1" applyFill="1" applyBorder="1" applyAlignment="1" applyProtection="1">
      <protection locked="0"/>
    </xf>
    <xf numFmtId="38" fontId="84" fillId="0" borderId="7" xfId="0" applyNumberFormat="1" applyFont="1" applyFill="1" applyBorder="1" applyAlignment="1" applyProtection="1"/>
    <xf numFmtId="0" fontId="88" fillId="0" borderId="9" xfId="0" applyFont="1" applyFill="1" applyBorder="1" applyAlignment="1" applyProtection="1">
      <alignment horizontal="center" vertical="center"/>
    </xf>
    <xf numFmtId="38" fontId="84" fillId="0" borderId="10" xfId="0" applyNumberFormat="1" applyFont="1" applyFill="1" applyBorder="1" applyAlignment="1" applyProtection="1">
      <alignment vertical="center"/>
    </xf>
    <xf numFmtId="0" fontId="90" fillId="2" borderId="5" xfId="0" applyFont="1" applyFill="1" applyBorder="1" applyAlignment="1" applyProtection="1">
      <alignment vertical="center"/>
    </xf>
    <xf numFmtId="0" fontId="83" fillId="2" borderId="9" xfId="0" applyFont="1" applyFill="1" applyBorder="1" applyAlignment="1">
      <alignment vertical="center"/>
    </xf>
    <xf numFmtId="0" fontId="99" fillId="2" borderId="8" xfId="0" applyFont="1" applyFill="1" applyBorder="1" applyAlignment="1">
      <alignment horizontal="left" vertical="center" indent="1"/>
    </xf>
    <xf numFmtId="0" fontId="90" fillId="2" borderId="8" xfId="0" applyFont="1" applyFill="1" applyBorder="1" applyAlignment="1">
      <alignment horizontal="left" vertical="center"/>
    </xf>
    <xf numFmtId="0" fontId="90" fillId="0" borderId="6" xfId="0" applyFont="1" applyBorder="1"/>
    <xf numFmtId="0" fontId="84" fillId="0" borderId="0" xfId="0" applyNumberFormat="1" applyFont="1" applyFill="1" applyBorder="1" applyAlignment="1">
      <alignment horizontal="left" vertical="center"/>
    </xf>
    <xf numFmtId="0" fontId="84" fillId="0" borderId="6" xfId="0" applyFont="1" applyBorder="1"/>
    <xf numFmtId="0" fontId="88" fillId="0" borderId="6" xfId="0" applyFont="1" applyBorder="1"/>
    <xf numFmtId="0" fontId="89" fillId="0" borderId="0" xfId="0" applyFont="1" applyBorder="1" applyAlignment="1">
      <alignment horizontal="center"/>
    </xf>
    <xf numFmtId="0" fontId="89" fillId="0" borderId="21" xfId="0" applyFont="1" applyBorder="1" applyAlignment="1">
      <alignment horizontal="left"/>
    </xf>
    <xf numFmtId="0" fontId="89" fillId="0" borderId="19" xfId="0" applyFont="1" applyBorder="1" applyAlignment="1">
      <alignment horizontal="left" indent="1"/>
    </xf>
    <xf numFmtId="49" fontId="88" fillId="0" borderId="2" xfId="0" applyNumberFormat="1" applyFont="1" applyBorder="1" applyAlignment="1">
      <alignment horizontal="center"/>
    </xf>
    <xf numFmtId="0" fontId="88" fillId="0" borderId="2" xfId="0" applyFont="1" applyBorder="1" applyAlignment="1">
      <alignment horizontal="center"/>
    </xf>
    <xf numFmtId="0" fontId="88" fillId="0" borderId="21" xfId="0" applyFont="1" applyBorder="1" applyAlignment="1">
      <alignment horizontal="left" indent="1"/>
    </xf>
    <xf numFmtId="0" fontId="88" fillId="0" borderId="19" xfId="0" applyFont="1" applyBorder="1" applyAlignment="1">
      <alignment horizontal="left" indent="2"/>
    </xf>
    <xf numFmtId="0" fontId="89" fillId="0" borderId="19" xfId="0" applyFont="1" applyBorder="1" applyAlignment="1">
      <alignment horizontal="left" indent="2"/>
    </xf>
    <xf numFmtId="0" fontId="88" fillId="0" borderId="19" xfId="0" applyFont="1" applyBorder="1" applyAlignment="1">
      <alignment horizontal="left" indent="4"/>
    </xf>
    <xf numFmtId="0" fontId="89" fillId="5" borderId="21" xfId="0" applyFont="1" applyFill="1" applyBorder="1" applyAlignment="1">
      <alignment horizontal="left" indent="2"/>
    </xf>
    <xf numFmtId="0" fontId="89" fillId="5" borderId="19" xfId="0" applyFont="1" applyFill="1" applyBorder="1" applyAlignment="1">
      <alignment horizontal="left" indent="2"/>
    </xf>
    <xf numFmtId="0" fontId="88" fillId="5" borderId="2" xfId="0" applyFont="1" applyFill="1" applyBorder="1"/>
    <xf numFmtId="0" fontId="84" fillId="0" borderId="7" xfId="0" applyFont="1" applyBorder="1"/>
    <xf numFmtId="0" fontId="89" fillId="0" borderId="8" xfId="0" applyFont="1" applyBorder="1" applyAlignment="1">
      <alignment horizontal="centerContinuous"/>
    </xf>
    <xf numFmtId="0" fontId="84" fillId="0" borderId="10" xfId="0" applyFont="1" applyBorder="1" applyAlignment="1">
      <alignment horizontal="centerContinuous"/>
    </xf>
    <xf numFmtId="0" fontId="90" fillId="0" borderId="9" xfId="0" applyFont="1" applyBorder="1"/>
    <xf numFmtId="0" fontId="90" fillId="0" borderId="8" xfId="0" applyFont="1" applyBorder="1"/>
    <xf numFmtId="0" fontId="84" fillId="0" borderId="9" xfId="0" applyFont="1" applyBorder="1"/>
    <xf numFmtId="0" fontId="84" fillId="0" borderId="10" xfId="0" applyFont="1" applyBorder="1"/>
    <xf numFmtId="0" fontId="88" fillId="0" borderId="0" xfId="4" applyNumberFormat="1" applyFont="1" applyBorder="1" applyAlignment="1">
      <alignment vertical="center"/>
    </xf>
    <xf numFmtId="0" fontId="90" fillId="0" borderId="0" xfId="4" applyNumberFormat="1" applyFont="1" applyBorder="1" applyAlignment="1">
      <alignment vertical="center"/>
    </xf>
    <xf numFmtId="0" fontId="90" fillId="0" borderId="0" xfId="4" applyNumberFormat="1" applyFont="1" applyAlignment="1">
      <alignment vertical="center"/>
    </xf>
    <xf numFmtId="0" fontId="88" fillId="0" borderId="0" xfId="4" applyNumberFormat="1" applyFont="1" applyAlignment="1">
      <alignment vertical="center"/>
    </xf>
    <xf numFmtId="0" fontId="89" fillId="0" borderId="0" xfId="4" applyNumberFormat="1" applyFont="1" applyAlignment="1">
      <alignment horizontal="center" vertical="center"/>
    </xf>
    <xf numFmtId="0" fontId="89" fillId="0" borderId="0" xfId="4" applyNumberFormat="1" applyFont="1" applyBorder="1" applyAlignment="1">
      <alignment horizontal="left" vertical="center"/>
    </xf>
    <xf numFmtId="0" fontId="88" fillId="0" borderId="0" xfId="4" applyNumberFormat="1" applyFont="1" applyAlignment="1">
      <alignment horizontal="center" vertical="center"/>
    </xf>
    <xf numFmtId="0" fontId="88" fillId="0" borderId="6" xfId="4" applyNumberFormat="1" applyFont="1" applyBorder="1" applyAlignment="1">
      <alignment horizontal="center" vertical="center"/>
    </xf>
    <xf numFmtId="0" fontId="88" fillId="0" borderId="0" xfId="4" applyNumberFormat="1" applyFont="1" applyBorder="1" applyAlignment="1">
      <alignment horizontal="right" vertical="center" indent="1"/>
    </xf>
    <xf numFmtId="0" fontId="90" fillId="0" borderId="6" xfId="4" applyNumberFormat="1" applyFont="1" applyBorder="1" applyAlignment="1">
      <alignment vertical="center"/>
    </xf>
    <xf numFmtId="0" fontId="90" fillId="0" borderId="9" xfId="4" applyNumberFormat="1" applyFont="1" applyBorder="1" applyAlignment="1">
      <alignment vertical="center"/>
    </xf>
    <xf numFmtId="0" fontId="90" fillId="0" borderId="8" xfId="4" applyNumberFormat="1" applyFont="1" applyBorder="1" applyAlignment="1">
      <alignment vertical="center"/>
    </xf>
    <xf numFmtId="0" fontId="90" fillId="0" borderId="3" xfId="4" applyNumberFormat="1" applyFont="1" applyBorder="1" applyAlignment="1">
      <alignment vertical="center"/>
    </xf>
    <xf numFmtId="0" fontId="90" fillId="0" borderId="4" xfId="4" applyNumberFormat="1" applyFont="1" applyBorder="1" applyAlignment="1">
      <alignment vertical="center"/>
    </xf>
    <xf numFmtId="0" fontId="90" fillId="0" borderId="17" xfId="4" applyNumberFormat="1" applyFont="1" applyBorder="1" applyAlignment="1">
      <alignment vertical="center"/>
    </xf>
    <xf numFmtId="0" fontId="90" fillId="0" borderId="4" xfId="4" applyNumberFormat="1" applyFont="1" applyFill="1" applyBorder="1" applyAlignment="1">
      <alignment horizontal="centerContinuous" vertical="center"/>
    </xf>
    <xf numFmtId="0" fontId="90" fillId="0" borderId="5" xfId="4" applyNumberFormat="1" applyFont="1" applyFill="1" applyBorder="1" applyAlignment="1">
      <alignment horizontal="centerContinuous" vertical="center"/>
    </xf>
    <xf numFmtId="0" fontId="84" fillId="0" borderId="6" xfId="4" applyNumberFormat="1" applyFont="1" applyFill="1" applyBorder="1" applyAlignment="1">
      <alignment vertical="center"/>
    </xf>
    <xf numFmtId="0" fontId="84" fillId="0" borderId="0" xfId="4" applyNumberFormat="1" applyFont="1" applyFill="1" applyBorder="1" applyAlignment="1">
      <alignment vertical="center"/>
    </xf>
    <xf numFmtId="0" fontId="84" fillId="0" borderId="0" xfId="4" applyNumberFormat="1" applyFont="1" applyFill="1" applyBorder="1" applyAlignment="1">
      <alignment horizontal="center" vertical="center"/>
    </xf>
    <xf numFmtId="0" fontId="84" fillId="0" borderId="20" xfId="4" applyNumberFormat="1" applyFont="1" applyFill="1" applyBorder="1" applyAlignment="1">
      <alignment vertical="center"/>
    </xf>
    <xf numFmtId="0" fontId="89" fillId="0" borderId="5" xfId="4" applyNumberFormat="1" applyFont="1" applyBorder="1" applyAlignment="1">
      <alignment horizontal="center" vertical="center"/>
    </xf>
    <xf numFmtId="0" fontId="89" fillId="0" borderId="17" xfId="4" applyNumberFormat="1" applyFont="1" applyBorder="1" applyAlignment="1">
      <alignment horizontal="center" vertical="center"/>
    </xf>
    <xf numFmtId="0" fontId="88" fillId="0" borderId="17" xfId="4" applyNumberFormat="1" applyFont="1" applyBorder="1" applyAlignment="1">
      <alignment horizontal="center" vertical="center"/>
    </xf>
    <xf numFmtId="0" fontId="84" fillId="0" borderId="0" xfId="4" applyNumberFormat="1" applyFont="1" applyAlignment="1">
      <alignment vertical="center"/>
    </xf>
    <xf numFmtId="0" fontId="89" fillId="0" borderId="18" xfId="4" applyNumberFormat="1" applyFont="1" applyBorder="1" applyAlignment="1">
      <alignment horizontal="center" vertical="center" wrapText="1"/>
    </xf>
    <xf numFmtId="0" fontId="89" fillId="0" borderId="18" xfId="4" applyNumberFormat="1" applyFont="1" applyBorder="1" applyAlignment="1">
      <alignment horizontal="center" vertical="center"/>
    </xf>
    <xf numFmtId="164" fontId="89" fillId="0" borderId="21" xfId="4" applyNumberFormat="1" applyFont="1" applyBorder="1" applyAlignment="1">
      <alignment horizontal="right" vertical="center"/>
    </xf>
    <xf numFmtId="0" fontId="88" fillId="0" borderId="14" xfId="4" applyNumberFormat="1" applyFont="1" applyBorder="1" applyAlignment="1">
      <alignment horizontal="left" vertical="center"/>
    </xf>
    <xf numFmtId="0" fontId="90" fillId="0" borderId="19" xfId="4" applyNumberFormat="1" applyFont="1" applyBorder="1" applyAlignment="1">
      <alignment horizontal="left" vertical="center"/>
    </xf>
    <xf numFmtId="0" fontId="88" fillId="0" borderId="2" xfId="4" applyNumberFormat="1" applyFont="1" applyBorder="1" applyAlignment="1">
      <alignment horizontal="left" vertical="center" indent="1"/>
    </xf>
    <xf numFmtId="0" fontId="84" fillId="15" borderId="2" xfId="4" applyNumberFormat="1" applyFont="1" applyFill="1" applyBorder="1" applyAlignment="1">
      <alignment vertical="center"/>
    </xf>
    <xf numFmtId="38" fontId="84" fillId="0" borderId="2" xfId="4" applyNumberFormat="1" applyFont="1" applyBorder="1" applyAlignment="1" applyProtection="1">
      <alignment vertical="center"/>
      <protection locked="0"/>
    </xf>
    <xf numFmtId="0" fontId="88" fillId="0" borderId="2" xfId="4" applyNumberFormat="1" applyFont="1" applyBorder="1" applyAlignment="1">
      <alignment horizontal="left" vertical="top" indent="1"/>
    </xf>
    <xf numFmtId="164" fontId="89" fillId="0" borderId="21" xfId="4" applyNumberFormat="1" applyFont="1" applyBorder="1" applyAlignment="1">
      <alignment vertical="top"/>
    </xf>
    <xf numFmtId="38" fontId="84" fillId="0" borderId="2" xfId="4" applyNumberFormat="1" applyFont="1" applyFill="1" applyBorder="1" applyAlignment="1" applyProtection="1">
      <alignment vertical="center"/>
      <protection locked="0"/>
    </xf>
    <xf numFmtId="0" fontId="89" fillId="0" borderId="14" xfId="4" applyNumberFormat="1" applyFont="1" applyBorder="1" applyAlignment="1">
      <alignment horizontal="left" vertical="center"/>
    </xf>
    <xf numFmtId="0" fontId="88" fillId="0" borderId="19" xfId="4" applyNumberFormat="1" applyFont="1" applyBorder="1" applyAlignment="1">
      <alignment horizontal="center" vertical="center"/>
    </xf>
    <xf numFmtId="0" fontId="84" fillId="15" borderId="18" xfId="4" applyNumberFormat="1" applyFont="1" applyFill="1" applyBorder="1" applyAlignment="1">
      <alignment vertical="center"/>
    </xf>
    <xf numFmtId="0" fontId="90" fillId="0" borderId="0" xfId="4" applyNumberFormat="1" applyFont="1" applyAlignment="1">
      <alignment horizontal="right" vertical="center"/>
    </xf>
    <xf numFmtId="0" fontId="99" fillId="0" borderId="0" xfId="4" applyNumberFormat="1" applyFont="1" applyAlignment="1">
      <alignment vertical="center"/>
    </xf>
    <xf numFmtId="0" fontId="98" fillId="0" borderId="0" xfId="4" applyNumberFormat="1" applyFont="1" applyAlignment="1">
      <alignment vertical="center"/>
    </xf>
    <xf numFmtId="171" fontId="90" fillId="0" borderId="0" xfId="4" applyNumberFormat="1" applyFont="1" applyBorder="1" applyAlignment="1" applyProtection="1">
      <alignment horizontal="center"/>
    </xf>
    <xf numFmtId="0" fontId="98" fillId="0" borderId="128" xfId="4" applyNumberFormat="1" applyFont="1" applyBorder="1" applyAlignment="1">
      <alignment horizontal="center" vertical="center"/>
    </xf>
    <xf numFmtId="0" fontId="90" fillId="0" borderId="128" xfId="4" applyNumberFormat="1" applyFont="1" applyBorder="1" applyAlignment="1">
      <alignment vertical="center"/>
    </xf>
    <xf numFmtId="0" fontId="98" fillId="0" borderId="0" xfId="4" applyNumberFormat="1" applyFont="1" applyBorder="1" applyAlignment="1">
      <alignment vertical="center" wrapText="1"/>
    </xf>
    <xf numFmtId="0" fontId="90" fillId="0" borderId="0" xfId="4" applyNumberFormat="1" applyFont="1" applyBorder="1" applyAlignment="1">
      <alignment wrapText="1"/>
    </xf>
    <xf numFmtId="0" fontId="98" fillId="0" borderId="128" xfId="4" applyNumberFormat="1" applyFont="1" applyBorder="1" applyAlignment="1">
      <alignment horizontal="center"/>
    </xf>
    <xf numFmtId="0" fontId="98" fillId="0" borderId="0" xfId="4" applyNumberFormat="1" applyFont="1" applyBorder="1" applyAlignment="1"/>
    <xf numFmtId="0" fontId="89" fillId="0" borderId="0" xfId="4" applyNumberFormat="1" applyFont="1" applyAlignment="1">
      <alignment horizontal="right"/>
    </xf>
    <xf numFmtId="0" fontId="84" fillId="0" borderId="0" xfId="4" applyNumberFormat="1" applyFont="1" applyBorder="1" applyAlignment="1">
      <alignment horizontal="center" wrapText="1"/>
    </xf>
    <xf numFmtId="0" fontId="98" fillId="0" borderId="0" xfId="4" applyFont="1" applyBorder="1" applyAlignment="1">
      <alignment horizontal="center" vertical="center" wrapText="1"/>
    </xf>
    <xf numFmtId="0" fontId="105" fillId="0" borderId="0" xfId="4" applyNumberFormat="1" applyFont="1" applyAlignment="1">
      <alignment vertical="center"/>
    </xf>
    <xf numFmtId="0" fontId="99" fillId="0" borderId="11" xfId="4" applyNumberFormat="1" applyFont="1" applyBorder="1" applyAlignment="1" applyProtection="1">
      <alignment horizontal="center" vertical="center"/>
      <protection locked="0"/>
    </xf>
    <xf numFmtId="0" fontId="88" fillId="0" borderId="0" xfId="4" applyNumberFormat="1" applyFont="1" applyAlignment="1">
      <alignment horizontal="left" vertical="center" indent="2"/>
    </xf>
    <xf numFmtId="0" fontId="90" fillId="0" borderId="0" xfId="4" applyFont="1" applyAlignment="1">
      <alignment horizontal="left" wrapText="1" indent="2"/>
    </xf>
    <xf numFmtId="0" fontId="84" fillId="0" borderId="0" xfId="4" applyNumberFormat="1" applyFont="1" applyBorder="1" applyAlignment="1">
      <alignment vertical="center"/>
    </xf>
    <xf numFmtId="0" fontId="108" fillId="0" borderId="0" xfId="4" applyNumberFormat="1" applyFont="1" applyBorder="1" applyAlignment="1">
      <alignment horizontal="centerContinuous" vertical="center"/>
    </xf>
    <xf numFmtId="0" fontId="85" fillId="0" borderId="0" xfId="2" applyNumberFormat="1" applyFont="1" applyBorder="1" applyAlignment="1" applyProtection="1">
      <alignment horizontal="centerContinuous" vertical="center"/>
    </xf>
    <xf numFmtId="0" fontId="90" fillId="0" borderId="0" xfId="4" applyFont="1" applyAlignment="1">
      <alignment vertical="top" wrapText="1"/>
    </xf>
    <xf numFmtId="164" fontId="88" fillId="0" borderId="0" xfId="0" applyNumberFormat="1" applyFont="1"/>
    <xf numFmtId="164" fontId="90" fillId="0" borderId="0" xfId="0" applyNumberFormat="1" applyFont="1"/>
    <xf numFmtId="166" fontId="88" fillId="0" borderId="0" xfId="0" applyNumberFormat="1" applyFont="1" applyAlignment="1">
      <alignment horizontal="left"/>
    </xf>
    <xf numFmtId="0" fontId="90" fillId="0" borderId="0" xfId="0" applyFont="1" applyAlignment="1">
      <alignment vertical="top"/>
    </xf>
    <xf numFmtId="0" fontId="120" fillId="0" borderId="0" xfId="0" applyFont="1"/>
    <xf numFmtId="0" fontId="84" fillId="0" borderId="0" xfId="0" applyFont="1" applyAlignment="1">
      <alignment vertical="top" wrapText="1"/>
    </xf>
    <xf numFmtId="0" fontId="90" fillId="0" borderId="0" xfId="4" applyFont="1" applyAlignment="1">
      <alignment wrapText="1"/>
    </xf>
    <xf numFmtId="0" fontId="90" fillId="0" borderId="0" xfId="4" applyFont="1" applyAlignment="1">
      <alignment vertical="center"/>
    </xf>
    <xf numFmtId="0" fontId="89" fillId="0" borderId="38" xfId="4" applyFont="1" applyFill="1" applyBorder="1" applyAlignment="1">
      <alignment horizontal="center" vertical="center"/>
    </xf>
    <xf numFmtId="0" fontId="89" fillId="0" borderId="11" xfId="4" applyFont="1" applyBorder="1" applyAlignment="1">
      <alignment horizontal="center" vertical="center" wrapText="1"/>
    </xf>
    <xf numFmtId="0" fontId="83" fillId="0" borderId="11" xfId="4" applyFont="1" applyBorder="1" applyAlignment="1">
      <alignment horizontal="left" vertical="center" wrapText="1" indent="1"/>
    </xf>
    <xf numFmtId="0" fontId="90" fillId="0" borderId="0" xfId="4" applyFont="1" applyAlignment="1">
      <alignment horizontal="left" vertical="center"/>
    </xf>
    <xf numFmtId="0" fontId="89" fillId="0" borderId="36" xfId="4" applyFont="1" applyBorder="1" applyAlignment="1">
      <alignment horizontal="left" vertical="center" wrapText="1" indent="2"/>
    </xf>
    <xf numFmtId="0" fontId="89" fillId="0" borderId="11" xfId="4" applyFont="1" applyBorder="1" applyAlignment="1">
      <alignment horizontal="left" vertical="center" wrapText="1" indent="1"/>
    </xf>
    <xf numFmtId="0" fontId="83" fillId="0" borderId="0" xfId="4" applyFont="1" applyFill="1" applyBorder="1" applyAlignment="1">
      <alignment wrapText="1"/>
    </xf>
    <xf numFmtId="38" fontId="99" fillId="0" borderId="0" xfId="4" applyNumberFormat="1" applyFont="1" applyFill="1" applyBorder="1"/>
    <xf numFmtId="0" fontId="88" fillId="0" borderId="0" xfId="4" applyNumberFormat="1" applyFont="1" applyBorder="1" applyAlignment="1">
      <alignment horizontal="left" vertical="center" wrapText="1"/>
    </xf>
    <xf numFmtId="0" fontId="90" fillId="0" borderId="0" xfId="4" applyFont="1" applyBorder="1" applyAlignment="1">
      <alignment horizontal="left" vertical="center" wrapText="1"/>
    </xf>
    <xf numFmtId="0" fontId="90" fillId="0" borderId="0" xfId="4" applyFont="1" applyAlignment="1">
      <alignment horizontal="left"/>
    </xf>
    <xf numFmtId="0" fontId="90" fillId="0" borderId="0" xfId="4" applyFont="1" applyAlignment="1"/>
    <xf numFmtId="49" fontId="121" fillId="0" borderId="0" xfId="0" applyNumberFormat="1" applyFont="1" applyFill="1" applyBorder="1" applyAlignment="1">
      <alignment horizontal="centerContinuous" vertical="top"/>
    </xf>
    <xf numFmtId="0" fontId="84" fillId="0" borderId="0" xfId="0" applyFont="1" applyAlignment="1">
      <alignment horizontal="centerContinuous" vertical="top"/>
    </xf>
    <xf numFmtId="0" fontId="84" fillId="0" borderId="0" xfId="0" applyFont="1" applyAlignment="1">
      <alignment horizontal="centerContinuous" vertical="top" wrapText="1"/>
    </xf>
    <xf numFmtId="0" fontId="89" fillId="0" borderId="0" xfId="0" applyFont="1" applyBorder="1" applyAlignment="1">
      <alignment horizontal="centerContinuous" vertical="top"/>
    </xf>
    <xf numFmtId="0" fontId="84" fillId="0" borderId="0" xfId="0" applyFont="1" applyAlignment="1"/>
    <xf numFmtId="164" fontId="122" fillId="0" borderId="14" xfId="0" applyNumberFormat="1" applyFont="1" applyBorder="1" applyAlignment="1">
      <alignment vertical="top"/>
    </xf>
    <xf numFmtId="0" fontId="84" fillId="0" borderId="14" xfId="0" applyFont="1" applyBorder="1" applyAlignment="1">
      <alignment vertical="top"/>
    </xf>
    <xf numFmtId="0" fontId="88" fillId="0" borderId="19" xfId="0" applyFont="1" applyBorder="1"/>
    <xf numFmtId="0" fontId="84" fillId="0" borderId="14" xfId="0" applyFont="1" applyBorder="1" applyAlignment="1">
      <alignment vertical="top" wrapText="1"/>
    </xf>
    <xf numFmtId="0" fontId="90" fillId="0" borderId="19" xfId="0" applyFont="1" applyBorder="1" applyAlignment="1">
      <alignment wrapText="1"/>
    </xf>
    <xf numFmtId="0" fontId="84" fillId="0" borderId="6" xfId="0" applyFont="1" applyBorder="1" applyAlignment="1">
      <alignment horizontal="left" vertical="top"/>
    </xf>
    <xf numFmtId="164" fontId="122" fillId="0" borderId="0" xfId="0" applyNumberFormat="1" applyFont="1" applyBorder="1" applyAlignment="1">
      <alignment horizontal="right" vertical="top"/>
    </xf>
    <xf numFmtId="0" fontId="123" fillId="0" borderId="21" xfId="0" applyFont="1" applyBorder="1" applyAlignment="1">
      <alignment horizontal="right" vertical="top"/>
    </xf>
    <xf numFmtId="0" fontId="84" fillId="0" borderId="14" xfId="0" applyFont="1" applyBorder="1" applyAlignment="1">
      <alignment horizontal="left" vertical="top"/>
    </xf>
    <xf numFmtId="0" fontId="84" fillId="0" borderId="14" xfId="0" applyFont="1" applyBorder="1" applyAlignment="1">
      <alignment horizontal="left" vertical="top" indent="1"/>
    </xf>
    <xf numFmtId="0" fontId="109" fillId="0" borderId="2" xfId="0" applyFont="1" applyBorder="1" applyAlignment="1">
      <alignment vertical="top" wrapText="1"/>
    </xf>
    <xf numFmtId="0" fontId="84" fillId="0" borderId="19" xfId="0" applyFont="1" applyBorder="1" applyAlignment="1">
      <alignment horizontal="left" vertical="top" indent="1"/>
    </xf>
    <xf numFmtId="0" fontId="109" fillId="0" borderId="48" xfId="24" applyNumberFormat="1" applyFont="1" applyBorder="1" applyAlignment="1" applyProtection="1">
      <alignment vertical="center"/>
    </xf>
    <xf numFmtId="0" fontId="123" fillId="0" borderId="6" xfId="0" applyFont="1" applyBorder="1" applyAlignment="1">
      <alignment horizontal="right" vertical="top"/>
    </xf>
    <xf numFmtId="0" fontId="109" fillId="0" borderId="5" xfId="24" applyNumberFormat="1" applyFont="1" applyBorder="1" applyAlignment="1" applyProtection="1">
      <alignment vertical="center" wrapText="1"/>
    </xf>
    <xf numFmtId="0" fontId="122" fillId="0" borderId="14" xfId="0" applyNumberFormat="1" applyFont="1" applyBorder="1" applyAlignment="1">
      <alignment horizontal="left" vertical="center"/>
    </xf>
    <xf numFmtId="0" fontId="88" fillId="0" borderId="19" xfId="0" applyFont="1" applyBorder="1" applyAlignment="1">
      <alignment vertical="top" wrapText="1"/>
    </xf>
    <xf numFmtId="0" fontId="123" fillId="0" borderId="14" xfId="0" applyNumberFormat="1" applyFont="1" applyBorder="1" applyAlignment="1">
      <alignment horizontal="left" vertical="center"/>
    </xf>
    <xf numFmtId="0" fontId="109" fillId="0" borderId="2" xfId="0" applyNumberFormat="1" applyFont="1" applyBorder="1" applyAlignment="1" applyProtection="1">
      <alignment horizontal="left" vertical="center" wrapText="1"/>
    </xf>
    <xf numFmtId="0" fontId="84" fillId="0" borderId="19" xfId="0" applyFont="1" applyBorder="1" applyAlignment="1">
      <alignment horizontal="left" vertical="top" wrapText="1"/>
    </xf>
    <xf numFmtId="0" fontId="124" fillId="0" borderId="6" xfId="0" applyFont="1" applyBorder="1" applyAlignment="1"/>
    <xf numFmtId="0" fontId="122" fillId="0" borderId="14" xfId="0" applyFont="1" applyBorder="1" applyAlignment="1">
      <alignment vertical="top"/>
    </xf>
    <xf numFmtId="0" fontId="109" fillId="0" borderId="19" xfId="0" applyFont="1" applyBorder="1" applyAlignment="1">
      <alignment vertical="top" wrapText="1"/>
    </xf>
    <xf numFmtId="0" fontId="124" fillId="0" borderId="0" xfId="0" applyFont="1" applyAlignment="1"/>
    <xf numFmtId="0" fontId="124" fillId="0" borderId="21" xfId="0" applyFont="1" applyBorder="1" applyAlignment="1"/>
    <xf numFmtId="0" fontId="84" fillId="0" borderId="14" xfId="0" applyFont="1" applyBorder="1" applyAlignment="1">
      <alignment horizontal="left" vertical="top" wrapText="1" indent="1"/>
    </xf>
    <xf numFmtId="0" fontId="84" fillId="0" borderId="21" xfId="0" applyFont="1" applyBorder="1" applyAlignment="1">
      <alignment horizontal="left" vertical="top"/>
    </xf>
    <xf numFmtId="164" fontId="122" fillId="0" borderId="14" xfId="0" applyNumberFormat="1" applyFont="1" applyBorder="1" applyAlignment="1">
      <alignment horizontal="right" vertical="top"/>
    </xf>
    <xf numFmtId="164" fontId="123" fillId="0" borderId="14" xfId="0" applyNumberFormat="1" applyFont="1" applyBorder="1" applyAlignment="1">
      <alignment horizontal="right" vertical="center"/>
    </xf>
    <xf numFmtId="0" fontId="84" fillId="0" borderId="14" xfId="0" applyNumberFormat="1" applyFont="1" applyBorder="1" applyAlignment="1">
      <alignment horizontal="left" vertical="center" wrapText="1" indent="1"/>
    </xf>
    <xf numFmtId="0" fontId="109" fillId="0" borderId="2" xfId="0" applyFont="1" applyBorder="1" applyAlignment="1"/>
    <xf numFmtId="0" fontId="109" fillId="0" borderId="2" xfId="0" applyFont="1" applyBorder="1" applyAlignment="1">
      <alignment horizontal="left" vertical="top"/>
    </xf>
    <xf numFmtId="0" fontId="88" fillId="0" borderId="2" xfId="0" applyFont="1" applyBorder="1" applyAlignment="1">
      <alignment horizontal="left" vertical="top" wrapText="1"/>
    </xf>
    <xf numFmtId="0" fontId="109" fillId="0" borderId="2" xfId="0" applyFont="1" applyBorder="1" applyAlignment="1">
      <alignment horizontal="left" vertical="top" wrapText="1"/>
    </xf>
    <xf numFmtId="164" fontId="123" fillId="0" borderId="21" xfId="0" applyNumberFormat="1" applyFont="1" applyBorder="1" applyAlignment="1">
      <alignment horizontal="right" vertical="top"/>
    </xf>
    <xf numFmtId="0" fontId="88" fillId="0" borderId="19" xfId="0" applyFont="1" applyBorder="1" applyAlignment="1">
      <alignment horizontal="left" vertical="top" wrapText="1"/>
    </xf>
    <xf numFmtId="164" fontId="125" fillId="0" borderId="14" xfId="0" applyNumberFormat="1" applyFont="1" applyBorder="1" applyAlignment="1">
      <alignment horizontal="left" vertical="center"/>
    </xf>
    <xf numFmtId="0" fontId="122" fillId="0" borderId="14" xfId="0" applyFont="1" applyBorder="1" applyAlignment="1">
      <alignment horizontal="left" vertical="top"/>
    </xf>
    <xf numFmtId="0" fontId="109" fillId="0" borderId="2" xfId="0" applyFont="1" applyBorder="1" applyAlignment="1">
      <alignment horizontal="left"/>
    </xf>
    <xf numFmtId="0" fontId="109" fillId="0" borderId="2" xfId="0" applyFont="1" applyBorder="1"/>
    <xf numFmtId="0" fontId="84" fillId="0" borderId="0" xfId="0" applyFont="1" applyAlignment="1">
      <alignment horizontal="left" vertical="top"/>
    </xf>
    <xf numFmtId="0" fontId="84" fillId="0" borderId="14" xfId="0" applyFont="1" applyBorder="1" applyAlignment="1"/>
    <xf numFmtId="164" fontId="122" fillId="0" borderId="14" xfId="0" applyNumberFormat="1" applyFont="1" applyBorder="1" applyAlignment="1">
      <alignment vertical="center"/>
    </xf>
    <xf numFmtId="0" fontId="84" fillId="0" borderId="14" xfId="0" applyFont="1" applyBorder="1" applyAlignment="1">
      <alignment vertical="center"/>
    </xf>
    <xf numFmtId="0" fontId="88" fillId="0" borderId="129" xfId="0" applyFont="1" applyBorder="1"/>
    <xf numFmtId="0" fontId="84" fillId="0" borderId="21" xfId="0" applyFont="1" applyBorder="1"/>
    <xf numFmtId="0" fontId="84" fillId="0" borderId="9" xfId="0" applyFont="1" applyBorder="1" applyAlignment="1">
      <alignment horizontal="left" vertical="top"/>
    </xf>
    <xf numFmtId="164" fontId="122" fillId="0" borderId="8" xfId="0" applyNumberFormat="1" applyFont="1" applyBorder="1" applyAlignment="1">
      <alignment horizontal="right" vertical="top"/>
    </xf>
    <xf numFmtId="0" fontId="84" fillId="0" borderId="8" xfId="0" applyNumberFormat="1" applyFont="1" applyBorder="1" applyAlignment="1">
      <alignment horizontal="left" vertical="center" wrapText="1" indent="1"/>
    </xf>
    <xf numFmtId="0" fontId="109" fillId="0" borderId="18" xfId="0" applyFont="1" applyBorder="1" applyAlignment="1">
      <alignment horizontal="left" vertical="center" wrapText="1"/>
    </xf>
    <xf numFmtId="0" fontId="84" fillId="0" borderId="8" xfId="0" applyFont="1" applyBorder="1" applyAlignment="1">
      <alignment horizontal="left" vertical="top"/>
    </xf>
    <xf numFmtId="0" fontId="84" fillId="0" borderId="0" xfId="0" applyFont="1" applyBorder="1" applyAlignment="1">
      <alignment vertical="top"/>
    </xf>
    <xf numFmtId="0" fontId="123" fillId="0" borderId="8" xfId="0" applyNumberFormat="1" applyFont="1" applyBorder="1" applyAlignment="1">
      <alignment horizontal="left" vertical="center"/>
    </xf>
    <xf numFmtId="0" fontId="122" fillId="0" borderId="8" xfId="0" applyFont="1" applyBorder="1" applyAlignment="1">
      <alignment vertical="top"/>
    </xf>
    <xf numFmtId="0" fontId="122" fillId="0" borderId="8" xfId="0" applyFont="1" applyBorder="1" applyAlignment="1">
      <alignment horizontal="left" vertical="top"/>
    </xf>
    <xf numFmtId="0" fontId="84" fillId="0" borderId="9" xfId="0" applyFont="1" applyBorder="1" applyAlignment="1"/>
    <xf numFmtId="164" fontId="122" fillId="0" borderId="8" xfId="0" applyNumberFormat="1" applyFont="1" applyBorder="1" applyAlignment="1"/>
    <xf numFmtId="0" fontId="84" fillId="0" borderId="8" xfId="0" applyFont="1" applyBorder="1" applyAlignment="1"/>
    <xf numFmtId="0" fontId="88" fillId="0" borderId="10" xfId="0" applyFont="1" applyBorder="1" applyAlignment="1"/>
    <xf numFmtId="0" fontId="108" fillId="0" borderId="3" xfId="0" applyFont="1" applyBorder="1" applyAlignment="1">
      <alignment horizontal="left"/>
    </xf>
    <xf numFmtId="0" fontId="94" fillId="0" borderId="4" xfId="0" applyFont="1" applyBorder="1" applyAlignment="1">
      <alignment horizontal="left" vertical="center" indent="1"/>
    </xf>
    <xf numFmtId="0" fontId="87" fillId="0" borderId="4" xfId="0" applyFont="1" applyBorder="1" applyAlignment="1">
      <alignment horizontal="left" vertical="center"/>
    </xf>
    <xf numFmtId="0" fontId="119" fillId="0" borderId="5" xfId="0" applyFont="1" applyBorder="1" applyAlignment="1">
      <alignment horizontal="left" vertical="center"/>
    </xf>
    <xf numFmtId="49" fontId="108" fillId="0" borderId="3" xfId="0" applyNumberFormat="1" applyFont="1" applyFill="1" applyBorder="1" applyAlignment="1">
      <alignment horizontal="left" vertical="center"/>
    </xf>
    <xf numFmtId="49" fontId="84" fillId="0" borderId="4" xfId="0" applyNumberFormat="1" applyFont="1" applyFill="1" applyBorder="1" applyAlignment="1">
      <alignment horizontal="left" vertical="center"/>
    </xf>
    <xf numFmtId="0" fontId="84" fillId="0" borderId="4" xfId="0" applyFont="1" applyFill="1" applyBorder="1" applyAlignment="1" applyProtection="1">
      <alignment horizontal="left" vertical="center"/>
    </xf>
    <xf numFmtId="0" fontId="88" fillId="0" borderId="49" xfId="0" applyFont="1" applyFill="1" applyBorder="1" applyAlignment="1" applyProtection="1">
      <alignment horizontal="left" vertical="center"/>
      <protection locked="0"/>
    </xf>
    <xf numFmtId="49" fontId="108" fillId="0" borderId="6" xfId="0" applyNumberFormat="1" applyFont="1" applyFill="1" applyBorder="1" applyAlignment="1">
      <alignment horizontal="left" vertical="center"/>
    </xf>
    <xf numFmtId="49" fontId="84" fillId="0" borderId="0" xfId="0" applyNumberFormat="1" applyFont="1" applyFill="1" applyBorder="1" applyAlignment="1">
      <alignment horizontal="left" vertical="center"/>
    </xf>
    <xf numFmtId="0" fontId="84" fillId="0" borderId="0" xfId="0" applyFont="1" applyFill="1" applyBorder="1" applyAlignment="1">
      <alignment horizontal="left" vertical="center"/>
    </xf>
    <xf numFmtId="0" fontId="88" fillId="0" borderId="50" xfId="0" applyFont="1" applyFill="1" applyBorder="1" applyAlignment="1">
      <alignment horizontal="left" vertical="center"/>
    </xf>
    <xf numFmtId="0" fontId="84" fillId="0" borderId="32" xfId="0" applyFont="1" applyFill="1" applyBorder="1" applyAlignment="1">
      <alignment horizontal="left" vertical="center"/>
    </xf>
    <xf numFmtId="0" fontId="84" fillId="0" borderId="51" xfId="0" applyFont="1" applyFill="1" applyBorder="1" applyAlignment="1">
      <alignment horizontal="left" vertical="center"/>
    </xf>
    <xf numFmtId="0" fontId="84" fillId="0" borderId="51" xfId="0" applyFont="1" applyFill="1" applyBorder="1" applyAlignment="1">
      <alignment horizontal="left" vertical="center" indent="2"/>
    </xf>
    <xf numFmtId="0" fontId="89" fillId="0" borderId="52" xfId="0" applyFont="1" applyFill="1" applyBorder="1" applyAlignment="1">
      <alignment horizontal="left" vertical="center"/>
    </xf>
    <xf numFmtId="0" fontId="83" fillId="0" borderId="9" xfId="0" applyFont="1" applyFill="1" applyBorder="1" applyAlignment="1"/>
    <xf numFmtId="0" fontId="83" fillId="0" borderId="8" xfId="0" applyFont="1" applyFill="1" applyBorder="1" applyAlignment="1">
      <alignment horizontal="left" vertical="top"/>
    </xf>
    <xf numFmtId="0" fontId="83" fillId="0" borderId="10" xfId="0" applyFont="1" applyFill="1" applyBorder="1" applyAlignment="1">
      <alignment horizontal="left"/>
    </xf>
    <xf numFmtId="0" fontId="83" fillId="0" borderId="0" xfId="0" applyFont="1" applyAlignment="1"/>
    <xf numFmtId="0" fontId="84" fillId="0" borderId="0" xfId="0" applyFont="1" applyAlignment="1">
      <alignment horizontal="left"/>
    </xf>
    <xf numFmtId="0" fontId="83" fillId="0" borderId="10" xfId="0" applyFont="1" applyFill="1" applyBorder="1" applyAlignment="1">
      <alignment horizontal="center" vertical="center"/>
    </xf>
    <xf numFmtId="0" fontId="125" fillId="0" borderId="14" xfId="0" applyFont="1" applyBorder="1" applyAlignment="1">
      <alignment horizontal="left" vertical="top" wrapText="1"/>
    </xf>
    <xf numFmtId="0" fontId="90" fillId="0" borderId="0" xfId="4" applyNumberFormat="1" applyFont="1" applyAlignment="1" applyProtection="1">
      <alignment horizontal="centerContinuous"/>
    </xf>
    <xf numFmtId="0" fontId="90" fillId="0" borderId="0" xfId="4" applyNumberFormat="1" applyFont="1" applyBorder="1" applyAlignment="1" applyProtection="1">
      <alignment horizontal="center"/>
    </xf>
    <xf numFmtId="0" fontId="99" fillId="0" borderId="0" xfId="4" applyNumberFormat="1" applyFont="1" applyAlignment="1" applyProtection="1">
      <alignment horizontal="centerContinuous"/>
    </xf>
    <xf numFmtId="0" fontId="89" fillId="0" borderId="0" xfId="4" applyNumberFormat="1" applyFont="1" applyAlignment="1" applyProtection="1">
      <alignment horizontal="right" vertical="center" textRotation="180"/>
    </xf>
    <xf numFmtId="0" fontId="89" fillId="0" borderId="0" xfId="4" applyNumberFormat="1" applyFont="1" applyAlignment="1" applyProtection="1">
      <alignment vertical="center" textRotation="180"/>
    </xf>
    <xf numFmtId="0" fontId="90" fillId="0" borderId="0" xfId="4" applyNumberFormat="1" applyFont="1" applyProtection="1"/>
    <xf numFmtId="0" fontId="90" fillId="0" borderId="34" xfId="4" applyNumberFormat="1" applyFont="1" applyBorder="1" applyProtection="1"/>
    <xf numFmtId="0" fontId="90" fillId="0" borderId="34" xfId="4" applyNumberFormat="1" applyFont="1" applyBorder="1" applyAlignment="1" applyProtection="1">
      <alignment horizontal="center"/>
    </xf>
    <xf numFmtId="0" fontId="88" fillId="0" borderId="0" xfId="4" applyNumberFormat="1" applyFont="1" applyProtection="1"/>
    <xf numFmtId="0" fontId="84" fillId="0" borderId="53" xfId="4" quotePrefix="1" applyNumberFormat="1" applyFont="1" applyBorder="1" applyAlignment="1" applyProtection="1">
      <alignment horizontal="left"/>
    </xf>
    <xf numFmtId="0" fontId="88" fillId="0" borderId="16" xfId="4" applyNumberFormat="1" applyFont="1" applyBorder="1" applyAlignment="1" applyProtection="1">
      <alignment horizontal="center"/>
    </xf>
    <xf numFmtId="0" fontId="88" fillId="0" borderId="16" xfId="4" applyNumberFormat="1" applyFont="1" applyBorder="1" applyProtection="1"/>
    <xf numFmtId="0" fontId="84" fillId="0" borderId="53" xfId="4" applyNumberFormat="1" applyFont="1" applyBorder="1" applyAlignment="1" applyProtection="1"/>
    <xf numFmtId="0" fontId="88" fillId="0" borderId="54" xfId="4" applyNumberFormat="1" applyFont="1" applyBorder="1" applyAlignment="1" applyProtection="1">
      <alignment horizontal="centerContinuous"/>
    </xf>
    <xf numFmtId="0" fontId="84" fillId="0" borderId="53" xfId="4" applyNumberFormat="1" applyFont="1" applyBorder="1" applyAlignment="1" applyProtection="1">
      <alignment horizontal="left"/>
    </xf>
    <xf numFmtId="0" fontId="88" fillId="0" borderId="54" xfId="4" applyNumberFormat="1" applyFont="1" applyBorder="1" applyProtection="1"/>
    <xf numFmtId="0" fontId="88" fillId="0" borderId="16" xfId="4" quotePrefix="1" applyNumberFormat="1" applyFont="1" applyBorder="1" applyAlignment="1" applyProtection="1">
      <alignment horizontal="left"/>
    </xf>
    <xf numFmtId="0" fontId="84" fillId="0" borderId="46" xfId="4" quotePrefix="1" applyNumberFormat="1" applyFont="1" applyBorder="1" applyAlignment="1" applyProtection="1">
      <alignment horizontal="left"/>
    </xf>
    <xf numFmtId="0" fontId="88" fillId="0" borderId="0" xfId="4" applyNumberFormat="1" applyFont="1" applyBorder="1" applyProtection="1"/>
    <xf numFmtId="0" fontId="88" fillId="0" borderId="44" xfId="4" applyNumberFormat="1" applyFont="1" applyBorder="1" applyProtection="1"/>
    <xf numFmtId="0" fontId="84" fillId="0" borderId="46" xfId="4" applyNumberFormat="1" applyFont="1" applyBorder="1" applyProtection="1"/>
    <xf numFmtId="0" fontId="99" fillId="0" borderId="0" xfId="4" applyNumberFormat="1" applyFont="1" applyBorder="1" applyProtection="1"/>
    <xf numFmtId="0" fontId="84" fillId="0" borderId="53" xfId="4" applyNumberFormat="1" applyFont="1" applyBorder="1" applyProtection="1"/>
    <xf numFmtId="0" fontId="90" fillId="0" borderId="0" xfId="4" applyNumberFormat="1" applyFont="1" applyBorder="1" applyProtection="1"/>
    <xf numFmtId="0" fontId="83" fillId="0" borderId="0" xfId="4" applyNumberFormat="1" applyFont="1" applyAlignment="1" applyProtection="1">
      <alignment horizontal="left"/>
    </xf>
    <xf numFmtId="0" fontId="99" fillId="0" borderId="0" xfId="4" applyNumberFormat="1" applyFont="1" applyAlignment="1" applyProtection="1">
      <alignment horizontal="left"/>
    </xf>
    <xf numFmtId="0" fontId="90" fillId="0" borderId="1" xfId="4" applyNumberFormat="1" applyFont="1" applyBorder="1" applyAlignment="1" applyProtection="1">
      <alignment horizontal="center" vertical="center"/>
      <protection locked="0"/>
    </xf>
    <xf numFmtId="0" fontId="84" fillId="0" borderId="0" xfId="4" applyNumberFormat="1" applyFont="1" applyBorder="1" applyAlignment="1" applyProtection="1">
      <alignment vertical="center"/>
    </xf>
    <xf numFmtId="0" fontId="88" fillId="0" borderId="0" xfId="4" applyNumberFormat="1" applyFont="1" applyBorder="1" applyAlignment="1" applyProtection="1">
      <alignment horizontal="center"/>
    </xf>
    <xf numFmtId="0" fontId="95" fillId="0" borderId="0" xfId="4" applyNumberFormat="1" applyFont="1" applyAlignment="1" applyProtection="1">
      <alignment vertical="center"/>
    </xf>
    <xf numFmtId="0" fontId="89" fillId="0" borderId="0" xfId="4" applyNumberFormat="1" applyFont="1" applyBorder="1" applyProtection="1"/>
    <xf numFmtId="0" fontId="84" fillId="0" borderId="0" xfId="4" applyNumberFormat="1" applyFont="1" applyAlignment="1" applyProtection="1">
      <alignment vertical="center"/>
    </xf>
    <xf numFmtId="0" fontId="89" fillId="0" borderId="0" xfId="4" applyNumberFormat="1" applyFont="1" applyProtection="1"/>
    <xf numFmtId="0" fontId="99" fillId="0" borderId="0" xfId="4" applyNumberFormat="1" applyFont="1" applyProtection="1"/>
    <xf numFmtId="0" fontId="84" fillId="0" borderId="0" xfId="4" applyNumberFormat="1" applyFont="1" applyBorder="1" applyProtection="1"/>
    <xf numFmtId="0" fontId="84" fillId="0" borderId="0" xfId="4" applyNumberFormat="1" applyFont="1" applyProtection="1"/>
    <xf numFmtId="0" fontId="88" fillId="0" borderId="0" xfId="4" quotePrefix="1" applyNumberFormat="1" applyFont="1" applyAlignment="1" applyProtection="1">
      <alignment horizontal="left"/>
    </xf>
    <xf numFmtId="0" fontId="84" fillId="0" borderId="0" xfId="4" applyFont="1"/>
    <xf numFmtId="0" fontId="83" fillId="0" borderId="0" xfId="4" applyFont="1" applyAlignment="1">
      <alignment horizontal="center" vertical="center"/>
    </xf>
    <xf numFmtId="0" fontId="90" fillId="0" borderId="0" xfId="4" applyFont="1" applyAlignment="1">
      <alignment horizontal="center" vertical="center"/>
    </xf>
    <xf numFmtId="164" fontId="88" fillId="0" borderId="0" xfId="4" applyNumberFormat="1" applyFont="1"/>
    <xf numFmtId="0" fontId="89" fillId="0" borderId="0" xfId="4" applyFont="1"/>
    <xf numFmtId="164" fontId="89" fillId="0" borderId="0" xfId="4" applyNumberFormat="1" applyFont="1" applyAlignment="1">
      <alignment horizontal="right"/>
    </xf>
    <xf numFmtId="49" fontId="88" fillId="0" borderId="0" xfId="4" applyNumberFormat="1" applyFont="1"/>
    <xf numFmtId="0" fontId="88" fillId="0" borderId="0" xfId="4" applyFont="1"/>
    <xf numFmtId="0" fontId="119" fillId="0" borderId="0" xfId="4" applyFont="1"/>
    <xf numFmtId="164" fontId="119" fillId="0" borderId="0" xfId="4" applyNumberFormat="1" applyFont="1" applyAlignment="1">
      <alignment horizontal="right"/>
    </xf>
    <xf numFmtId="0" fontId="89" fillId="0" borderId="11" xfId="4" applyFont="1" applyBorder="1" applyAlignment="1" applyProtection="1">
      <alignment horizontal="center"/>
      <protection locked="0"/>
    </xf>
    <xf numFmtId="164" fontId="88" fillId="0" borderId="0" xfId="4" applyNumberFormat="1" applyFont="1" applyBorder="1" applyAlignment="1">
      <alignment horizontal="right"/>
    </xf>
    <xf numFmtId="49" fontId="119" fillId="0" borderId="0" xfId="4" applyNumberFormat="1" applyFont="1" applyAlignment="1"/>
    <xf numFmtId="0" fontId="88" fillId="0" borderId="0" xfId="4" applyFont="1" applyAlignment="1"/>
    <xf numFmtId="0" fontId="89" fillId="0" borderId="39" xfId="4" applyFont="1" applyBorder="1" applyAlignment="1" applyProtection="1">
      <alignment horizontal="center"/>
      <protection locked="0"/>
    </xf>
    <xf numFmtId="49" fontId="88" fillId="0" borderId="0" xfId="4" applyNumberFormat="1" applyFont="1" applyAlignment="1"/>
    <xf numFmtId="0" fontId="88" fillId="0" borderId="0" xfId="4" applyFont="1" applyAlignment="1">
      <alignment horizontal="center"/>
    </xf>
    <xf numFmtId="164" fontId="88" fillId="0" borderId="0" xfId="4" applyNumberFormat="1" applyFont="1" applyAlignment="1">
      <alignment horizontal="right"/>
    </xf>
    <xf numFmtId="49" fontId="89" fillId="0" borderId="0" xfId="4" applyNumberFormat="1" applyFont="1" applyAlignment="1"/>
    <xf numFmtId="49" fontId="88" fillId="0" borderId="0" xfId="4" applyNumberFormat="1" applyFont="1" applyFill="1" applyAlignment="1"/>
    <xf numFmtId="49" fontId="88" fillId="0" borderId="0" xfId="4" applyNumberFormat="1" applyFont="1" applyFill="1" applyBorder="1" applyAlignment="1"/>
    <xf numFmtId="49" fontId="126" fillId="0" borderId="0" xfId="3" applyNumberFormat="1" applyFont="1"/>
    <xf numFmtId="49" fontId="88" fillId="0" borderId="0" xfId="4" applyNumberFormat="1" applyFont="1" applyFill="1" applyBorder="1"/>
    <xf numFmtId="0" fontId="88" fillId="0" borderId="0" xfId="4" applyFont="1" applyBorder="1" applyAlignment="1">
      <alignment horizontal="center"/>
    </xf>
    <xf numFmtId="0" fontId="127" fillId="0" borderId="0" xfId="4" applyFont="1" applyAlignment="1">
      <alignment horizontal="center"/>
    </xf>
    <xf numFmtId="164" fontId="127" fillId="0" borderId="0" xfId="4" applyNumberFormat="1" applyFont="1" applyAlignment="1">
      <alignment horizontal="right"/>
    </xf>
    <xf numFmtId="0" fontId="119" fillId="0" borderId="11" xfId="4" applyFont="1" applyBorder="1" applyAlignment="1" applyProtection="1">
      <alignment horizontal="center"/>
      <protection locked="0"/>
    </xf>
    <xf numFmtId="0" fontId="127" fillId="0" borderId="0" xfId="4" applyFont="1" applyBorder="1" applyAlignment="1">
      <alignment horizontal="center"/>
    </xf>
    <xf numFmtId="0" fontId="88" fillId="0" borderId="0" xfId="13" applyFont="1" applyFill="1" applyBorder="1" applyAlignment="1">
      <alignment horizontal="left"/>
    </xf>
    <xf numFmtId="164" fontId="89" fillId="0" borderId="11" xfId="4" applyNumberFormat="1" applyFont="1" applyBorder="1" applyAlignment="1" applyProtection="1">
      <alignment horizontal="center" vertical="center"/>
      <protection locked="0"/>
    </xf>
    <xf numFmtId="49" fontId="85" fillId="0" borderId="0" xfId="2" applyNumberFormat="1" applyFont="1" applyAlignment="1" applyProtection="1">
      <alignment horizontal="left" indent="2"/>
    </xf>
    <xf numFmtId="49" fontId="88" fillId="0" borderId="0" xfId="4" applyNumberFormat="1" applyFont="1" applyFill="1"/>
    <xf numFmtId="49" fontId="89" fillId="0" borderId="0" xfId="4" applyNumberFormat="1" applyFont="1" applyFill="1" applyBorder="1"/>
    <xf numFmtId="49" fontId="89" fillId="0" borderId="0" xfId="4" applyNumberFormat="1" applyFont="1"/>
    <xf numFmtId="49" fontId="119" fillId="0" borderId="0" xfId="4" applyNumberFormat="1" applyFont="1"/>
    <xf numFmtId="0" fontId="88" fillId="0" borderId="0" xfId="4" applyFont="1" applyBorder="1" applyAlignment="1" applyProtection="1">
      <alignment horizontal="center"/>
    </xf>
    <xf numFmtId="49" fontId="119" fillId="0" borderId="0" xfId="4" applyNumberFormat="1" applyFont="1" applyFill="1" applyBorder="1"/>
    <xf numFmtId="49" fontId="128" fillId="0" borderId="0" xfId="4" applyNumberFormat="1" applyFont="1" applyFill="1" applyBorder="1"/>
    <xf numFmtId="49" fontId="119" fillId="0" borderId="0" xfId="4" applyNumberFormat="1" applyFont="1" applyAlignment="1">
      <alignment vertical="top"/>
    </xf>
    <xf numFmtId="0" fontId="88" fillId="0" borderId="16" xfId="4" applyFont="1" applyBorder="1" applyAlignment="1" applyProtection="1">
      <alignment horizontal="center"/>
    </xf>
    <xf numFmtId="49" fontId="88" fillId="0" borderId="0" xfId="4" applyNumberFormat="1" applyFont="1" applyAlignment="1">
      <alignment vertical="top"/>
    </xf>
    <xf numFmtId="0" fontId="89" fillId="0" borderId="34" xfId="4" applyFont="1" applyBorder="1" applyAlignment="1" applyProtection="1">
      <alignment horizontal="center"/>
      <protection locked="0"/>
    </xf>
    <xf numFmtId="0" fontId="88" fillId="0" borderId="0" xfId="4" applyFont="1" applyBorder="1" applyProtection="1"/>
    <xf numFmtId="0" fontId="90" fillId="0" borderId="0" xfId="4" applyFont="1" applyAlignment="1" applyProtection="1">
      <alignment horizontal="center"/>
    </xf>
    <xf numFmtId="42" fontId="90" fillId="0" borderId="0" xfId="4" applyNumberFormat="1" applyFont="1" applyProtection="1"/>
    <xf numFmtId="0" fontId="99" fillId="0" borderId="0" xfId="4" applyFont="1" applyProtection="1"/>
    <xf numFmtId="0" fontId="90" fillId="0" borderId="0" xfId="25" applyFont="1" applyBorder="1" applyProtection="1"/>
    <xf numFmtId="0" fontId="90" fillId="0" borderId="0" xfId="25" applyFont="1" applyBorder="1" applyAlignment="1" applyProtection="1">
      <alignment horizontal="center"/>
    </xf>
    <xf numFmtId="42" fontId="90" fillId="6" borderId="34" xfId="4" applyNumberFormat="1" applyFont="1" applyFill="1" applyBorder="1" applyProtection="1"/>
    <xf numFmtId="41" fontId="90" fillId="6" borderId="34" xfId="4" applyNumberFormat="1" applyFont="1" applyFill="1" applyBorder="1" applyProtection="1"/>
    <xf numFmtId="0" fontId="99" fillId="0" borderId="0" xfId="4" applyFont="1" applyAlignment="1" applyProtection="1">
      <alignment horizontal="left" indent="2"/>
    </xf>
    <xf numFmtId="42" fontId="90" fillId="6" borderId="12" xfId="4" applyNumberFormat="1" applyFont="1" applyFill="1" applyBorder="1" applyProtection="1"/>
    <xf numFmtId="0" fontId="100" fillId="0" borderId="0" xfId="4" applyFont="1" applyProtection="1"/>
    <xf numFmtId="42" fontId="90" fillId="0" borderId="55" xfId="4" applyNumberFormat="1" applyFont="1" applyBorder="1" applyProtection="1">
      <protection locked="0"/>
    </xf>
    <xf numFmtId="42" fontId="90" fillId="0" borderId="0" xfId="4" applyNumberFormat="1" applyFont="1" applyFill="1" applyProtection="1"/>
    <xf numFmtId="42" fontId="90" fillId="0" borderId="34" xfId="4" applyNumberFormat="1" applyFont="1" applyBorder="1" applyProtection="1">
      <protection locked="0"/>
    </xf>
    <xf numFmtId="42" fontId="90" fillId="0" borderId="56" xfId="4" applyNumberFormat="1" applyFont="1" applyBorder="1" applyProtection="1">
      <protection locked="0"/>
    </xf>
    <xf numFmtId="0" fontId="90" fillId="0" borderId="0" xfId="4" applyFont="1" applyAlignment="1" applyProtection="1">
      <alignment horizontal="right"/>
    </xf>
    <xf numFmtId="42" fontId="90" fillId="6" borderId="8" xfId="4" applyNumberFormat="1" applyFont="1" applyFill="1" applyBorder="1" applyProtection="1"/>
    <xf numFmtId="0" fontId="99" fillId="0" borderId="0" xfId="4" applyFont="1" applyAlignment="1" applyProtection="1">
      <alignment horizontal="center" vertical="center"/>
    </xf>
    <xf numFmtId="165" fontId="99" fillId="0" borderId="0" xfId="4" applyNumberFormat="1" applyFont="1" applyAlignment="1" applyProtection="1">
      <alignment vertical="center"/>
    </xf>
    <xf numFmtId="0" fontId="83" fillId="0" borderId="0" xfId="4" applyFont="1" applyProtection="1"/>
    <xf numFmtId="0" fontId="83" fillId="0" borderId="0" xfId="4" applyFont="1" applyFill="1" applyProtection="1"/>
    <xf numFmtId="0" fontId="90" fillId="0" borderId="0" xfId="4" applyFont="1" applyFill="1" applyProtection="1"/>
    <xf numFmtId="169" fontId="84" fillId="0" borderId="0" xfId="4" applyNumberFormat="1" applyFont="1" applyFill="1" applyProtection="1"/>
    <xf numFmtId="0" fontId="84" fillId="0" borderId="0" xfId="4" applyFont="1" applyFill="1" applyProtection="1"/>
    <xf numFmtId="0" fontId="90" fillId="0" borderId="34" xfId="4" applyFont="1" applyFill="1" applyBorder="1" applyAlignment="1" applyProtection="1">
      <alignment horizontal="center" vertical="center"/>
      <protection locked="0"/>
    </xf>
    <xf numFmtId="0" fontId="84" fillId="0" borderId="0" xfId="4" applyFont="1" applyProtection="1"/>
    <xf numFmtId="0" fontId="84" fillId="0" borderId="38" xfId="4" applyFont="1" applyBorder="1" applyProtection="1"/>
    <xf numFmtId="0" fontId="84" fillId="0" borderId="39" xfId="4" applyFont="1" applyBorder="1" applyProtection="1">
      <protection locked="0"/>
    </xf>
    <xf numFmtId="0" fontId="84" fillId="0" borderId="38" xfId="4" applyFont="1" applyBorder="1" applyAlignment="1" applyProtection="1">
      <alignment horizontal="center"/>
      <protection locked="0"/>
    </xf>
    <xf numFmtId="0" fontId="99" fillId="0" borderId="0" xfId="4" applyFont="1" applyAlignment="1" applyProtection="1">
      <alignment horizontal="center"/>
    </xf>
    <xf numFmtId="0" fontId="83" fillId="0" borderId="0" xfId="4" applyFont="1" applyBorder="1" applyProtection="1"/>
    <xf numFmtId="5" fontId="84" fillId="0" borderId="15" xfId="4" applyNumberFormat="1" applyFont="1" applyBorder="1" applyAlignment="1" applyProtection="1">
      <protection locked="0"/>
    </xf>
    <xf numFmtId="5" fontId="84" fillId="0" borderId="57" xfId="4" applyNumberFormat="1" applyFont="1" applyBorder="1" applyAlignment="1" applyProtection="1">
      <protection locked="0"/>
    </xf>
    <xf numFmtId="5" fontId="99" fillId="0" borderId="0" xfId="4" applyNumberFormat="1" applyFont="1" applyAlignment="1" applyProtection="1"/>
    <xf numFmtId="0" fontId="99" fillId="0" borderId="0" xfId="4" applyFont="1" applyAlignment="1" applyProtection="1"/>
    <xf numFmtId="5" fontId="84" fillId="0" borderId="15" xfId="4" applyNumberFormat="1" applyFont="1" applyBorder="1" applyAlignment="1" applyProtection="1">
      <alignment horizontal="center"/>
      <protection locked="0"/>
    </xf>
    <xf numFmtId="5" fontId="84" fillId="0" borderId="57" xfId="4" applyNumberFormat="1" applyFont="1" applyBorder="1" applyAlignment="1" applyProtection="1">
      <alignment horizontal="center"/>
      <protection locked="0"/>
    </xf>
    <xf numFmtId="0" fontId="99" fillId="0" borderId="0" xfId="4" applyFont="1" applyBorder="1" applyProtection="1"/>
    <xf numFmtId="0" fontId="88" fillId="0" borderId="0" xfId="4" applyFont="1" applyAlignment="1" applyProtection="1">
      <alignment vertical="top"/>
    </xf>
    <xf numFmtId="0" fontId="88" fillId="0" borderId="15" xfId="4" applyFont="1" applyBorder="1" applyAlignment="1" applyProtection="1">
      <alignment vertical="top"/>
    </xf>
    <xf numFmtId="0" fontId="90" fillId="0" borderId="15" xfId="4" applyFont="1" applyBorder="1" applyProtection="1"/>
    <xf numFmtId="0" fontId="88" fillId="0" borderId="0" xfId="4" applyFont="1" applyBorder="1" applyAlignment="1" applyProtection="1">
      <alignment vertical="top"/>
    </xf>
    <xf numFmtId="0" fontId="129" fillId="0" borderId="0" xfId="4" applyFont="1" applyAlignment="1" applyProtection="1">
      <alignment vertical="top"/>
    </xf>
    <xf numFmtId="0" fontId="88" fillId="0" borderId="0" xfId="4" applyFont="1" applyProtection="1"/>
    <xf numFmtId="0" fontId="129" fillId="0" borderId="0" xfId="4" applyFont="1" applyAlignment="1" applyProtection="1">
      <alignment horizontal="right" vertical="top"/>
    </xf>
    <xf numFmtId="0" fontId="97" fillId="0" borderId="0" xfId="4" applyFont="1" applyAlignment="1" applyProtection="1">
      <alignment horizontal="center" vertical="center"/>
    </xf>
    <xf numFmtId="0" fontId="90" fillId="0" borderId="36" xfId="4" applyFont="1" applyBorder="1" applyProtection="1"/>
    <xf numFmtId="169" fontId="89" fillId="0" borderId="36" xfId="4" applyNumberFormat="1" applyFont="1" applyBorder="1" applyAlignment="1" applyProtection="1">
      <alignment horizontal="center"/>
    </xf>
    <xf numFmtId="1" fontId="89" fillId="0" borderId="54" xfId="4" applyNumberFormat="1" applyFont="1" applyBorder="1" applyAlignment="1" applyProtection="1">
      <alignment horizontal="center"/>
    </xf>
    <xf numFmtId="0" fontId="89" fillId="0" borderId="16" xfId="4" applyFont="1" applyBorder="1" applyAlignment="1" applyProtection="1">
      <alignment horizontal="centerContinuous"/>
    </xf>
    <xf numFmtId="0" fontId="89" fillId="0" borderId="54" xfId="4" applyFont="1" applyBorder="1" applyAlignment="1" applyProtection="1">
      <alignment horizontal="centerContinuous"/>
    </xf>
    <xf numFmtId="0" fontId="89" fillId="0" borderId="58" xfId="4" applyFont="1" applyBorder="1" applyAlignment="1" applyProtection="1">
      <alignment horizontal="centerContinuous"/>
    </xf>
    <xf numFmtId="0" fontId="89" fillId="0" borderId="36" xfId="4" applyFont="1" applyBorder="1" applyAlignment="1" applyProtection="1">
      <alignment horizontal="center"/>
    </xf>
    <xf numFmtId="0" fontId="89" fillId="7" borderId="36" xfId="4" applyFont="1" applyFill="1" applyBorder="1" applyAlignment="1" applyProtection="1">
      <alignment horizontal="center"/>
    </xf>
    <xf numFmtId="0" fontId="89" fillId="7" borderId="54" xfId="4" applyFont="1" applyFill="1" applyBorder="1" applyAlignment="1" applyProtection="1">
      <alignment horizontal="center"/>
    </xf>
    <xf numFmtId="0" fontId="89" fillId="0" borderId="46" xfId="4" applyFont="1" applyBorder="1" applyAlignment="1" applyProtection="1">
      <alignment horizontal="left"/>
    </xf>
    <xf numFmtId="169" fontId="89" fillId="0" borderId="40" xfId="4" applyNumberFormat="1" applyFont="1" applyBorder="1" applyAlignment="1" applyProtection="1">
      <alignment horizontal="center"/>
    </xf>
    <xf numFmtId="1" fontId="89" fillId="0" borderId="44" xfId="4" applyNumberFormat="1" applyFont="1" applyBorder="1" applyAlignment="1" applyProtection="1">
      <alignment horizontal="center"/>
    </xf>
    <xf numFmtId="0" fontId="89" fillId="0" borderId="0" xfId="4" applyFont="1" applyBorder="1" applyAlignment="1" applyProtection="1">
      <alignment horizontal="centerContinuous"/>
    </xf>
    <xf numFmtId="0" fontId="89" fillId="0" borderId="44" xfId="4" applyFont="1" applyBorder="1" applyAlignment="1" applyProtection="1">
      <alignment horizontal="centerContinuous"/>
    </xf>
    <xf numFmtId="0" fontId="89" fillId="16" borderId="59" xfId="4" applyFont="1" applyFill="1" applyBorder="1" applyAlignment="1" applyProtection="1">
      <alignment horizontal="center"/>
    </xf>
    <xf numFmtId="0" fontId="89" fillId="17" borderId="59" xfId="4" applyFont="1" applyFill="1" applyBorder="1" applyAlignment="1" applyProtection="1">
      <alignment horizontal="center"/>
    </xf>
    <xf numFmtId="0" fontId="89" fillId="0" borderId="59" xfId="4" applyFont="1" applyBorder="1" applyAlignment="1" applyProtection="1">
      <alignment horizontal="center"/>
    </xf>
    <xf numFmtId="0" fontId="89" fillId="7" borderId="59" xfId="4" applyFont="1" applyFill="1" applyBorder="1" applyAlignment="1" applyProtection="1">
      <alignment horizontal="center"/>
    </xf>
    <xf numFmtId="0" fontId="89" fillId="7" borderId="44" xfId="4" applyFont="1" applyFill="1" applyBorder="1" applyAlignment="1" applyProtection="1">
      <alignment horizontal="center"/>
    </xf>
    <xf numFmtId="0" fontId="89" fillId="0" borderId="40" xfId="4" applyFont="1" applyBorder="1" applyAlignment="1" applyProtection="1">
      <alignment horizontal="center"/>
    </xf>
    <xf numFmtId="0" fontId="89" fillId="0" borderId="44" xfId="4" applyFont="1" applyBorder="1" applyAlignment="1" applyProtection="1">
      <alignment horizontal="center"/>
    </xf>
    <xf numFmtId="0" fontId="89" fillId="0" borderId="46" xfId="4" applyFont="1" applyBorder="1" applyAlignment="1" applyProtection="1">
      <alignment horizontal="center"/>
    </xf>
    <xf numFmtId="0" fontId="89" fillId="0" borderId="60" xfId="4" applyFont="1" applyBorder="1" applyAlignment="1" applyProtection="1"/>
    <xf numFmtId="0" fontId="89" fillId="7" borderId="59" xfId="4" quotePrefix="1" applyFont="1" applyFill="1" applyBorder="1" applyAlignment="1" applyProtection="1">
      <alignment horizontal="center"/>
    </xf>
    <xf numFmtId="169" fontId="89" fillId="0" borderId="37" xfId="4" applyNumberFormat="1" applyFont="1" applyBorder="1" applyAlignment="1" applyProtection="1">
      <alignment horizontal="center"/>
    </xf>
    <xf numFmtId="1" fontId="89" fillId="0" borderId="41" xfId="4" applyNumberFormat="1" applyFont="1" applyBorder="1" applyAlignment="1" applyProtection="1">
      <alignment horizontal="center"/>
    </xf>
    <xf numFmtId="0" fontId="89" fillId="0" borderId="37" xfId="4" applyFont="1" applyBorder="1" applyAlignment="1" applyProtection="1">
      <alignment horizontal="center"/>
    </xf>
    <xf numFmtId="0" fontId="89" fillId="0" borderId="41" xfId="4" applyFont="1" applyBorder="1" applyAlignment="1" applyProtection="1">
      <alignment horizontal="center"/>
    </xf>
    <xf numFmtId="0" fontId="89" fillId="0" borderId="45" xfId="4" applyFont="1" applyBorder="1" applyAlignment="1" applyProtection="1">
      <alignment horizontal="center"/>
    </xf>
    <xf numFmtId="0" fontId="89" fillId="16" borderId="61" xfId="4" applyFont="1" applyFill="1" applyBorder="1" applyAlignment="1" applyProtection="1">
      <alignment horizontal="center"/>
    </xf>
    <xf numFmtId="0" fontId="89" fillId="7" borderId="61" xfId="4" applyFont="1" applyFill="1" applyBorder="1" applyAlignment="1" applyProtection="1">
      <alignment horizontal="center"/>
    </xf>
    <xf numFmtId="0" fontId="89" fillId="17" borderId="61" xfId="4" applyFont="1" applyFill="1" applyBorder="1" applyAlignment="1" applyProtection="1">
      <alignment horizontal="center"/>
    </xf>
    <xf numFmtId="0" fontId="89" fillId="0" borderId="61" xfId="4" applyFont="1" applyBorder="1" applyAlignment="1" applyProtection="1">
      <alignment horizontal="center"/>
    </xf>
    <xf numFmtId="0" fontId="89" fillId="7" borderId="41" xfId="4" applyFont="1" applyFill="1" applyBorder="1" applyAlignment="1" applyProtection="1">
      <alignment horizontal="center"/>
    </xf>
    <xf numFmtId="3" fontId="88" fillId="0" borderId="11" xfId="4" applyNumberFormat="1" applyFont="1" applyBorder="1" applyAlignment="1" applyProtection="1">
      <alignment horizontal="left" vertical="center" wrapText="1"/>
      <protection locked="0"/>
    </xf>
    <xf numFmtId="169" fontId="88" fillId="0" borderId="37" xfId="4" applyNumberFormat="1" applyFont="1" applyBorder="1" applyAlignment="1" applyProtection="1">
      <alignment horizontal="center"/>
      <protection locked="0"/>
    </xf>
    <xf numFmtId="1" fontId="88" fillId="0" borderId="37" xfId="4" applyNumberFormat="1" applyFont="1" applyBorder="1" applyAlignment="1" applyProtection="1">
      <alignment horizontal="center"/>
      <protection locked="0"/>
    </xf>
    <xf numFmtId="3" fontId="88" fillId="0" borderId="37" xfId="4" applyNumberFormat="1" applyFont="1" applyBorder="1" applyAlignment="1" applyProtection="1">
      <alignment horizontal="center"/>
      <protection locked="0"/>
    </xf>
    <xf numFmtId="169" fontId="88" fillId="0" borderId="11" xfId="4" applyNumberFormat="1" applyFont="1" applyBorder="1" applyAlignment="1" applyProtection="1">
      <alignment horizontal="center"/>
      <protection locked="0"/>
    </xf>
    <xf numFmtId="1" fontId="88" fillId="0" borderId="11" xfId="4" applyNumberFormat="1" applyFont="1" applyBorder="1" applyAlignment="1" applyProtection="1">
      <alignment horizontal="center"/>
      <protection locked="0"/>
    </xf>
    <xf numFmtId="3" fontId="88" fillId="0" borderId="11" xfId="4" applyNumberFormat="1" applyFont="1" applyBorder="1" applyAlignment="1" applyProtection="1">
      <alignment horizontal="center"/>
      <protection locked="0"/>
    </xf>
    <xf numFmtId="0" fontId="90" fillId="0" borderId="0" xfId="4" applyFont="1" applyAlignment="1" applyProtection="1">
      <alignment textRotation="180" wrapText="1"/>
    </xf>
    <xf numFmtId="3" fontId="88" fillId="0" borderId="0" xfId="4" applyNumberFormat="1" applyFont="1" applyBorder="1" applyAlignment="1" applyProtection="1">
      <alignment horizontal="left" vertical="center" wrapText="1"/>
      <protection locked="0"/>
    </xf>
    <xf numFmtId="169" fontId="88" fillId="0" borderId="0" xfId="4" applyNumberFormat="1" applyFont="1" applyBorder="1" applyAlignment="1" applyProtection="1">
      <alignment horizontal="center"/>
      <protection locked="0"/>
    </xf>
    <xf numFmtId="1" fontId="88" fillId="0" borderId="0" xfId="4" applyNumberFormat="1" applyFont="1" applyBorder="1" applyAlignment="1" applyProtection="1">
      <alignment horizontal="center"/>
      <protection locked="0"/>
    </xf>
    <xf numFmtId="3" fontId="88" fillId="0" borderId="0" xfId="4" applyNumberFormat="1" applyFont="1" applyBorder="1" applyAlignment="1" applyProtection="1">
      <alignment horizontal="center"/>
      <protection locked="0"/>
    </xf>
    <xf numFmtId="169" fontId="88" fillId="0" borderId="0" xfId="4" applyNumberFormat="1" applyFont="1" applyBorder="1" applyProtection="1"/>
    <xf numFmtId="1" fontId="88" fillId="0" borderId="0" xfId="4" applyNumberFormat="1" applyFont="1" applyBorder="1" applyProtection="1"/>
    <xf numFmtId="0" fontId="83" fillId="16" borderId="0" xfId="4" applyFont="1" applyFill="1" applyProtection="1"/>
    <xf numFmtId="169" fontId="90" fillId="16" borderId="0" xfId="4" applyNumberFormat="1" applyFont="1" applyFill="1" applyProtection="1"/>
    <xf numFmtId="1" fontId="90" fillId="16" borderId="0" xfId="4" applyNumberFormat="1" applyFont="1" applyFill="1" applyProtection="1"/>
    <xf numFmtId="0" fontId="90" fillId="16" borderId="0" xfId="4" applyFont="1" applyFill="1" applyProtection="1"/>
    <xf numFmtId="169" fontId="90" fillId="0" borderId="0" xfId="4" applyNumberFormat="1" applyFont="1" applyFill="1" applyProtection="1"/>
    <xf numFmtId="1" fontId="90" fillId="0" borderId="0" xfId="4" applyNumberFormat="1" applyFont="1" applyFill="1" applyProtection="1"/>
    <xf numFmtId="169" fontId="90" fillId="0" borderId="0" xfId="4" applyNumberFormat="1" applyFont="1" applyProtection="1"/>
    <xf numFmtId="1" fontId="90" fillId="0" borderId="0" xfId="4" applyNumberFormat="1" applyFont="1" applyProtection="1"/>
    <xf numFmtId="0" fontId="83" fillId="0" borderId="15" xfId="4" applyFont="1" applyBorder="1" applyProtection="1"/>
    <xf numFmtId="169" fontId="90" fillId="0" borderId="15" xfId="4" applyNumberFormat="1" applyFont="1" applyBorder="1" applyProtection="1"/>
    <xf numFmtId="1" fontId="90" fillId="0" borderId="15" xfId="4" applyNumberFormat="1" applyFont="1" applyBorder="1" applyProtection="1"/>
    <xf numFmtId="0" fontId="90" fillId="0" borderId="15" xfId="4" applyFont="1" applyBorder="1" applyAlignment="1" applyProtection="1">
      <alignment horizontal="center"/>
    </xf>
    <xf numFmtId="0" fontId="129" fillId="0" borderId="0" xfId="4" applyFont="1" applyAlignment="1" applyProtection="1">
      <alignment horizontal="left" wrapText="1"/>
    </xf>
    <xf numFmtId="0" fontId="129" fillId="0" borderId="0" xfId="4" applyFont="1" applyAlignment="1" applyProtection="1"/>
    <xf numFmtId="0" fontId="129" fillId="0" borderId="0" xfId="4" applyFont="1" applyAlignment="1" applyProtection="1">
      <alignment wrapText="1"/>
    </xf>
    <xf numFmtId="0" fontId="88" fillId="0" borderId="0" xfId="4" applyFont="1" applyAlignment="1" applyProtection="1">
      <alignment horizontal="left" wrapText="1"/>
    </xf>
    <xf numFmtId="0" fontId="88" fillId="0" borderId="0" xfId="4" applyFont="1" applyAlignment="1" applyProtection="1">
      <alignment horizontal="left"/>
    </xf>
    <xf numFmtId="169" fontId="88" fillId="0" borderId="0" xfId="4" applyNumberFormat="1" applyFont="1" applyProtection="1"/>
    <xf numFmtId="1" fontId="88" fillId="0" borderId="0" xfId="4" applyNumberFormat="1" applyFont="1" applyProtection="1"/>
    <xf numFmtId="0" fontId="88" fillId="0" borderId="0" xfId="4" applyFont="1" applyAlignment="1" applyProtection="1">
      <alignment horizontal="center"/>
    </xf>
    <xf numFmtId="0" fontId="129" fillId="0" borderId="0" xfId="4" applyFont="1" applyAlignment="1" applyProtection="1">
      <alignment vertical="center"/>
    </xf>
    <xf numFmtId="0" fontId="130" fillId="0" borderId="0" xfId="4" applyFont="1" applyFill="1" applyProtection="1"/>
    <xf numFmtId="0" fontId="99" fillId="0" borderId="0" xfId="4" applyFont="1" applyAlignment="1" applyProtection="1">
      <alignment vertical="center"/>
    </xf>
    <xf numFmtId="49" fontId="99" fillId="0" borderId="0" xfId="4" applyNumberFormat="1" applyFont="1" applyBorder="1" applyAlignment="1" applyProtection="1">
      <alignment horizontal="center" vertical="top"/>
    </xf>
    <xf numFmtId="165" fontId="83" fillId="0" borderId="0" xfId="4" applyNumberFormat="1" applyFont="1" applyBorder="1" applyAlignment="1" applyProtection="1">
      <alignment horizontal="center" vertical="center"/>
    </xf>
    <xf numFmtId="166" fontId="99" fillId="0" borderId="0" xfId="4" applyNumberFormat="1" applyFont="1" applyBorder="1" applyAlignment="1" applyProtection="1">
      <alignment horizontal="center" vertical="top"/>
    </xf>
    <xf numFmtId="0" fontId="83" fillId="0" borderId="0" xfId="4" applyFont="1" applyAlignment="1" applyProtection="1">
      <alignment horizontal="center" vertical="center"/>
    </xf>
    <xf numFmtId="0" fontId="99" fillId="0" borderId="16" xfId="4" applyFont="1" applyBorder="1" applyProtection="1"/>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9" fillId="0" borderId="0" xfId="4" applyFont="1" applyFill="1" applyBorder="1" applyAlignment="1" applyProtection="1">
      <alignment horizontal="centerContinuous"/>
    </xf>
    <xf numFmtId="0" fontId="90" fillId="0" borderId="0" xfId="4" applyFont="1" applyBorder="1" applyAlignment="1" applyProtection="1">
      <alignment horizontal="center"/>
    </xf>
    <xf numFmtId="0" fontId="89" fillId="0" borderId="0" xfId="4" applyFont="1" applyBorder="1" applyProtection="1"/>
    <xf numFmtId="0" fontId="99" fillId="0" borderId="0" xfId="4" applyFont="1" applyBorder="1" applyAlignment="1" applyProtection="1">
      <alignment horizontal="right"/>
    </xf>
    <xf numFmtId="178" fontId="99" fillId="0" borderId="34" xfId="4" applyNumberFormat="1" applyFont="1" applyBorder="1" applyAlignment="1" applyProtection="1">
      <alignment horizontal="left"/>
      <protection locked="0"/>
    </xf>
    <xf numFmtId="0" fontId="89" fillId="0" borderId="0" xfId="4" applyFont="1" applyProtection="1"/>
    <xf numFmtId="0" fontId="90" fillId="0" borderId="11" xfId="4" applyFont="1" applyBorder="1" applyAlignment="1" applyProtection="1">
      <alignment horizontal="center" vertical="center"/>
      <protection locked="0"/>
    </xf>
    <xf numFmtId="0" fontId="90" fillId="0" borderId="0" xfId="4" applyFont="1" applyBorder="1" applyAlignment="1" applyProtection="1">
      <alignment horizontal="left" indent="1"/>
    </xf>
    <xf numFmtId="0" fontId="89" fillId="0" borderId="0" xfId="4" applyFont="1" applyBorder="1" applyAlignment="1" applyProtection="1">
      <alignment horizontal="left" indent="1"/>
    </xf>
    <xf numFmtId="0" fontId="89" fillId="0" borderId="0" xfId="4" applyFont="1" applyBorder="1" applyAlignment="1" applyProtection="1">
      <alignment horizontal="left"/>
    </xf>
    <xf numFmtId="0" fontId="90" fillId="0" borderId="34" xfId="4" applyFont="1" applyBorder="1" applyProtection="1">
      <protection locked="0"/>
    </xf>
    <xf numFmtId="0" fontId="89" fillId="0" borderId="16" xfId="4" quotePrefix="1" applyFont="1" applyBorder="1" applyAlignment="1" applyProtection="1">
      <alignment horizontal="left"/>
    </xf>
    <xf numFmtId="0" fontId="84" fillId="0" borderId="16" xfId="4" applyFont="1" applyBorder="1" applyProtection="1"/>
    <xf numFmtId="0" fontId="84" fillId="0" borderId="16" xfId="4" applyFont="1" applyBorder="1" applyAlignment="1" applyProtection="1">
      <alignment horizontal="center"/>
    </xf>
    <xf numFmtId="0" fontId="84" fillId="0" borderId="0" xfId="4" applyFont="1" applyFill="1" applyBorder="1" applyProtection="1"/>
    <xf numFmtId="0" fontId="90" fillId="0" borderId="0" xfId="4" applyFont="1" applyFill="1" applyBorder="1" applyAlignment="1" applyProtection="1"/>
    <xf numFmtId="0" fontId="90" fillId="0" borderId="0" xfId="4" applyFont="1" applyAlignment="1" applyProtection="1">
      <alignment horizontal="left"/>
    </xf>
    <xf numFmtId="0" fontId="90" fillId="0" borderId="0" xfId="4" applyFont="1" applyAlignment="1" applyProtection="1"/>
    <xf numFmtId="8" fontId="90" fillId="0" borderId="0" xfId="4" applyNumberFormat="1" applyFont="1" applyAlignment="1" applyProtection="1">
      <alignment horizontal="left"/>
    </xf>
    <xf numFmtId="0" fontId="89" fillId="0" borderId="16" xfId="4" applyFont="1" applyBorder="1" applyProtection="1"/>
    <xf numFmtId="0" fontId="90" fillId="0" borderId="0" xfId="4" applyFont="1" applyBorder="1" applyAlignment="1" applyProtection="1">
      <alignment horizontal="left"/>
    </xf>
    <xf numFmtId="0" fontId="89" fillId="0" borderId="16" xfId="4" applyFont="1" applyBorder="1" applyAlignment="1" applyProtection="1">
      <alignment horizontal="left"/>
    </xf>
    <xf numFmtId="0" fontId="90" fillId="0" borderId="15" xfId="4" applyFont="1" applyFill="1" applyBorder="1" applyProtection="1"/>
    <xf numFmtId="0" fontId="90" fillId="0" borderId="15" xfId="4" applyFont="1" applyFill="1" applyBorder="1" applyAlignment="1" applyProtection="1">
      <alignment horizontal="center"/>
    </xf>
    <xf numFmtId="0" fontId="129" fillId="0" borderId="0" xfId="4" applyFont="1" applyBorder="1" applyProtection="1"/>
    <xf numFmtId="0" fontId="129" fillId="0" borderId="0" xfId="4" applyFont="1" applyProtection="1"/>
    <xf numFmtId="0" fontId="89" fillId="0" borderId="0" xfId="4" applyFont="1" applyAlignment="1" applyProtection="1">
      <alignment horizontal="center" vertical="top" textRotation="180"/>
    </xf>
    <xf numFmtId="0" fontId="89" fillId="0" borderId="0" xfId="4" applyFont="1" applyAlignment="1" applyProtection="1">
      <alignment horizontal="right" vertical="center" textRotation="180"/>
    </xf>
    <xf numFmtId="0" fontId="99" fillId="0" borderId="0" xfId="4" applyFont="1" applyAlignment="1" applyProtection="1">
      <alignment vertical="center" textRotation="180"/>
    </xf>
    <xf numFmtId="169" fontId="99" fillId="0" borderId="0" xfId="4" applyNumberFormat="1" applyFont="1" applyBorder="1" applyProtection="1"/>
    <xf numFmtId="169" fontId="90" fillId="0" borderId="16" xfId="4" applyNumberFormat="1" applyFont="1" applyBorder="1" applyProtection="1"/>
    <xf numFmtId="169" fontId="90" fillId="0" borderId="34" xfId="4" applyNumberFormat="1" applyFont="1" applyBorder="1" applyProtection="1"/>
    <xf numFmtId="0" fontId="90" fillId="0" borderId="34" xfId="4" applyFont="1" applyBorder="1" applyProtection="1"/>
    <xf numFmtId="0" fontId="90" fillId="0" borderId="34" xfId="4" applyFont="1" applyBorder="1" applyAlignment="1" applyProtection="1">
      <alignment horizontal="center"/>
    </xf>
    <xf numFmtId="169" fontId="90" fillId="0" borderId="0" xfId="4" applyNumberFormat="1" applyFont="1" applyBorder="1" applyProtection="1"/>
    <xf numFmtId="169" fontId="112" fillId="0" borderId="0" xfId="4" applyNumberFormat="1" applyFont="1" applyBorder="1" applyAlignment="1" applyProtection="1">
      <alignment horizontal="left"/>
    </xf>
    <xf numFmtId="0" fontId="105" fillId="0" borderId="0" xfId="4" applyFont="1" applyBorder="1" applyAlignment="1" applyProtection="1">
      <alignment horizontal="left"/>
    </xf>
    <xf numFmtId="0" fontId="90" fillId="0" borderId="0" xfId="4" applyFont="1" applyBorder="1" applyAlignment="1" applyProtection="1"/>
    <xf numFmtId="0" fontId="88" fillId="0" borderId="0" xfId="4" applyFont="1" applyBorder="1" applyAlignment="1" applyProtection="1">
      <alignment horizontal="centerContinuous"/>
    </xf>
    <xf numFmtId="0" fontId="90" fillId="0" borderId="0" xfId="4" applyFont="1" applyBorder="1" applyAlignment="1" applyProtection="1">
      <alignment horizontal="centerContinuous"/>
    </xf>
    <xf numFmtId="169" fontId="89" fillId="0" borderId="0" xfId="4" applyNumberFormat="1" applyFont="1" applyProtection="1"/>
    <xf numFmtId="169" fontId="88" fillId="0" borderId="0" xfId="4" applyNumberFormat="1" applyFont="1" applyAlignment="1" applyProtection="1">
      <alignment horizontal="left"/>
    </xf>
    <xf numFmtId="0" fontId="84" fillId="0" borderId="0" xfId="4" applyFont="1" applyAlignment="1" applyProtection="1">
      <alignment horizontal="left"/>
    </xf>
    <xf numFmtId="0" fontId="90" fillId="0" borderId="34" xfId="4" applyFont="1" applyBorder="1" applyAlignment="1" applyProtection="1">
      <alignment horizontal="center" vertical="center"/>
      <protection locked="0"/>
    </xf>
    <xf numFmtId="0" fontId="90" fillId="0" borderId="0" xfId="4" applyFont="1" applyBorder="1" applyAlignment="1" applyProtection="1">
      <alignment horizontal="center" vertical="center"/>
      <protection locked="0"/>
    </xf>
    <xf numFmtId="0" fontId="131" fillId="0" borderId="0" xfId="4" applyFont="1" applyBorder="1" applyAlignment="1" applyProtection="1">
      <alignment horizontal="left"/>
    </xf>
    <xf numFmtId="169" fontId="119" fillId="0" borderId="0" xfId="4" applyNumberFormat="1" applyFont="1" applyProtection="1"/>
    <xf numFmtId="0" fontId="87" fillId="0" borderId="0" xfId="4" applyFont="1" applyProtection="1"/>
    <xf numFmtId="169" fontId="88" fillId="0" borderId="62" xfId="4" applyNumberFormat="1" applyFont="1" applyBorder="1" applyAlignment="1" applyProtection="1">
      <alignment horizontal="center"/>
    </xf>
    <xf numFmtId="169" fontId="88" fillId="0" borderId="63" xfId="4" applyNumberFormat="1" applyFont="1" applyBorder="1" applyAlignment="1" applyProtection="1">
      <alignment horizontal="center"/>
      <protection locked="0"/>
    </xf>
    <xf numFmtId="169" fontId="132" fillId="0" borderId="0" xfId="4" applyNumberFormat="1" applyFont="1" applyProtection="1"/>
    <xf numFmtId="6" fontId="128" fillId="0" borderId="57" xfId="4" applyNumberFormat="1" applyFont="1" applyBorder="1" applyProtection="1"/>
    <xf numFmtId="6" fontId="128" fillId="0" borderId="0" xfId="4" applyNumberFormat="1" applyFont="1" applyBorder="1" applyProtection="1"/>
    <xf numFmtId="10" fontId="89" fillId="0" borderId="63" xfId="4" applyNumberFormat="1" applyFont="1" applyBorder="1" applyProtection="1"/>
    <xf numFmtId="6" fontId="88" fillId="0" borderId="0" xfId="4" applyNumberFormat="1" applyFont="1" applyProtection="1"/>
    <xf numFmtId="0" fontId="128" fillId="0" borderId="0" xfId="4" applyFont="1" applyProtection="1"/>
    <xf numFmtId="10" fontId="132" fillId="0" borderId="0" xfId="4" applyNumberFormat="1" applyFont="1" applyBorder="1" applyProtection="1"/>
    <xf numFmtId="2" fontId="100" fillId="0" borderId="15" xfId="4" applyNumberFormat="1" applyFont="1" applyBorder="1" applyProtection="1"/>
    <xf numFmtId="0" fontId="100" fillId="0" borderId="15" xfId="4" applyFont="1" applyBorder="1" applyAlignment="1" applyProtection="1">
      <alignment horizontal="center"/>
    </xf>
    <xf numFmtId="0" fontId="100" fillId="0" borderId="15" xfId="4" applyFont="1" applyBorder="1" applyProtection="1"/>
    <xf numFmtId="2" fontId="100" fillId="0" borderId="0" xfId="4" applyNumberFormat="1" applyFont="1" applyBorder="1" applyProtection="1"/>
    <xf numFmtId="0" fontId="100" fillId="0" borderId="0" xfId="4" applyFont="1" applyBorder="1" applyAlignment="1" applyProtection="1">
      <alignment horizontal="center"/>
    </xf>
    <xf numFmtId="0" fontId="100" fillId="0" borderId="0" xfId="4" applyFont="1" applyBorder="1" applyProtection="1"/>
    <xf numFmtId="0" fontId="88" fillId="0" borderId="0" xfId="4" applyFont="1" applyAlignment="1" applyProtection="1">
      <alignment horizontal="left" vertical="center"/>
    </xf>
    <xf numFmtId="169" fontId="129" fillId="0" borderId="0" xfId="4" applyNumberFormat="1" applyFont="1" applyBorder="1" applyAlignment="1" applyProtection="1">
      <alignment horizontal="left" vertical="center"/>
    </xf>
    <xf numFmtId="0" fontId="129" fillId="0" borderId="0" xfId="4" applyFont="1" applyBorder="1" applyAlignment="1" applyProtection="1">
      <alignment horizontal="left" vertical="center"/>
    </xf>
    <xf numFmtId="0" fontId="90" fillId="0" borderId="0" xfId="4" applyFont="1" applyAlignment="1" applyProtection="1">
      <alignment horizontal="left" vertical="center"/>
    </xf>
    <xf numFmtId="169" fontId="88" fillId="0" borderId="0" xfId="4" applyNumberFormat="1" applyFont="1" applyAlignment="1" applyProtection="1">
      <alignment horizontal="left" vertical="center"/>
    </xf>
    <xf numFmtId="169" fontId="129" fillId="0" borderId="0" xfId="4" applyNumberFormat="1" applyFont="1" applyAlignment="1" applyProtection="1">
      <alignment horizontal="left" vertical="center"/>
    </xf>
    <xf numFmtId="0" fontId="129" fillId="0" borderId="0" xfId="4" applyFont="1" applyAlignment="1" applyProtection="1">
      <alignment horizontal="left" vertical="center"/>
    </xf>
    <xf numFmtId="49" fontId="99" fillId="0" borderId="0" xfId="4" applyNumberFormat="1" applyFont="1" applyBorder="1" applyAlignment="1" applyProtection="1">
      <alignment horizontal="center" vertical="center"/>
    </xf>
    <xf numFmtId="166" fontId="99" fillId="0" borderId="0" xfId="4" applyNumberFormat="1" applyFont="1" applyBorder="1" applyAlignment="1" applyProtection="1">
      <alignment horizontal="center" vertical="center"/>
    </xf>
    <xf numFmtId="0" fontId="99" fillId="0" borderId="0" xfId="4" applyFont="1" applyAlignment="1" applyProtection="1">
      <alignment horizontal="right"/>
    </xf>
    <xf numFmtId="178" fontId="99" fillId="0" borderId="64" xfId="4" applyNumberFormat="1" applyFont="1" applyBorder="1" applyAlignment="1" applyProtection="1">
      <alignment horizontal="center"/>
      <protection locked="0"/>
    </xf>
    <xf numFmtId="0" fontId="90" fillId="0" borderId="11" xfId="4" applyFont="1" applyBorder="1" applyAlignment="1" applyProtection="1">
      <alignment horizontal="center"/>
      <protection locked="0"/>
    </xf>
    <xf numFmtId="0" fontId="88" fillId="0" borderId="0" xfId="4" applyFont="1" applyAlignment="1" applyProtection="1">
      <alignment horizontal="left" vertical="center" indent="1"/>
    </xf>
    <xf numFmtId="0" fontId="88" fillId="0" borderId="0" xfId="4" applyFont="1" applyAlignment="1" applyProtection="1">
      <alignment horizontal="left" indent="1"/>
    </xf>
    <xf numFmtId="0" fontId="88" fillId="0" borderId="0" xfId="4" applyFont="1" applyBorder="1" applyAlignment="1" applyProtection="1">
      <alignment horizontal="left"/>
    </xf>
    <xf numFmtId="0" fontId="90" fillId="0" borderId="64" xfId="4" applyFont="1" applyBorder="1" applyProtection="1">
      <protection locked="0"/>
    </xf>
    <xf numFmtId="0" fontId="99" fillId="0" borderId="34" xfId="4" applyFont="1" applyBorder="1" applyProtection="1"/>
    <xf numFmtId="0" fontId="89" fillId="0" borderId="0" xfId="4" applyFont="1" applyAlignment="1" applyProtection="1">
      <alignment horizontal="center"/>
    </xf>
    <xf numFmtId="0" fontId="99" fillId="0" borderId="0" xfId="4" applyFont="1" applyBorder="1" applyAlignment="1" applyProtection="1">
      <alignment horizontal="center"/>
    </xf>
    <xf numFmtId="0" fontId="89" fillId="0" borderId="0" xfId="4" quotePrefix="1" applyFont="1" applyBorder="1" applyAlignment="1" applyProtection="1">
      <alignment horizontal="left"/>
    </xf>
    <xf numFmtId="0" fontId="84" fillId="0" borderId="0" xfId="4" applyFont="1" applyBorder="1" applyAlignment="1" applyProtection="1">
      <alignment horizontal="center"/>
    </xf>
    <xf numFmtId="0" fontId="90" fillId="0" borderId="34" xfId="4" applyFont="1" applyBorder="1" applyAlignment="1" applyProtection="1">
      <alignment horizontal="left"/>
    </xf>
    <xf numFmtId="0" fontId="90" fillId="0" borderId="34" xfId="4" applyFont="1" applyBorder="1" applyAlignment="1" applyProtection="1"/>
    <xf numFmtId="170" fontId="90" fillId="0" borderId="34" xfId="4" applyNumberFormat="1" applyFont="1" applyBorder="1" applyAlignment="1" applyProtection="1">
      <alignment horizontal="centerContinuous"/>
    </xf>
    <xf numFmtId="0" fontId="97" fillId="0" borderId="65" xfId="4" applyFont="1" applyBorder="1" applyAlignment="1" applyProtection="1">
      <alignment horizontal="left"/>
    </xf>
    <xf numFmtId="0" fontId="90" fillId="0" borderId="65" xfId="4" applyFont="1" applyBorder="1" applyProtection="1"/>
    <xf numFmtId="0" fontId="90" fillId="0" borderId="65" xfId="4" applyFont="1" applyBorder="1" applyAlignment="1" applyProtection="1">
      <alignment horizontal="center"/>
    </xf>
    <xf numFmtId="49" fontId="83" fillId="0" borderId="0" xfId="4" applyNumberFormat="1" applyFont="1" applyBorder="1" applyAlignment="1" applyProtection="1">
      <alignment horizontal="center" vertical="center"/>
    </xf>
    <xf numFmtId="166" fontId="83" fillId="0" borderId="0" xfId="4" applyNumberFormat="1" applyFont="1" applyBorder="1" applyAlignment="1" applyProtection="1">
      <alignment horizontal="center" vertical="center"/>
    </xf>
    <xf numFmtId="49" fontId="83" fillId="0" borderId="0" xfId="4" applyNumberFormat="1" applyFont="1" applyAlignment="1" applyProtection="1">
      <alignment horizontal="center" vertical="center"/>
    </xf>
    <xf numFmtId="0" fontId="84" fillId="0" borderId="0" xfId="4" applyFont="1" applyBorder="1" applyAlignment="1" applyProtection="1">
      <alignment vertical="center"/>
    </xf>
    <xf numFmtId="0" fontId="119" fillId="0" borderId="0" xfId="4" applyFont="1" applyBorder="1" applyAlignment="1" applyProtection="1">
      <alignment horizontal="center"/>
    </xf>
    <xf numFmtId="179" fontId="90" fillId="0" borderId="0" xfId="4" applyNumberFormat="1" applyFont="1" applyBorder="1" applyProtection="1">
      <protection locked="0"/>
    </xf>
    <xf numFmtId="179" fontId="90" fillId="0" borderId="0" xfId="4" applyNumberFormat="1" applyFont="1" applyBorder="1" applyAlignment="1" applyProtection="1">
      <alignment horizontal="left"/>
      <protection locked="0"/>
    </xf>
    <xf numFmtId="179" fontId="89" fillId="0" borderId="0" xfId="4" applyNumberFormat="1" applyFont="1" applyProtection="1">
      <protection locked="0"/>
    </xf>
    <xf numFmtId="179" fontId="90" fillId="0" borderId="0" xfId="4" applyNumberFormat="1" applyFont="1" applyProtection="1">
      <protection locked="0"/>
    </xf>
    <xf numFmtId="179" fontId="90" fillId="0" borderId="0" xfId="4" applyNumberFormat="1" applyFont="1" applyAlignment="1" applyProtection="1">
      <alignment horizontal="left"/>
      <protection locked="0"/>
    </xf>
    <xf numFmtId="49" fontId="105" fillId="0" borderId="0" xfId="4" applyNumberFormat="1" applyFont="1" applyBorder="1" applyAlignment="1" applyProtection="1">
      <alignment horizontal="left"/>
      <protection locked="0"/>
    </xf>
    <xf numFmtId="49" fontId="90" fillId="0" borderId="0" xfId="4" applyNumberFormat="1" applyFont="1" applyProtection="1">
      <protection locked="0"/>
    </xf>
    <xf numFmtId="49" fontId="90" fillId="0" borderId="15" xfId="4" applyNumberFormat="1" applyFont="1" applyBorder="1" applyAlignment="1" applyProtection="1">
      <protection locked="0"/>
    </xf>
    <xf numFmtId="0" fontId="90" fillId="0" borderId="15" xfId="4" applyFont="1" applyBorder="1" applyProtection="1">
      <protection locked="0"/>
    </xf>
    <xf numFmtId="0" fontId="129" fillId="0" borderId="0" xfId="4" applyFont="1" applyAlignment="1" applyProtection="1">
      <alignment horizontal="left"/>
    </xf>
    <xf numFmtId="0" fontId="88" fillId="0" borderId="0" xfId="4" applyFont="1" applyAlignment="1" applyProtection="1">
      <alignment horizontal="left" vertical="center" indent="2"/>
    </xf>
    <xf numFmtId="49" fontId="133" fillId="0" borderId="0" xfId="0" applyNumberFormat="1" applyFont="1" applyBorder="1" applyAlignment="1">
      <alignment horizontal="left"/>
    </xf>
    <xf numFmtId="49" fontId="86" fillId="0" borderId="0" xfId="2" applyNumberFormat="1" applyFont="1" applyBorder="1" applyAlignment="1" applyProtection="1">
      <alignment horizontal="left" indent="4"/>
    </xf>
    <xf numFmtId="49" fontId="93" fillId="0" borderId="0" xfId="0" applyNumberFormat="1" applyFont="1" applyBorder="1" applyAlignment="1">
      <alignment horizontal="left" indent="1"/>
    </xf>
    <xf numFmtId="0" fontId="133" fillId="0" borderId="0" xfId="0" applyFont="1" applyBorder="1" applyProtection="1"/>
    <xf numFmtId="164" fontId="88" fillId="0" borderId="9" xfId="0" applyNumberFormat="1" applyFont="1" applyFill="1" applyBorder="1" applyAlignment="1" applyProtection="1">
      <alignment horizontal="left" vertical="center" wrapText="1" indent="1"/>
    </xf>
    <xf numFmtId="164" fontId="88" fillId="0" borderId="2" xfId="0" applyNumberFormat="1" applyFont="1" applyFill="1" applyBorder="1" applyAlignment="1" applyProtection="1">
      <alignment horizontal="left" vertical="center" wrapText="1" indent="1"/>
    </xf>
    <xf numFmtId="164" fontId="88" fillId="0" borderId="2" xfId="0" applyNumberFormat="1" applyFont="1" applyFill="1" applyBorder="1" applyAlignment="1" applyProtection="1">
      <alignment horizontal="left" vertical="center" indent="1"/>
    </xf>
    <xf numFmtId="0" fontId="88" fillId="0" borderId="0" xfId="0" applyFont="1" applyFill="1" applyAlignment="1" applyProtection="1">
      <alignment horizontal="left" vertical="center" indent="1"/>
    </xf>
    <xf numFmtId="164" fontId="88" fillId="0" borderId="0" xfId="0" applyNumberFormat="1" applyFont="1" applyFill="1" applyBorder="1" applyAlignment="1" applyProtection="1">
      <alignment horizontal="left" vertical="center" wrapText="1" indent="1"/>
    </xf>
    <xf numFmtId="0" fontId="89" fillId="0" borderId="8" xfId="0" applyFont="1" applyFill="1" applyBorder="1" applyAlignment="1" applyProtection="1">
      <alignment horizontal="left" vertical="center" indent="2"/>
    </xf>
    <xf numFmtId="0" fontId="88" fillId="0" borderId="0" xfId="0" applyFont="1" applyFill="1" applyBorder="1" applyAlignment="1" applyProtection="1">
      <alignment horizontal="left" vertical="center" indent="1"/>
    </xf>
    <xf numFmtId="0" fontId="88" fillId="0" borderId="14" xfId="0" applyFont="1" applyBorder="1" applyAlignment="1" applyProtection="1">
      <alignment horizontal="left" vertical="top" indent="1"/>
    </xf>
    <xf numFmtId="0" fontId="88" fillId="0" borderId="0" xfId="0" applyFont="1" applyFill="1" applyBorder="1" applyAlignment="1" applyProtection="1">
      <alignment horizontal="left" vertical="top" indent="1"/>
    </xf>
    <xf numFmtId="0" fontId="88" fillId="0" borderId="8" xfId="0" applyFont="1" applyBorder="1" applyAlignment="1" applyProtection="1">
      <alignment horizontal="left" vertical="center" indent="1"/>
    </xf>
    <xf numFmtId="0" fontId="88" fillId="0" borderId="51" xfId="0" applyFont="1" applyBorder="1" applyAlignment="1" applyProtection="1">
      <alignment horizontal="left" vertical="center" indent="1"/>
    </xf>
    <xf numFmtId="0" fontId="88" fillId="0" borderId="66" xfId="0" applyFont="1" applyBorder="1" applyAlignment="1" applyProtection="1">
      <alignment horizontal="left" vertical="center" indent="1"/>
    </xf>
    <xf numFmtId="0" fontId="88" fillId="0" borderId="14" xfId="0" applyFont="1" applyBorder="1" applyAlignment="1" applyProtection="1">
      <alignment horizontal="left" vertical="center" wrapText="1" indent="1"/>
    </xf>
    <xf numFmtId="0" fontId="88" fillId="0" borderId="130" xfId="0" applyFont="1" applyFill="1" applyBorder="1" applyAlignment="1" applyProtection="1">
      <alignment horizontal="left" vertical="center" indent="1"/>
    </xf>
    <xf numFmtId="0" fontId="88" fillId="0" borderId="112" xfId="0" applyFont="1" applyFill="1" applyBorder="1" applyAlignment="1" applyProtection="1">
      <alignment horizontal="left" vertical="center" indent="1"/>
    </xf>
    <xf numFmtId="3" fontId="88" fillId="0" borderId="2" xfId="0" applyNumberFormat="1" applyFont="1" applyBorder="1" applyAlignment="1">
      <alignment horizontal="left" vertical="center" wrapText="1" indent="1"/>
    </xf>
    <xf numFmtId="3" fontId="88" fillId="0" borderId="3" xfId="0" applyNumberFormat="1" applyFont="1" applyBorder="1" applyAlignment="1">
      <alignment horizontal="left" vertical="center" wrapText="1" indent="1"/>
    </xf>
    <xf numFmtId="3" fontId="88" fillId="0" borderId="3" xfId="0" applyNumberFormat="1" applyFont="1" applyBorder="1" applyAlignment="1">
      <alignment horizontal="left" vertical="center" indent="1"/>
    </xf>
    <xf numFmtId="3" fontId="89" fillId="6" borderId="31" xfId="0" applyNumberFormat="1" applyFont="1" applyFill="1" applyBorder="1" applyAlignment="1">
      <alignment horizontal="left" vertical="center" wrapText="1" indent="1"/>
    </xf>
    <xf numFmtId="3" fontId="88" fillId="0" borderId="2" xfId="0" applyNumberFormat="1" applyFont="1" applyBorder="1" applyAlignment="1">
      <alignment horizontal="left" vertical="top" wrapText="1" indent="1"/>
    </xf>
    <xf numFmtId="3" fontId="88" fillId="0" borderId="18" xfId="0" applyNumberFormat="1" applyFont="1" applyBorder="1" applyAlignment="1">
      <alignment horizontal="left" vertical="center" wrapText="1" indent="1"/>
    </xf>
    <xf numFmtId="3" fontId="88" fillId="0" borderId="9" xfId="0" applyNumberFormat="1" applyFont="1" applyFill="1" applyBorder="1" applyAlignment="1">
      <alignment horizontal="left" vertical="center" wrapText="1" indent="1"/>
    </xf>
    <xf numFmtId="3" fontId="88" fillId="0" borderId="26" xfId="0" applyNumberFormat="1" applyFont="1" applyFill="1" applyBorder="1" applyAlignment="1">
      <alignment horizontal="left" vertical="center" wrapText="1" indent="1"/>
    </xf>
    <xf numFmtId="3" fontId="88" fillId="0" borderId="18" xfId="0" applyNumberFormat="1" applyFont="1" applyFill="1" applyBorder="1" applyAlignment="1">
      <alignment horizontal="left" vertical="center" wrapText="1" indent="1"/>
    </xf>
    <xf numFmtId="3" fontId="88" fillId="0" borderId="2" xfId="0" applyNumberFormat="1" applyFont="1" applyFill="1" applyBorder="1" applyAlignment="1">
      <alignment horizontal="left" vertical="center" wrapText="1" indent="1"/>
    </xf>
    <xf numFmtId="3" fontId="89" fillId="0" borderId="27" xfId="0" applyNumberFormat="1" applyFont="1" applyFill="1" applyBorder="1" applyAlignment="1">
      <alignment horizontal="left" vertical="center" wrapText="1" indent="1"/>
    </xf>
    <xf numFmtId="3" fontId="89" fillId="5" borderId="23" xfId="0" applyNumberFormat="1" applyFont="1" applyFill="1" applyBorder="1" applyAlignment="1">
      <alignment horizontal="left" vertical="center" wrapText="1" indent="1"/>
    </xf>
    <xf numFmtId="3" fontId="88" fillId="0" borderId="2" xfId="0" applyNumberFormat="1" applyFont="1" applyBorder="1" applyAlignment="1">
      <alignment horizontal="left" vertical="center" indent="1"/>
    </xf>
    <xf numFmtId="3" fontId="88" fillId="0" borderId="21" xfId="0" applyNumberFormat="1" applyFont="1" applyBorder="1" applyAlignment="1">
      <alignment horizontal="left" vertical="center" wrapText="1" indent="1"/>
    </xf>
    <xf numFmtId="164" fontId="88" fillId="0" borderId="21" xfId="0" applyNumberFormat="1" applyFont="1" applyFill="1" applyBorder="1" applyAlignment="1">
      <alignment horizontal="left" vertical="center" wrapText="1" indent="1"/>
    </xf>
    <xf numFmtId="0" fontId="88" fillId="0" borderId="2" xfId="0" applyFont="1" applyFill="1" applyBorder="1" applyAlignment="1">
      <alignment horizontal="left" vertical="center" wrapText="1" indent="1"/>
    </xf>
    <xf numFmtId="0" fontId="88" fillId="0" borderId="3" xfId="0" applyFont="1" applyFill="1" applyBorder="1" applyAlignment="1">
      <alignment horizontal="left" vertical="center" wrapText="1" indent="1"/>
    </xf>
    <xf numFmtId="3" fontId="89" fillId="5" borderId="32" xfId="0" applyNumberFormat="1" applyFont="1" applyFill="1" applyBorder="1" applyAlignment="1">
      <alignment horizontal="left" vertical="center" wrapText="1" indent="1"/>
    </xf>
    <xf numFmtId="3" fontId="88" fillId="0" borderId="2" xfId="0" applyNumberFormat="1" applyFont="1" applyBorder="1" applyAlignment="1">
      <alignment horizontal="left" vertical="top" indent="1"/>
    </xf>
    <xf numFmtId="0" fontId="88" fillId="0" borderId="2" xfId="0" applyFont="1" applyFill="1" applyBorder="1" applyAlignment="1">
      <alignment horizontal="left" vertical="center" indent="1"/>
    </xf>
    <xf numFmtId="38" fontId="84" fillId="0" borderId="18" xfId="0" applyNumberFormat="1" applyFont="1" applyFill="1" applyBorder="1" applyAlignment="1" applyProtection="1">
      <alignment horizontal="right" vertical="center"/>
      <protection locked="0"/>
    </xf>
    <xf numFmtId="38" fontId="83" fillId="2" borderId="131" xfId="0" applyNumberFormat="1" applyFont="1" applyFill="1" applyBorder="1" applyAlignment="1">
      <alignment horizontal="center" vertical="center" wrapText="1"/>
    </xf>
    <xf numFmtId="38" fontId="83" fillId="2" borderId="131" xfId="0" applyNumberFormat="1" applyFont="1" applyFill="1" applyBorder="1" applyAlignment="1">
      <alignment horizontal="center" vertical="top" wrapText="1"/>
    </xf>
    <xf numFmtId="38" fontId="89" fillId="2" borderId="131" xfId="0" applyNumberFormat="1" applyFont="1" applyFill="1" applyBorder="1" applyAlignment="1">
      <alignment horizontal="center" vertical="center" wrapText="1"/>
    </xf>
    <xf numFmtId="38" fontId="89" fillId="2" borderId="5" xfId="0" applyNumberFormat="1" applyFont="1" applyFill="1" applyBorder="1" applyAlignment="1">
      <alignment horizontal="center" vertical="center" wrapText="1"/>
    </xf>
    <xf numFmtId="0" fontId="83" fillId="0" borderId="2" xfId="21" applyFont="1" applyFill="1" applyBorder="1" applyAlignment="1">
      <alignment horizontal="center" vertical="center"/>
    </xf>
    <xf numFmtId="0" fontId="90" fillId="0" borderId="45" xfId="0" applyFont="1" applyBorder="1" applyAlignment="1">
      <alignment horizontal="left" wrapText="1"/>
    </xf>
    <xf numFmtId="0" fontId="117" fillId="0" borderId="0" xfId="0" applyFont="1" applyAlignment="1" applyProtection="1">
      <alignment horizontal="right"/>
    </xf>
    <xf numFmtId="0" fontId="117" fillId="0" borderId="0" xfId="0" applyFont="1" applyAlignment="1" applyProtection="1">
      <alignment horizontal="right" vertical="top"/>
    </xf>
    <xf numFmtId="0" fontId="80" fillId="0" borderId="0" xfId="15"/>
    <xf numFmtId="0" fontId="134" fillId="0" borderId="67" xfId="15" applyFont="1" applyBorder="1" applyAlignment="1">
      <alignment horizontal="left" vertical="top"/>
    </xf>
    <xf numFmtId="0" fontId="135" fillId="0" borderId="68" xfId="15" applyFont="1" applyBorder="1" applyAlignment="1">
      <alignment horizontal="center" vertical="top"/>
    </xf>
    <xf numFmtId="0" fontId="135" fillId="0" borderId="69" xfId="15" applyFont="1" applyBorder="1" applyAlignment="1">
      <alignment horizontal="center" vertical="top"/>
    </xf>
    <xf numFmtId="0" fontId="136" fillId="0" borderId="70" xfId="15" applyFont="1" applyBorder="1" applyAlignment="1">
      <alignment vertical="top"/>
    </xf>
    <xf numFmtId="0" fontId="136" fillId="0" borderId="0" xfId="15" applyFont="1" applyBorder="1" applyAlignment="1">
      <alignment vertical="top"/>
    </xf>
    <xf numFmtId="0" fontId="136" fillId="0" borderId="71" xfId="15" applyFont="1" applyBorder="1" applyAlignment="1">
      <alignment vertical="top"/>
    </xf>
    <xf numFmtId="38" fontId="80" fillId="18" borderId="72" xfId="15" applyNumberFormat="1" applyFill="1" applyBorder="1" applyAlignment="1">
      <alignment horizontal="right" vertical="top"/>
    </xf>
    <xf numFmtId="0" fontId="80" fillId="0" borderId="0" xfId="15" applyAlignment="1">
      <alignment horizontal="left" vertical="top" wrapText="1"/>
    </xf>
    <xf numFmtId="0" fontId="80" fillId="0" borderId="0" xfId="15" applyAlignment="1">
      <alignment vertical="top"/>
    </xf>
    <xf numFmtId="38" fontId="80" fillId="0" borderId="0" xfId="15" applyNumberFormat="1" applyAlignment="1">
      <alignment horizontal="right" vertical="top"/>
    </xf>
    <xf numFmtId="0" fontId="80" fillId="0" borderId="0" xfId="15" applyAlignment="1">
      <alignment horizontal="center" vertical="top" wrapText="1"/>
    </xf>
    <xf numFmtId="0" fontId="137" fillId="19" borderId="73" xfId="15" applyFont="1" applyFill="1" applyBorder="1" applyAlignment="1">
      <alignment horizontal="center" vertical="center" wrapText="1"/>
    </xf>
    <xf numFmtId="38" fontId="137" fillId="19" borderId="73" xfId="15" applyNumberFormat="1" applyFont="1" applyFill="1" applyBorder="1" applyAlignment="1">
      <alignment horizontal="center" vertical="center" wrapText="1"/>
    </xf>
    <xf numFmtId="3" fontId="84" fillId="19" borderId="133" xfId="0" applyNumberFormat="1" applyFont="1" applyFill="1" applyBorder="1" applyAlignment="1">
      <alignment horizontal="center"/>
    </xf>
    <xf numFmtId="3" fontId="84" fillId="19" borderId="133" xfId="0" applyNumberFormat="1" applyFont="1" applyFill="1" applyBorder="1" applyAlignment="1">
      <alignment horizontal="right"/>
    </xf>
    <xf numFmtId="3" fontId="84" fillId="19" borderId="134" xfId="0" applyNumberFormat="1" applyFont="1" applyFill="1" applyBorder="1" applyAlignment="1">
      <alignment horizontal="center"/>
    </xf>
    <xf numFmtId="38" fontId="84" fillId="19" borderId="9" xfId="0" applyNumberFormat="1" applyFont="1" applyFill="1" applyBorder="1" applyAlignment="1">
      <alignment horizontal="right"/>
    </xf>
    <xf numFmtId="38" fontId="84" fillId="19" borderId="8" xfId="0" applyNumberFormat="1" applyFont="1" applyFill="1" applyBorder="1" applyAlignment="1">
      <alignment horizontal="right"/>
    </xf>
    <xf numFmtId="38" fontId="84" fillId="19" borderId="10" xfId="0" applyNumberFormat="1" applyFont="1" applyFill="1" applyBorder="1" applyAlignment="1">
      <alignment horizontal="right"/>
    </xf>
    <xf numFmtId="3" fontId="99" fillId="19" borderId="9" xfId="0" applyNumberFormat="1" applyFont="1" applyFill="1" applyBorder="1" applyAlignment="1">
      <alignment horizontal="center" vertical="center" wrapText="1"/>
    </xf>
    <xf numFmtId="49" fontId="88" fillId="19" borderId="10" xfId="0" applyNumberFormat="1" applyFont="1" applyFill="1" applyBorder="1" applyAlignment="1">
      <alignment horizontal="center" vertical="center"/>
    </xf>
    <xf numFmtId="38" fontId="84" fillId="19" borderId="21" xfId="0" applyNumberFormat="1" applyFont="1" applyFill="1" applyBorder="1" applyAlignment="1">
      <alignment horizontal="right"/>
    </xf>
    <xf numFmtId="38" fontId="84" fillId="19" borderId="14" xfId="0" applyNumberFormat="1" applyFont="1" applyFill="1" applyBorder="1" applyAlignment="1">
      <alignment horizontal="right"/>
    </xf>
    <xf numFmtId="38" fontId="84" fillId="19" borderId="19" xfId="0" applyNumberFormat="1" applyFont="1" applyFill="1" applyBorder="1" applyAlignment="1">
      <alignment horizontal="right"/>
    </xf>
    <xf numFmtId="38" fontId="83" fillId="19" borderId="21" xfId="0" applyNumberFormat="1" applyFont="1" applyFill="1" applyBorder="1" applyAlignment="1" applyProtection="1">
      <alignment horizontal="right"/>
    </xf>
    <xf numFmtId="38" fontId="83" fillId="19" borderId="14" xfId="0" applyNumberFormat="1" applyFont="1" applyFill="1" applyBorder="1" applyAlignment="1" applyProtection="1">
      <alignment horizontal="right"/>
    </xf>
    <xf numFmtId="38" fontId="83" fillId="19" borderId="14" xfId="1" applyNumberFormat="1" applyFont="1" applyFill="1" applyBorder="1" applyAlignment="1" applyProtection="1">
      <alignment horizontal="right"/>
    </xf>
    <xf numFmtId="38" fontId="83" fillId="19" borderId="19" xfId="0" applyNumberFormat="1" applyFont="1" applyFill="1" applyBorder="1" applyAlignment="1" applyProtection="1">
      <alignment horizontal="right"/>
    </xf>
    <xf numFmtId="38" fontId="84" fillId="19" borderId="9" xfId="0" applyNumberFormat="1" applyFont="1" applyFill="1" applyBorder="1" applyAlignment="1" applyProtection="1">
      <alignment horizontal="right"/>
    </xf>
    <xf numFmtId="38" fontId="84" fillId="19" borderId="8" xfId="0" applyNumberFormat="1" applyFont="1" applyFill="1" applyBorder="1" applyAlignment="1" applyProtection="1">
      <alignment horizontal="right"/>
    </xf>
    <xf numFmtId="38" fontId="84" fillId="19" borderId="14" xfId="0" applyNumberFormat="1" applyFont="1" applyFill="1" applyBorder="1" applyAlignment="1" applyProtection="1">
      <alignment horizontal="right"/>
    </xf>
    <xf numFmtId="38" fontId="84" fillId="19" borderId="19" xfId="0" applyNumberFormat="1" applyFont="1" applyFill="1" applyBorder="1" applyAlignment="1" applyProtection="1">
      <alignment horizontal="right"/>
    </xf>
    <xf numFmtId="0" fontId="90" fillId="19" borderId="28" xfId="0" applyFont="1" applyFill="1" applyBorder="1" applyAlignment="1">
      <alignment horizontal="center" vertical="center"/>
    </xf>
    <xf numFmtId="38" fontId="84" fillId="19" borderId="21" xfId="0" applyNumberFormat="1" applyFont="1" applyFill="1" applyBorder="1" applyAlignment="1" applyProtection="1">
      <alignment horizontal="right"/>
    </xf>
    <xf numFmtId="38" fontId="84" fillId="19" borderId="10" xfId="0" applyNumberFormat="1" applyFont="1" applyFill="1" applyBorder="1" applyAlignment="1" applyProtection="1">
      <alignment horizontal="right"/>
    </xf>
    <xf numFmtId="38" fontId="84" fillId="19" borderId="27" xfId="0" applyNumberFormat="1" applyFont="1" applyFill="1" applyBorder="1" applyAlignment="1" applyProtection="1">
      <alignment horizontal="right"/>
    </xf>
    <xf numFmtId="38" fontId="84" fillId="19" borderId="74" xfId="0" applyNumberFormat="1" applyFont="1" applyFill="1" applyBorder="1" applyAlignment="1" applyProtection="1">
      <alignment horizontal="right"/>
    </xf>
    <xf numFmtId="38" fontId="84" fillId="19" borderId="28" xfId="0" applyNumberFormat="1" applyFont="1" applyFill="1" applyBorder="1" applyAlignment="1" applyProtection="1">
      <alignment horizontal="right"/>
    </xf>
    <xf numFmtId="3" fontId="83" fillId="19" borderId="21" xfId="0" applyNumberFormat="1" applyFont="1" applyFill="1" applyBorder="1" applyAlignment="1" applyProtection="1">
      <alignment horizontal="right" vertical="center"/>
    </xf>
    <xf numFmtId="3" fontId="83" fillId="19" borderId="14" xfId="0" applyNumberFormat="1" applyFont="1" applyFill="1" applyBorder="1" applyAlignment="1" applyProtection="1">
      <alignment horizontal="right" vertical="center"/>
    </xf>
    <xf numFmtId="3" fontId="83" fillId="19" borderId="19" xfId="0" applyNumberFormat="1" applyFont="1" applyFill="1" applyBorder="1" applyAlignment="1" applyProtection="1">
      <alignment horizontal="right" vertical="center"/>
    </xf>
    <xf numFmtId="0" fontId="89" fillId="10" borderId="19" xfId="0" applyFont="1" applyFill="1" applyBorder="1" applyAlignment="1" applyProtection="1">
      <alignment horizontal="left" vertical="center"/>
    </xf>
    <xf numFmtId="0" fontId="89" fillId="10" borderId="2" xfId="0" applyFont="1" applyFill="1" applyBorder="1" applyAlignment="1" applyProtection="1">
      <alignment horizontal="center" vertical="top"/>
    </xf>
    <xf numFmtId="0" fontId="89" fillId="10" borderId="2" xfId="0" applyFont="1" applyFill="1" applyBorder="1" applyAlignment="1" applyProtection="1">
      <alignment horizontal="center" vertical="center"/>
    </xf>
    <xf numFmtId="3" fontId="83" fillId="19" borderId="21" xfId="0" applyNumberFormat="1" applyFont="1" applyFill="1" applyBorder="1" applyAlignment="1" applyProtection="1">
      <alignment horizontal="center" vertical="center"/>
    </xf>
    <xf numFmtId="49" fontId="89" fillId="19" borderId="14" xfId="0" applyNumberFormat="1" applyFont="1" applyFill="1" applyBorder="1" applyAlignment="1" applyProtection="1">
      <alignment horizontal="center" vertical="center"/>
    </xf>
    <xf numFmtId="3" fontId="84" fillId="19" borderId="14" xfId="0" applyNumberFormat="1" applyFont="1" applyFill="1" applyBorder="1" applyAlignment="1" applyProtection="1">
      <alignment horizontal="center"/>
    </xf>
    <xf numFmtId="3" fontId="90" fillId="19" borderId="14" xfId="0" applyNumberFormat="1" applyFont="1" applyFill="1" applyBorder="1" applyAlignment="1" applyProtection="1">
      <alignment horizontal="center"/>
    </xf>
    <xf numFmtId="38" fontId="90" fillId="19" borderId="14" xfId="0" applyNumberFormat="1" applyFont="1" applyFill="1" applyBorder="1" applyAlignment="1" applyProtection="1">
      <alignment horizontal="center"/>
    </xf>
    <xf numFmtId="3" fontId="90" fillId="19" borderId="19" xfId="0" applyNumberFormat="1" applyFont="1" applyFill="1" applyBorder="1" applyAlignment="1" applyProtection="1">
      <alignment horizontal="center"/>
    </xf>
    <xf numFmtId="0" fontId="83" fillId="19" borderId="27" xfId="0" applyFont="1" applyFill="1" applyBorder="1" applyAlignment="1" applyProtection="1">
      <alignment horizontal="center" vertical="center" wrapText="1"/>
    </xf>
    <xf numFmtId="0" fontId="84" fillId="19" borderId="74" xfId="0" applyFont="1" applyFill="1" applyBorder="1" applyAlignment="1">
      <alignment horizontal="center" vertical="center" wrapText="1"/>
    </xf>
    <xf numFmtId="164" fontId="83" fillId="19" borderId="27" xfId="0" applyNumberFormat="1" applyFont="1" applyFill="1" applyBorder="1" applyAlignment="1" applyProtection="1">
      <alignment horizontal="center" vertical="center" wrapText="1"/>
    </xf>
    <xf numFmtId="0" fontId="90" fillId="19" borderId="28" xfId="0" applyFont="1" applyFill="1" applyBorder="1" applyAlignment="1">
      <alignment horizontal="center" vertical="center" wrapText="1"/>
    </xf>
    <xf numFmtId="164" fontId="83" fillId="19" borderId="27" xfId="0" applyNumberFormat="1" applyFont="1" applyFill="1" applyBorder="1" applyAlignment="1" applyProtection="1">
      <alignment horizontal="center" vertical="center"/>
    </xf>
    <xf numFmtId="3" fontId="89" fillId="10" borderId="8" xfId="0" applyNumberFormat="1" applyFont="1" applyFill="1" applyBorder="1" applyAlignment="1" applyProtection="1">
      <alignment horizontal="left" vertical="center"/>
    </xf>
    <xf numFmtId="0" fontId="89" fillId="10" borderId="2" xfId="0" applyFont="1" applyFill="1" applyBorder="1" applyAlignment="1">
      <alignment horizontal="center" vertical="center"/>
    </xf>
    <xf numFmtId="164" fontId="89" fillId="10" borderId="8" xfId="0" applyNumberFormat="1" applyFont="1" applyFill="1" applyBorder="1" applyAlignment="1" applyProtection="1">
      <alignment horizontal="left" vertical="center"/>
    </xf>
    <xf numFmtId="0" fontId="89" fillId="10" borderId="26" xfId="0" applyFont="1" applyFill="1" applyBorder="1" applyAlignment="1" applyProtection="1">
      <alignment horizontal="center" vertical="center"/>
    </xf>
    <xf numFmtId="0" fontId="89" fillId="10" borderId="18" xfId="0" applyFont="1" applyFill="1" applyBorder="1" applyAlignment="1" applyProtection="1">
      <alignment horizontal="center" vertical="center"/>
    </xf>
    <xf numFmtId="164" fontId="89" fillId="10" borderId="14" xfId="0" applyNumberFormat="1" applyFont="1" applyFill="1" applyBorder="1" applyAlignment="1" applyProtection="1">
      <alignment horizontal="left" vertical="center"/>
    </xf>
    <xf numFmtId="0" fontId="89" fillId="10" borderId="19" xfId="0" applyFont="1" applyFill="1" applyBorder="1" applyAlignment="1" applyProtection="1">
      <alignment horizontal="center" vertical="center"/>
    </xf>
    <xf numFmtId="0" fontId="89" fillId="10" borderId="28" xfId="0" applyFont="1" applyFill="1" applyBorder="1" applyAlignment="1" applyProtection="1">
      <alignment horizontal="center" vertical="center"/>
    </xf>
    <xf numFmtId="164" fontId="89" fillId="15" borderId="14" xfId="0" applyNumberFormat="1" applyFont="1" applyFill="1" applyBorder="1" applyAlignment="1" applyProtection="1">
      <alignment horizontal="left" vertical="center" indent="1"/>
    </xf>
    <xf numFmtId="0" fontId="88" fillId="15" borderId="19" xfId="0" applyFont="1" applyFill="1" applyBorder="1" applyAlignment="1" applyProtection="1">
      <alignment horizontal="center" vertical="center"/>
    </xf>
    <xf numFmtId="164" fontId="89" fillId="15" borderId="8" xfId="0" applyNumberFormat="1" applyFont="1" applyFill="1" applyBorder="1" applyAlignment="1" applyProtection="1">
      <alignment horizontal="left" vertical="center" indent="1"/>
    </xf>
    <xf numFmtId="1" fontId="88" fillId="15" borderId="10" xfId="0" applyNumberFormat="1" applyFont="1" applyFill="1" applyBorder="1" applyAlignment="1" applyProtection="1">
      <alignment horizontal="center" vertical="center"/>
    </xf>
    <xf numFmtId="1" fontId="88" fillId="15" borderId="18" xfId="0" applyNumberFormat="1" applyFont="1" applyFill="1" applyBorder="1" applyAlignment="1" applyProtection="1">
      <alignment horizontal="center" vertical="center"/>
    </xf>
    <xf numFmtId="0" fontId="89" fillId="15" borderId="14" xfId="0" applyFont="1" applyFill="1" applyBorder="1" applyAlignment="1">
      <alignment horizontal="left" vertical="center" indent="1"/>
    </xf>
    <xf numFmtId="0" fontId="88" fillId="15" borderId="19" xfId="0" applyFont="1" applyFill="1" applyBorder="1" applyAlignment="1">
      <alignment horizontal="left" vertical="center"/>
    </xf>
    <xf numFmtId="0" fontId="88" fillId="15" borderId="10" xfId="0" applyFont="1" applyFill="1" applyBorder="1" applyAlignment="1" applyProtection="1">
      <alignment horizontal="center" vertical="center"/>
    </xf>
    <xf numFmtId="3" fontId="89" fillId="10" borderId="9" xfId="0" applyNumberFormat="1" applyFont="1" applyFill="1" applyBorder="1" applyAlignment="1">
      <alignment horizontal="left" vertical="center" wrapText="1"/>
    </xf>
    <xf numFmtId="49" fontId="89" fillId="10" borderId="18" xfId="0" applyNumberFormat="1" applyFont="1" applyFill="1" applyBorder="1" applyAlignment="1">
      <alignment horizontal="center" vertical="center"/>
    </xf>
    <xf numFmtId="0" fontId="89" fillId="10" borderId="6" xfId="0" applyFont="1" applyFill="1" applyBorder="1" applyAlignment="1">
      <alignment horizontal="left" vertical="center" wrapText="1"/>
    </xf>
    <xf numFmtId="49" fontId="89" fillId="10" borderId="26" xfId="0" applyNumberFormat="1" applyFont="1" applyFill="1" applyBorder="1" applyAlignment="1">
      <alignment horizontal="center" vertical="center"/>
    </xf>
    <xf numFmtId="3" fontId="89" fillId="10" borderId="24" xfId="0" applyNumberFormat="1" applyFont="1" applyFill="1" applyBorder="1" applyAlignment="1">
      <alignment horizontal="left" vertical="center" wrapText="1"/>
    </xf>
    <xf numFmtId="49" fontId="89" fillId="10" borderId="24" xfId="0" applyNumberFormat="1" applyFont="1" applyFill="1" applyBorder="1" applyAlignment="1">
      <alignment horizontal="center" vertical="center"/>
    </xf>
    <xf numFmtId="164" fontId="89" fillId="10" borderId="9" xfId="0" applyNumberFormat="1" applyFont="1" applyFill="1" applyBorder="1" applyAlignment="1">
      <alignment horizontal="left" vertical="center" wrapText="1"/>
    </xf>
    <xf numFmtId="49" fontId="89" fillId="10" borderId="18" xfId="0" applyNumberFormat="1" applyFont="1" applyFill="1" applyBorder="1" applyAlignment="1">
      <alignment horizontal="center" vertical="center"/>
    </xf>
    <xf numFmtId="3" fontId="89" fillId="10" borderId="21" xfId="0" applyNumberFormat="1" applyFont="1" applyFill="1" applyBorder="1" applyAlignment="1">
      <alignment horizontal="left" vertical="center" wrapText="1"/>
    </xf>
    <xf numFmtId="49" fontId="89" fillId="10" borderId="2" xfId="0" applyNumberFormat="1" applyFont="1" applyFill="1" applyBorder="1" applyAlignment="1">
      <alignment horizontal="center" vertical="center"/>
    </xf>
    <xf numFmtId="164" fontId="89" fillId="10" borderId="6" xfId="0" applyNumberFormat="1" applyFont="1" applyFill="1" applyBorder="1" applyAlignment="1">
      <alignment horizontal="left" vertical="center" wrapText="1"/>
    </xf>
    <xf numFmtId="0" fontId="89" fillId="10" borderId="31" xfId="0" applyFont="1" applyFill="1" applyBorder="1" applyAlignment="1">
      <alignment horizontal="left" vertical="center" wrapText="1"/>
    </xf>
    <xf numFmtId="49" fontId="89" fillId="10" borderId="23" xfId="0" applyNumberFormat="1" applyFont="1" applyFill="1" applyBorder="1" applyAlignment="1">
      <alignment horizontal="center" vertical="center"/>
    </xf>
    <xf numFmtId="3" fontId="89" fillId="10" borderId="30" xfId="0" applyNumberFormat="1" applyFont="1" applyFill="1" applyBorder="1" applyAlignment="1">
      <alignment horizontal="left" vertical="center" wrapText="1"/>
    </xf>
    <xf numFmtId="0" fontId="89" fillId="10" borderId="21" xfId="0" applyFont="1" applyFill="1" applyBorder="1" applyAlignment="1">
      <alignment horizontal="left" vertical="center" wrapText="1"/>
    </xf>
    <xf numFmtId="49" fontId="89" fillId="10" borderId="19" xfId="0" applyNumberFormat="1" applyFont="1" applyFill="1" applyBorder="1" applyAlignment="1">
      <alignment horizontal="center" vertical="center"/>
    </xf>
    <xf numFmtId="0" fontId="89" fillId="10" borderId="30" xfId="0" applyFont="1" applyFill="1" applyBorder="1" applyAlignment="1">
      <alignment horizontal="left" vertical="center" wrapText="1"/>
    </xf>
    <xf numFmtId="164" fontId="89" fillId="10" borderId="21" xfId="0" applyNumberFormat="1" applyFont="1" applyFill="1" applyBorder="1" applyAlignment="1">
      <alignment horizontal="left" vertical="center" wrapText="1"/>
    </xf>
    <xf numFmtId="0" fontId="89" fillId="10" borderId="18" xfId="0" applyFont="1" applyFill="1" applyBorder="1" applyAlignment="1">
      <alignment horizontal="left" vertical="center" wrapText="1"/>
    </xf>
    <xf numFmtId="3" fontId="89" fillId="10" borderId="18" xfId="0" applyNumberFormat="1" applyFont="1" applyFill="1" applyBorder="1" applyAlignment="1">
      <alignment horizontal="left" vertical="center" wrapText="1"/>
    </xf>
    <xf numFmtId="38" fontId="84" fillId="20" borderId="9" xfId="0" applyNumberFormat="1" applyFont="1" applyFill="1" applyBorder="1" applyAlignment="1">
      <alignment horizontal="right"/>
    </xf>
    <xf numFmtId="38" fontId="84" fillId="20" borderId="8" xfId="0" applyNumberFormat="1" applyFont="1" applyFill="1" applyBorder="1" applyAlignment="1">
      <alignment horizontal="right"/>
    </xf>
    <xf numFmtId="38" fontId="84" fillId="20" borderId="10" xfId="0" applyNumberFormat="1" applyFont="1" applyFill="1" applyBorder="1" applyAlignment="1">
      <alignment horizontal="right"/>
    </xf>
    <xf numFmtId="0" fontId="89" fillId="10" borderId="45" xfId="0" applyFont="1" applyFill="1" applyBorder="1" applyAlignment="1" applyProtection="1">
      <alignment horizontal="left" vertical="center"/>
    </xf>
    <xf numFmtId="0" fontId="89" fillId="10" borderId="11" xfId="0" applyFont="1" applyFill="1" applyBorder="1" applyAlignment="1" applyProtection="1">
      <alignment horizontal="center" vertical="center"/>
    </xf>
    <xf numFmtId="0" fontId="89" fillId="10" borderId="38" xfId="0" applyFont="1" applyFill="1" applyBorder="1" applyAlignment="1" applyProtection="1">
      <alignment horizontal="left" vertical="center"/>
    </xf>
    <xf numFmtId="0" fontId="89" fillId="10" borderId="38" xfId="0" applyFont="1" applyFill="1" applyBorder="1" applyAlignment="1" applyProtection="1">
      <alignment horizontal="left" vertical="center" wrapText="1"/>
    </xf>
    <xf numFmtId="0" fontId="89" fillId="10" borderId="38" xfId="0" applyFont="1" applyFill="1" applyBorder="1" applyAlignment="1" applyProtection="1">
      <alignment horizontal="left" vertical="center" indent="1"/>
    </xf>
    <xf numFmtId="0" fontId="99" fillId="19" borderId="21" xfId="0" applyFont="1" applyFill="1" applyBorder="1" applyAlignment="1">
      <alignment horizontal="left" vertical="center"/>
    </xf>
    <xf numFmtId="0" fontId="99" fillId="19" borderId="14" xfId="0" applyFont="1" applyFill="1" applyBorder="1" applyAlignment="1">
      <alignment horizontal="left" vertical="center"/>
    </xf>
    <xf numFmtId="0" fontId="99" fillId="19" borderId="19" xfId="0" applyFont="1" applyFill="1" applyBorder="1" applyAlignment="1">
      <alignment horizontal="left" vertical="center"/>
    </xf>
    <xf numFmtId="0" fontId="83" fillId="15" borderId="3" xfId="0" applyFont="1" applyFill="1" applyBorder="1" applyAlignment="1" applyProtection="1">
      <alignment vertical="center"/>
    </xf>
    <xf numFmtId="0" fontId="89" fillId="0" borderId="135" xfId="0" applyFont="1" applyBorder="1" applyAlignment="1">
      <alignment horizontal="centerContinuous" vertical="center"/>
    </xf>
    <xf numFmtId="0" fontId="84" fillId="0" borderId="136" xfId="0" applyFont="1" applyBorder="1" applyAlignment="1">
      <alignment horizontal="centerContinuous" vertical="center"/>
    </xf>
    <xf numFmtId="0" fontId="90" fillId="0" borderId="136" xfId="0" applyFont="1" applyBorder="1" applyAlignment="1">
      <alignment horizontal="centerContinuous" vertical="center"/>
    </xf>
    <xf numFmtId="0" fontId="89" fillId="0" borderId="137" xfId="0" applyFont="1" applyBorder="1" applyAlignment="1">
      <alignment horizontal="center"/>
    </xf>
    <xf numFmtId="0" fontId="90" fillId="19" borderId="4" xfId="4" applyFont="1" applyFill="1" applyBorder="1" applyAlignment="1">
      <alignment horizontal="left" vertical="center"/>
    </xf>
    <xf numFmtId="0" fontId="90" fillId="19" borderId="5" xfId="4" applyFont="1" applyFill="1" applyBorder="1" applyAlignment="1">
      <alignment horizontal="left" vertical="center"/>
    </xf>
    <xf numFmtId="0" fontId="90" fillId="19" borderId="9" xfId="4" applyNumberFormat="1" applyFont="1" applyFill="1" applyBorder="1" applyAlignment="1">
      <alignment vertical="center"/>
    </xf>
    <xf numFmtId="0" fontId="90" fillId="19" borderId="8" xfId="4" applyNumberFormat="1" applyFont="1" applyFill="1" applyBorder="1" applyAlignment="1">
      <alignment vertical="center"/>
    </xf>
    <xf numFmtId="0" fontId="90" fillId="19" borderId="10" xfId="4" applyNumberFormat="1" applyFont="1" applyFill="1" applyBorder="1" applyAlignment="1">
      <alignment vertical="center"/>
    </xf>
    <xf numFmtId="0" fontId="80" fillId="0" borderId="0" xfId="15" quotePrefix="1" applyNumberFormat="1" applyFont="1"/>
    <xf numFmtId="0" fontId="136" fillId="16" borderId="132" xfId="15" applyFont="1" applyFill="1" applyBorder="1" applyAlignment="1" applyProtection="1">
      <alignment horizontal="left" vertical="top" wrapText="1"/>
    </xf>
    <xf numFmtId="49" fontId="136" fillId="16" borderId="132" xfId="15" applyNumberFormat="1" applyFont="1" applyFill="1" applyBorder="1" applyAlignment="1" applyProtection="1">
      <alignment horizontal="center" vertical="top"/>
    </xf>
    <xf numFmtId="0" fontId="136" fillId="16" borderId="132" xfId="15" applyFont="1" applyFill="1" applyBorder="1" applyAlignment="1" applyProtection="1">
      <alignment vertical="top"/>
    </xf>
    <xf numFmtId="38" fontId="136" fillId="16" borderId="132" xfId="15" applyNumberFormat="1" applyFont="1" applyFill="1" applyBorder="1" applyAlignment="1" applyProtection="1">
      <alignment horizontal="right" vertical="top"/>
    </xf>
    <xf numFmtId="0" fontId="80" fillId="0" borderId="132" xfId="15" applyBorder="1" applyAlignment="1" applyProtection="1">
      <alignment horizontal="left" vertical="top" wrapText="1"/>
      <protection locked="0"/>
    </xf>
    <xf numFmtId="0" fontId="80" fillId="0" borderId="132" xfId="15" applyBorder="1" applyAlignment="1" applyProtection="1">
      <alignment vertical="top"/>
      <protection locked="0"/>
    </xf>
    <xf numFmtId="0" fontId="80" fillId="0" borderId="132" xfId="15" applyFont="1" applyBorder="1" applyAlignment="1" applyProtection="1">
      <alignment horizontal="left" vertical="top" wrapText="1"/>
      <protection locked="0"/>
    </xf>
    <xf numFmtId="0" fontId="80" fillId="0" borderId="132" xfId="15" applyFont="1" applyBorder="1" applyAlignment="1" applyProtection="1">
      <alignment vertical="top"/>
      <protection locked="0"/>
    </xf>
    <xf numFmtId="0" fontId="80" fillId="0" borderId="0" xfId="15" applyAlignment="1">
      <alignment horizontal="center" vertical="center" wrapText="1"/>
    </xf>
    <xf numFmtId="0" fontId="80" fillId="0" borderId="0" xfId="15" applyFont="1" applyAlignment="1">
      <alignment horizontal="left" vertical="center" wrapText="1"/>
    </xf>
    <xf numFmtId="0" fontId="80" fillId="0" borderId="0" xfId="15" applyFont="1" applyAlignment="1">
      <alignment vertical="center"/>
    </xf>
    <xf numFmtId="0" fontId="80" fillId="0" borderId="0" xfId="15" applyAlignment="1">
      <alignment vertical="center"/>
    </xf>
    <xf numFmtId="0" fontId="136" fillId="0" borderId="75" xfId="15" applyFont="1" applyBorder="1" applyAlignment="1">
      <alignment horizontal="left" vertical="top"/>
    </xf>
    <xf numFmtId="0" fontId="136" fillId="0" borderId="15" xfId="15" applyFont="1" applyBorder="1" applyAlignment="1">
      <alignment horizontal="left" vertical="top"/>
    </xf>
    <xf numFmtId="0" fontId="136" fillId="0" borderId="76" xfId="15" applyFont="1" applyBorder="1" applyAlignment="1">
      <alignment horizontal="left" vertical="top"/>
    </xf>
    <xf numFmtId="0" fontId="24" fillId="0" borderId="0" xfId="2" applyNumberFormat="1" applyAlignment="1" applyProtection="1">
      <alignment vertical="center"/>
    </xf>
    <xf numFmtId="0" fontId="89" fillId="0" borderId="46" xfId="4" applyFont="1" applyFill="1" applyBorder="1" applyAlignment="1" applyProtection="1"/>
    <xf numFmtId="49" fontId="80" fillId="0" borderId="132" xfId="15" applyNumberFormat="1" applyBorder="1" applyAlignment="1" applyProtection="1">
      <alignment horizontal="center" vertical="center"/>
      <protection locked="0"/>
    </xf>
    <xf numFmtId="49" fontId="80" fillId="0" borderId="132" xfId="15" applyNumberFormat="1" applyFont="1" applyBorder="1" applyAlignment="1" applyProtection="1">
      <alignment horizontal="center" vertical="center"/>
      <protection locked="0"/>
    </xf>
    <xf numFmtId="3" fontId="89" fillId="21" borderId="31" xfId="0" applyNumberFormat="1" applyFont="1" applyFill="1" applyBorder="1" applyAlignment="1">
      <alignment horizontal="left" vertical="center" wrapText="1" indent="1"/>
    </xf>
    <xf numFmtId="49" fontId="89" fillId="21" borderId="23" xfId="0" applyNumberFormat="1" applyFont="1" applyFill="1" applyBorder="1" applyAlignment="1">
      <alignment horizontal="center" vertical="center"/>
    </xf>
    <xf numFmtId="38" fontId="84" fillId="21" borderId="23" xfId="0" applyNumberFormat="1" applyFont="1" applyFill="1" applyBorder="1" applyAlignment="1">
      <alignment horizontal="right"/>
    </xf>
    <xf numFmtId="38" fontId="84" fillId="21" borderId="2" xfId="0" applyNumberFormat="1" applyFont="1" applyFill="1" applyBorder="1" applyAlignment="1">
      <alignment horizontal="right"/>
    </xf>
    <xf numFmtId="38" fontId="84" fillId="21" borderId="18" xfId="0" applyNumberFormat="1" applyFont="1" applyFill="1" applyBorder="1" applyAlignment="1">
      <alignment horizontal="right"/>
    </xf>
    <xf numFmtId="49" fontId="89" fillId="21" borderId="31" xfId="0" applyNumberFormat="1" applyFont="1" applyFill="1" applyBorder="1" applyAlignment="1">
      <alignment horizontal="center" vertical="center"/>
    </xf>
    <xf numFmtId="38" fontId="84" fillId="21" borderId="77" xfId="0" applyNumberFormat="1" applyFont="1" applyFill="1" applyBorder="1" applyAlignment="1">
      <alignment horizontal="right"/>
    </xf>
    <xf numFmtId="49" fontId="89" fillId="21" borderId="77" xfId="0" applyNumberFormat="1" applyFont="1" applyFill="1" applyBorder="1" applyAlignment="1">
      <alignment horizontal="center" vertical="center"/>
    </xf>
    <xf numFmtId="0" fontId="89" fillId="21" borderId="25" xfId="0" applyNumberFormat="1" applyFont="1" applyFill="1" applyBorder="1" applyAlignment="1">
      <alignment horizontal="center" vertical="center"/>
    </xf>
    <xf numFmtId="38" fontId="84" fillId="21" borderId="25" xfId="0" applyNumberFormat="1" applyFont="1" applyFill="1" applyBorder="1" applyAlignment="1">
      <alignment horizontal="right"/>
    </xf>
    <xf numFmtId="0" fontId="89" fillId="21" borderId="23" xfId="0" applyFont="1" applyFill="1" applyBorder="1" applyAlignment="1">
      <alignment horizontal="center" vertical="center"/>
    </xf>
    <xf numFmtId="38" fontId="84" fillId="21" borderId="24" xfId="0" applyNumberFormat="1" applyFont="1" applyFill="1" applyBorder="1" applyAlignment="1">
      <alignment horizontal="right"/>
    </xf>
    <xf numFmtId="3" fontId="89" fillId="21" borderId="23" xfId="0" applyNumberFormat="1" applyFont="1" applyFill="1" applyBorder="1" applyAlignment="1">
      <alignment horizontal="left" vertical="center" indent="1"/>
    </xf>
    <xf numFmtId="0" fontId="89" fillId="21" borderId="23" xfId="0" applyFont="1" applyFill="1" applyBorder="1" applyAlignment="1">
      <alignment horizontal="center" vertical="top"/>
    </xf>
    <xf numFmtId="0" fontId="90" fillId="21" borderId="77" xfId="0" applyFont="1" applyFill="1" applyBorder="1" applyAlignment="1">
      <alignment horizontal="left" vertical="center" indent="1"/>
    </xf>
    <xf numFmtId="38" fontId="84" fillId="21" borderId="20" xfId="0" applyNumberFormat="1" applyFont="1" applyFill="1" applyBorder="1" applyAlignment="1">
      <alignment horizontal="right"/>
    </xf>
    <xf numFmtId="38" fontId="84" fillId="21" borderId="22" xfId="0" applyNumberFormat="1" applyFont="1" applyFill="1" applyBorder="1" applyAlignment="1">
      <alignment horizontal="right"/>
    </xf>
    <xf numFmtId="38" fontId="84" fillId="21" borderId="26" xfId="0" applyNumberFormat="1" applyFont="1" applyFill="1" applyBorder="1" applyAlignment="1">
      <alignment horizontal="right"/>
    </xf>
    <xf numFmtId="3" fontId="89" fillId="21" borderId="32" xfId="0" applyNumberFormat="1" applyFont="1" applyFill="1" applyBorder="1" applyAlignment="1">
      <alignment horizontal="left" vertical="center" wrapText="1" indent="1"/>
    </xf>
    <xf numFmtId="49" fontId="89" fillId="21" borderId="25" xfId="0" applyNumberFormat="1" applyFont="1" applyFill="1" applyBorder="1" applyAlignment="1">
      <alignment horizontal="center" vertical="center"/>
    </xf>
    <xf numFmtId="38" fontId="84" fillId="21" borderId="23" xfId="0" applyNumberFormat="1" applyFont="1" applyFill="1" applyBorder="1" applyAlignment="1" applyProtection="1">
      <alignment horizontal="right"/>
    </xf>
    <xf numFmtId="3" fontId="89" fillId="21" borderId="32" xfId="0" applyNumberFormat="1" applyFont="1" applyFill="1" applyBorder="1" applyAlignment="1">
      <alignment horizontal="left" vertical="top" wrapText="1" indent="1"/>
    </xf>
    <xf numFmtId="49" fontId="88" fillId="21" borderId="78" xfId="0" applyNumberFormat="1" applyFont="1" applyFill="1" applyBorder="1" applyAlignment="1">
      <alignment horizontal="center" vertical="top"/>
    </xf>
    <xf numFmtId="3" fontId="89" fillId="21" borderId="23" xfId="0" applyNumberFormat="1" applyFont="1" applyFill="1" applyBorder="1" applyAlignment="1">
      <alignment horizontal="left" vertical="center" wrapText="1" indent="1"/>
    </xf>
    <xf numFmtId="3" fontId="89" fillId="21" borderId="31" xfId="0" applyNumberFormat="1" applyFont="1" applyFill="1" applyBorder="1" applyAlignment="1">
      <alignment horizontal="left" vertical="top" wrapText="1" indent="1"/>
    </xf>
    <xf numFmtId="0" fontId="88" fillId="21" borderId="77" xfId="0" applyFont="1" applyFill="1" applyBorder="1" applyAlignment="1">
      <alignment vertical="top"/>
    </xf>
    <xf numFmtId="3" fontId="89" fillId="21" borderId="31" xfId="0" applyNumberFormat="1" applyFont="1" applyFill="1" applyBorder="1" applyAlignment="1">
      <alignment horizontal="left" vertical="center" indent="1"/>
    </xf>
    <xf numFmtId="0" fontId="89" fillId="21" borderId="77" xfId="0" applyFont="1" applyFill="1" applyBorder="1" applyAlignment="1">
      <alignment horizontal="center" vertical="center"/>
    </xf>
    <xf numFmtId="0" fontId="89" fillId="21" borderId="23" xfId="0" applyFont="1" applyFill="1" applyBorder="1" applyAlignment="1">
      <alignment horizontal="center" vertical="center" wrapText="1"/>
    </xf>
    <xf numFmtId="49" fontId="89" fillId="21" borderId="23" xfId="0" applyNumberFormat="1" applyFont="1" applyFill="1" applyBorder="1" applyAlignment="1">
      <alignment horizontal="center" vertical="top" wrapText="1"/>
    </xf>
    <xf numFmtId="3" fontId="89" fillId="21" borderId="31" xfId="0" applyNumberFormat="1" applyFont="1" applyFill="1" applyBorder="1" applyAlignment="1">
      <alignment horizontal="left" vertical="top" indent="1"/>
    </xf>
    <xf numFmtId="38" fontId="84" fillId="21" borderId="17" xfId="0" applyNumberFormat="1" applyFont="1" applyFill="1" applyBorder="1" applyAlignment="1">
      <alignment horizontal="right"/>
    </xf>
    <xf numFmtId="0" fontId="89" fillId="21" borderId="31" xfId="0" applyFont="1" applyFill="1" applyBorder="1" applyAlignment="1">
      <alignment horizontal="left" vertical="center" wrapText="1" indent="1"/>
    </xf>
    <xf numFmtId="49" fontId="88" fillId="21" borderId="78" xfId="0" applyNumberFormat="1" applyFont="1" applyFill="1" applyBorder="1" applyAlignment="1">
      <alignment horizontal="center" vertical="center"/>
    </xf>
    <xf numFmtId="38" fontId="84" fillId="21" borderId="24" xfId="0" applyNumberFormat="1" applyFont="1" applyFill="1" applyBorder="1" applyAlignment="1" applyProtection="1">
      <alignment horizontal="right"/>
    </xf>
    <xf numFmtId="38" fontId="84" fillId="21" borderId="25" xfId="0" applyNumberFormat="1" applyFont="1" applyFill="1" applyBorder="1" applyAlignment="1" applyProtection="1">
      <alignment horizontal="right"/>
    </xf>
    <xf numFmtId="0" fontId="88" fillId="21" borderId="77" xfId="0" applyFont="1" applyFill="1" applyBorder="1" applyAlignment="1">
      <alignment horizontal="left" vertical="top" wrapText="1" indent="1"/>
    </xf>
    <xf numFmtId="0" fontId="89" fillId="21" borderId="79" xfId="0" applyFont="1" applyFill="1" applyBorder="1" applyAlignment="1" applyProtection="1">
      <alignment horizontal="left" vertical="center" wrapText="1" indent="1"/>
    </xf>
    <xf numFmtId="0" fontId="88" fillId="21" borderId="77" xfId="0" applyFont="1" applyFill="1" applyBorder="1" applyAlignment="1" applyProtection="1">
      <alignment horizontal="left" vertical="center"/>
    </xf>
    <xf numFmtId="38" fontId="84" fillId="21" borderId="31" xfId="0" applyNumberFormat="1" applyFont="1" applyFill="1" applyBorder="1" applyAlignment="1" applyProtection="1">
      <alignment horizontal="right"/>
    </xf>
    <xf numFmtId="0" fontId="89" fillId="21" borderId="79" xfId="0" applyFont="1" applyFill="1" applyBorder="1" applyAlignment="1" applyProtection="1">
      <alignment horizontal="left" vertical="center" indent="1"/>
    </xf>
    <xf numFmtId="0" fontId="88" fillId="21" borderId="77" xfId="0" applyFont="1" applyFill="1" applyBorder="1" applyAlignment="1" applyProtection="1">
      <alignment horizontal="center" vertical="center"/>
    </xf>
    <xf numFmtId="37" fontId="84" fillId="21" borderId="31" xfId="0" applyNumberFormat="1" applyFont="1" applyFill="1" applyBorder="1" applyAlignment="1" applyProtection="1">
      <alignment horizontal="right"/>
    </xf>
    <xf numFmtId="37" fontId="84" fillId="21" borderId="23" xfId="0" applyNumberFormat="1" applyFont="1" applyFill="1" applyBorder="1" applyAlignment="1" applyProtection="1">
      <alignment horizontal="right"/>
    </xf>
    <xf numFmtId="0" fontId="88" fillId="21" borderId="77" xfId="0" applyFont="1" applyFill="1" applyBorder="1" applyAlignment="1" applyProtection="1">
      <alignment horizontal="left" vertical="center" indent="2"/>
    </xf>
    <xf numFmtId="0" fontId="89" fillId="21" borderId="66" xfId="0" applyFont="1" applyFill="1" applyBorder="1" applyAlignment="1" applyProtection="1">
      <alignment horizontal="left" vertical="top" wrapText="1" indent="1"/>
    </xf>
    <xf numFmtId="49" fontId="89" fillId="21" borderId="24" xfId="0" applyNumberFormat="1" applyFont="1" applyFill="1" applyBorder="1" applyAlignment="1">
      <alignment horizontal="center" vertical="center"/>
    </xf>
    <xf numFmtId="38" fontId="84" fillId="21" borderId="30" xfId="0" applyNumberFormat="1" applyFont="1" applyFill="1" applyBorder="1" applyAlignment="1" applyProtection="1">
      <alignment horizontal="right"/>
    </xf>
    <xf numFmtId="49" fontId="89" fillId="21" borderId="79" xfId="0" applyNumberFormat="1" applyFont="1" applyFill="1" applyBorder="1" applyAlignment="1" applyProtection="1">
      <alignment horizontal="left" vertical="top" indent="1"/>
    </xf>
    <xf numFmtId="49" fontId="89" fillId="21" borderId="23" xfId="0" applyNumberFormat="1" applyFont="1" applyFill="1" applyBorder="1" applyAlignment="1">
      <alignment horizontal="center" vertical="top"/>
    </xf>
    <xf numFmtId="38" fontId="84" fillId="21" borderId="3" xfId="0" applyNumberFormat="1" applyFont="1" applyFill="1" applyBorder="1" applyAlignment="1" applyProtection="1">
      <alignment horizontal="right"/>
    </xf>
    <xf numFmtId="49" fontId="88" fillId="21" borderId="77" xfId="0" applyNumberFormat="1" applyFont="1" applyFill="1" applyBorder="1" applyAlignment="1" applyProtection="1">
      <alignment horizontal="center" vertical="center"/>
    </xf>
    <xf numFmtId="1" fontId="88" fillId="21" borderId="77" xfId="0" applyNumberFormat="1" applyFont="1" applyFill="1" applyBorder="1" applyAlignment="1" applyProtection="1">
      <alignment horizontal="center" vertical="center"/>
    </xf>
    <xf numFmtId="38" fontId="84" fillId="21" borderId="17" xfId="0" applyNumberFormat="1" applyFont="1" applyFill="1" applyBorder="1" applyAlignment="1" applyProtection="1">
      <alignment horizontal="right"/>
    </xf>
    <xf numFmtId="38" fontId="84" fillId="21" borderId="32" xfId="0" applyNumberFormat="1" applyFont="1" applyFill="1" applyBorder="1" applyAlignment="1" applyProtection="1">
      <alignment horizontal="right"/>
    </xf>
    <xf numFmtId="0" fontId="89" fillId="21" borderId="79" xfId="0" applyFont="1" applyFill="1" applyBorder="1" applyAlignment="1" applyProtection="1">
      <alignment horizontal="left" indent="1"/>
    </xf>
    <xf numFmtId="0" fontId="88" fillId="21" borderId="77" xfId="0" applyFont="1" applyFill="1" applyBorder="1" applyAlignment="1" applyProtection="1">
      <alignment horizontal="center"/>
    </xf>
    <xf numFmtId="0" fontId="89" fillId="21" borderId="31" xfId="0" applyFont="1" applyFill="1" applyBorder="1" applyAlignment="1" applyProtection="1">
      <alignment horizontal="left" vertical="center" indent="1"/>
    </xf>
    <xf numFmtId="0" fontId="88" fillId="21" borderId="23" xfId="0" applyFont="1" applyFill="1" applyBorder="1" applyAlignment="1" applyProtection="1">
      <alignment horizontal="center" vertical="center"/>
    </xf>
    <xf numFmtId="0" fontId="89" fillId="21" borderId="77" xfId="0" applyFont="1" applyFill="1" applyBorder="1" applyAlignment="1">
      <alignment vertical="center"/>
    </xf>
    <xf numFmtId="49" fontId="89" fillId="21" borderId="24" xfId="0" applyNumberFormat="1" applyFont="1" applyFill="1" applyBorder="1" applyAlignment="1" applyProtection="1">
      <alignment horizontal="left" vertical="center" wrapText="1" indent="1"/>
    </xf>
    <xf numFmtId="49" fontId="89" fillId="21" borderId="80" xfId="0" applyNumberFormat="1" applyFont="1" applyFill="1" applyBorder="1" applyAlignment="1">
      <alignment horizontal="center" vertical="center"/>
    </xf>
    <xf numFmtId="0" fontId="89" fillId="21" borderId="66" xfId="0" applyFont="1" applyFill="1" applyBorder="1" applyAlignment="1" applyProtection="1">
      <alignment horizontal="left" wrapText="1" indent="1"/>
    </xf>
    <xf numFmtId="0" fontId="88" fillId="21" borderId="80" xfId="0" applyFont="1" applyFill="1" applyBorder="1" applyAlignment="1" applyProtection="1">
      <alignment horizontal="left" indent="2"/>
    </xf>
    <xf numFmtId="176" fontId="90" fillId="21" borderId="2" xfId="0" applyNumberFormat="1" applyFont="1" applyFill="1" applyBorder="1" applyAlignment="1" applyProtection="1">
      <alignment vertical="center"/>
    </xf>
    <xf numFmtId="38" fontId="90" fillId="21" borderId="2" xfId="0" applyNumberFormat="1" applyFont="1" applyFill="1" applyBorder="1" applyAlignment="1" applyProtection="1">
      <alignment horizontal="right" vertical="center"/>
    </xf>
    <xf numFmtId="38" fontId="90" fillId="21" borderId="2" xfId="0" applyNumberFormat="1" applyFont="1" applyFill="1" applyBorder="1" applyAlignment="1" applyProtection="1">
      <alignment vertical="center"/>
    </xf>
    <xf numFmtId="37" fontId="90" fillId="21" borderId="21" xfId="17" applyNumberFormat="1" applyFont="1" applyFill="1" applyBorder="1" applyAlignment="1" applyProtection="1">
      <alignment horizontal="right"/>
    </xf>
    <xf numFmtId="0" fontId="89" fillId="21" borderId="79" xfId="0" applyFont="1" applyFill="1" applyBorder="1" applyAlignment="1" applyProtection="1">
      <alignment horizontal="left" vertical="center" indent="2"/>
    </xf>
    <xf numFmtId="38" fontId="84" fillId="21" borderId="77" xfId="0" applyNumberFormat="1" applyFont="1" applyFill="1" applyBorder="1" applyAlignment="1" applyProtection="1">
      <alignment horizontal="right"/>
    </xf>
    <xf numFmtId="0" fontId="89" fillId="21" borderId="8" xfId="0" applyFont="1" applyFill="1" applyBorder="1" applyAlignment="1" applyProtection="1">
      <alignment horizontal="left" vertical="center" indent="2"/>
    </xf>
    <xf numFmtId="0" fontId="89" fillId="21" borderId="19" xfId="0" applyFont="1" applyFill="1" applyBorder="1" applyAlignment="1" applyProtection="1">
      <alignment horizontal="center" vertical="center"/>
    </xf>
    <xf numFmtId="38" fontId="84" fillId="21" borderId="20" xfId="0" applyNumberFormat="1" applyFont="1" applyFill="1" applyBorder="1" applyAlignment="1" applyProtection="1">
      <alignment horizontal="right"/>
    </xf>
    <xf numFmtId="0" fontId="89" fillId="21" borderId="77" xfId="0" applyFont="1" applyFill="1" applyBorder="1" applyAlignment="1" applyProtection="1">
      <alignment horizontal="center" vertical="center"/>
    </xf>
    <xf numFmtId="38" fontId="84" fillId="21" borderId="18" xfId="0" applyNumberFormat="1" applyFont="1" applyFill="1" applyBorder="1" applyAlignment="1" applyProtection="1">
      <alignment horizontal="right"/>
    </xf>
    <xf numFmtId="38" fontId="84" fillId="21" borderId="2" xfId="0" applyNumberFormat="1" applyFont="1" applyFill="1" applyBorder="1" applyAlignment="1" applyProtection="1">
      <alignment horizontal="right"/>
    </xf>
    <xf numFmtId="0" fontId="98" fillId="21" borderId="8" xfId="0" applyFont="1" applyFill="1" applyBorder="1" applyAlignment="1" applyProtection="1">
      <alignment horizontal="left" vertical="center" indent="1"/>
    </xf>
    <xf numFmtId="0" fontId="88" fillId="21" borderId="18" xfId="0" applyFont="1" applyFill="1" applyBorder="1" applyAlignment="1" applyProtection="1">
      <alignment horizontal="center"/>
    </xf>
    <xf numFmtId="38" fontId="84" fillId="21" borderId="22" xfId="0" applyNumberFormat="1" applyFont="1" applyFill="1" applyBorder="1" applyAlignment="1" applyProtection="1">
      <alignment horizontal="right"/>
    </xf>
    <xf numFmtId="38" fontId="84" fillId="21" borderId="7" xfId="0" applyNumberFormat="1" applyFont="1" applyFill="1" applyBorder="1" applyAlignment="1" applyProtection="1">
      <alignment horizontal="right"/>
    </xf>
    <xf numFmtId="38" fontId="84" fillId="21" borderId="0" xfId="0" applyNumberFormat="1" applyFont="1" applyFill="1" applyAlignment="1" applyProtection="1">
      <alignment horizontal="right"/>
    </xf>
    <xf numFmtId="38" fontId="84" fillId="21" borderId="18" xfId="0" applyNumberFormat="1" applyFont="1" applyFill="1" applyBorder="1" applyAlignment="1" applyProtection="1">
      <alignment horizontal="right" vertical="center"/>
      <protection locked="0"/>
    </xf>
    <xf numFmtId="38" fontId="84" fillId="21" borderId="2" xfId="0" applyNumberFormat="1" applyFont="1" applyFill="1" applyBorder="1" applyAlignment="1" applyProtection="1">
      <alignment horizontal="right" vertical="center"/>
      <protection locked="0"/>
    </xf>
    <xf numFmtId="38" fontId="84" fillId="21" borderId="23" xfId="0" applyNumberFormat="1" applyFont="1" applyFill="1" applyBorder="1" applyAlignment="1" applyProtection="1">
      <alignment horizontal="right" vertical="center"/>
      <protection locked="0"/>
    </xf>
    <xf numFmtId="38" fontId="84" fillId="21" borderId="18" xfId="0" applyNumberFormat="1" applyFont="1" applyFill="1" applyBorder="1" applyAlignment="1" applyProtection="1">
      <alignment horizontal="right" vertical="center"/>
    </xf>
    <xf numFmtId="38" fontId="84" fillId="21" borderId="2" xfId="0" applyNumberFormat="1" applyFont="1" applyFill="1" applyBorder="1" applyAlignment="1" applyProtection="1">
      <alignment horizontal="right" vertical="center"/>
    </xf>
    <xf numFmtId="0" fontId="89" fillId="21" borderId="23" xfId="0" applyFont="1" applyFill="1" applyBorder="1" applyAlignment="1">
      <alignment horizontal="left" vertical="center" wrapText="1" indent="1"/>
    </xf>
    <xf numFmtId="38" fontId="84" fillId="21" borderId="23" xfId="0" applyNumberFormat="1" applyFont="1" applyFill="1" applyBorder="1" applyAlignment="1" applyProtection="1">
      <alignment horizontal="right" vertical="center"/>
    </xf>
    <xf numFmtId="38" fontId="84" fillId="21" borderId="2" xfId="21" applyNumberFormat="1" applyFont="1" applyFill="1" applyBorder="1" applyAlignment="1" applyProtection="1">
      <alignment horizontal="right"/>
    </xf>
    <xf numFmtId="49" fontId="88" fillId="21" borderId="81" xfId="0" applyNumberFormat="1" applyFont="1" applyFill="1" applyBorder="1" applyAlignment="1" applyProtection="1">
      <alignment horizontal="center" vertical="center"/>
    </xf>
    <xf numFmtId="38" fontId="84" fillId="21" borderId="81" xfId="0" applyNumberFormat="1" applyFont="1" applyFill="1" applyBorder="1" applyAlignment="1" applyProtection="1">
      <alignment vertical="center"/>
    </xf>
    <xf numFmtId="49" fontId="88" fillId="21" borderId="35" xfId="0" applyNumberFormat="1" applyFont="1" applyFill="1" applyBorder="1" applyAlignment="1" applyProtection="1">
      <alignment horizontal="center" vertical="center"/>
    </xf>
    <xf numFmtId="38" fontId="84" fillId="21" borderId="81" xfId="0" applyNumberFormat="1" applyFont="1" applyFill="1" applyBorder="1" applyAlignment="1" applyProtection="1">
      <alignment horizontal="right" vertical="center"/>
    </xf>
    <xf numFmtId="49" fontId="88" fillId="21" borderId="35" xfId="0" applyNumberFormat="1" applyFont="1" applyFill="1" applyBorder="1" applyAlignment="1" applyProtection="1">
      <alignment horizontal="left" vertical="center" indent="2"/>
    </xf>
    <xf numFmtId="0" fontId="90" fillId="21" borderId="35" xfId="0" applyFont="1" applyFill="1" applyBorder="1" applyAlignment="1">
      <alignment horizontal="left" indent="2"/>
    </xf>
    <xf numFmtId="38" fontId="84" fillId="21" borderId="82" xfId="0" applyNumberFormat="1" applyFont="1" applyFill="1" applyBorder="1" applyAlignment="1" applyProtection="1"/>
    <xf numFmtId="38" fontId="84" fillId="21" borderId="81" xfId="0" applyNumberFormat="1" applyFont="1" applyFill="1" applyBorder="1" applyAlignment="1" applyProtection="1">
      <alignment horizontal="right"/>
    </xf>
    <xf numFmtId="0" fontId="89" fillId="21" borderId="83" xfId="0" applyFont="1" applyFill="1" applyBorder="1" applyAlignment="1" applyProtection="1">
      <alignment horizontal="left" vertical="center" indent="2"/>
    </xf>
    <xf numFmtId="0" fontId="89" fillId="21" borderId="81" xfId="0" applyFont="1" applyFill="1" applyBorder="1" applyAlignment="1" applyProtection="1">
      <alignment horizontal="center" vertical="center"/>
    </xf>
    <xf numFmtId="0" fontId="89" fillId="21" borderId="81" xfId="0" applyFont="1" applyFill="1" applyBorder="1" applyAlignment="1" applyProtection="1">
      <alignment horizontal="left" vertical="center" indent="1"/>
    </xf>
    <xf numFmtId="0" fontId="90" fillId="21" borderId="81" xfId="0" applyFont="1" applyFill="1" applyBorder="1" applyAlignment="1" applyProtection="1">
      <alignment vertical="center"/>
    </xf>
    <xf numFmtId="38" fontId="84" fillId="21" borderId="11" xfId="0" applyNumberFormat="1" applyFont="1" applyFill="1" applyBorder="1" applyAlignment="1" applyProtection="1">
      <alignment horizontal="right" vertical="center"/>
    </xf>
    <xf numFmtId="0" fontId="88" fillId="21" borderId="0" xfId="22" applyFont="1" applyFill="1" applyAlignment="1">
      <alignment vertical="center"/>
    </xf>
    <xf numFmtId="0" fontId="88" fillId="21" borderId="0" xfId="22" applyFont="1" applyFill="1" applyAlignment="1">
      <alignment horizontal="center" vertical="center"/>
    </xf>
    <xf numFmtId="0" fontId="88" fillId="21" borderId="0" xfId="22" applyFont="1" applyFill="1" applyAlignment="1">
      <alignment horizontal="right" vertical="center"/>
    </xf>
    <xf numFmtId="0" fontId="89" fillId="21" borderId="0" xfId="22" applyFont="1" applyFill="1" applyAlignment="1">
      <alignment horizontal="right" vertical="center" indent="3"/>
    </xf>
    <xf numFmtId="0" fontId="88" fillId="21" borderId="0" xfId="22" applyFont="1" applyFill="1" applyBorder="1" applyAlignment="1">
      <alignment horizontal="right" vertical="center"/>
    </xf>
    <xf numFmtId="3" fontId="89" fillId="21" borderId="84" xfId="22" applyNumberFormat="1" applyFont="1" applyFill="1" applyBorder="1" applyAlignment="1" applyProtection="1">
      <alignment vertical="center"/>
    </xf>
    <xf numFmtId="0" fontId="88" fillId="21" borderId="0" xfId="22" applyFont="1" applyFill="1" applyAlignment="1">
      <alignment horizontal="left" vertical="center"/>
    </xf>
    <xf numFmtId="0" fontId="89" fillId="21" borderId="0" xfId="22" applyFont="1" applyFill="1" applyAlignment="1">
      <alignment horizontal="right" vertical="center"/>
    </xf>
    <xf numFmtId="38" fontId="89" fillId="21" borderId="12" xfId="22" applyNumberFormat="1" applyFont="1" applyFill="1" applyBorder="1" applyAlignment="1">
      <alignment horizontal="right"/>
    </xf>
    <xf numFmtId="0" fontId="88" fillId="21" borderId="0" xfId="22" quotePrefix="1" applyFont="1" applyFill="1" applyAlignment="1">
      <alignment horizontal="left" vertical="center"/>
    </xf>
    <xf numFmtId="38" fontId="88" fillId="21" borderId="85" xfId="22" applyNumberFormat="1" applyFont="1" applyFill="1" applyBorder="1" applyAlignment="1" applyProtection="1">
      <alignment horizontal="right"/>
    </xf>
    <xf numFmtId="0" fontId="88" fillId="21" borderId="0" xfId="23" quotePrefix="1" applyFont="1" applyFill="1" applyAlignment="1">
      <alignment horizontal="left" vertical="center"/>
    </xf>
    <xf numFmtId="0" fontId="89" fillId="21" borderId="0" xfId="22" quotePrefix="1" applyFont="1" applyFill="1" applyAlignment="1">
      <alignment horizontal="left" vertical="center"/>
    </xf>
    <xf numFmtId="40" fontId="89" fillId="21" borderId="12" xfId="22" applyNumberFormat="1" applyFont="1" applyFill="1" applyBorder="1" applyAlignment="1" applyProtection="1">
      <alignment horizontal="right"/>
    </xf>
    <xf numFmtId="0" fontId="88" fillId="21" borderId="0" xfId="23" applyFont="1" applyFill="1" applyAlignment="1">
      <alignment horizontal="left" vertical="center"/>
    </xf>
    <xf numFmtId="0" fontId="88" fillId="21" borderId="0" xfId="23" applyFont="1" applyFill="1" applyAlignment="1">
      <alignment horizontal="right" vertical="center"/>
    </xf>
    <xf numFmtId="0" fontId="89" fillId="21" borderId="0" xfId="23" applyFont="1" applyFill="1" applyAlignment="1">
      <alignment horizontal="right" vertical="center"/>
    </xf>
    <xf numFmtId="0" fontId="88" fillId="21" borderId="0" xfId="23" applyFont="1" applyFill="1" applyBorder="1" applyAlignment="1">
      <alignment horizontal="right" vertical="center"/>
    </xf>
    <xf numFmtId="38" fontId="89" fillId="21" borderId="34" xfId="23" applyNumberFormat="1" applyFont="1" applyFill="1" applyBorder="1" applyAlignment="1" applyProtection="1">
      <alignment horizontal="right"/>
    </xf>
    <xf numFmtId="38" fontId="88" fillId="21" borderId="39" xfId="23" applyNumberFormat="1" applyFont="1" applyFill="1" applyBorder="1" applyAlignment="1" applyProtection="1">
      <alignment horizontal="right"/>
    </xf>
    <xf numFmtId="0" fontId="88" fillId="21" borderId="0" xfId="23" applyFont="1" applyFill="1" applyAlignment="1">
      <alignment vertical="center"/>
    </xf>
    <xf numFmtId="40" fontId="88" fillId="21" borderId="34" xfId="23" applyNumberFormat="1" applyFont="1" applyFill="1" applyBorder="1" applyAlignment="1" applyProtection="1">
      <alignment horizontal="right"/>
    </xf>
    <xf numFmtId="40" fontId="89" fillId="21" borderId="84" xfId="23" applyNumberFormat="1" applyFont="1" applyFill="1" applyBorder="1" applyAlignment="1" applyProtection="1">
      <alignment horizontal="right"/>
    </xf>
    <xf numFmtId="38" fontId="80" fillId="21" borderId="72" xfId="15" applyNumberFormat="1" applyFill="1" applyBorder="1" applyAlignment="1" applyProtection="1">
      <alignment horizontal="right" vertical="top"/>
    </xf>
    <xf numFmtId="38" fontId="80" fillId="21" borderId="72" xfId="15" applyNumberFormat="1" applyFill="1" applyBorder="1" applyAlignment="1" applyProtection="1">
      <alignment vertical="top"/>
    </xf>
    <xf numFmtId="0" fontId="80" fillId="21" borderId="72" xfId="15" applyFill="1" applyBorder="1" applyAlignment="1" applyProtection="1">
      <alignment horizontal="left" vertical="top" wrapText="1"/>
    </xf>
    <xf numFmtId="49" fontId="80" fillId="21" borderId="72" xfId="15" applyNumberFormat="1" applyFill="1" applyBorder="1" applyAlignment="1" applyProtection="1">
      <alignment vertical="top"/>
    </xf>
    <xf numFmtId="0" fontId="80" fillId="21" borderId="72" xfId="15" applyFill="1" applyBorder="1" applyAlignment="1" applyProtection="1">
      <alignment vertical="top"/>
    </xf>
    <xf numFmtId="0" fontId="84" fillId="21" borderId="10" xfId="0" applyFont="1" applyFill="1" applyBorder="1"/>
    <xf numFmtId="37" fontId="84" fillId="21" borderId="10" xfId="0" applyNumberFormat="1" applyFont="1" applyFill="1" applyBorder="1"/>
    <xf numFmtId="37" fontId="84" fillId="21" borderId="8" xfId="0" applyNumberFormat="1" applyFont="1" applyFill="1" applyBorder="1"/>
    <xf numFmtId="0" fontId="84" fillId="21" borderId="19" xfId="0" applyFont="1" applyFill="1" applyBorder="1"/>
    <xf numFmtId="0" fontId="84" fillId="21" borderId="14" xfId="0" applyFont="1" applyFill="1" applyBorder="1"/>
    <xf numFmtId="37" fontId="84" fillId="21" borderId="19" xfId="0" applyNumberFormat="1" applyFont="1" applyFill="1" applyBorder="1"/>
    <xf numFmtId="37" fontId="84" fillId="21" borderId="14" xfId="0" applyNumberFormat="1" applyFont="1" applyFill="1" applyBorder="1"/>
    <xf numFmtId="38" fontId="84" fillId="21" borderId="19" xfId="0" applyNumberFormat="1" applyFont="1" applyFill="1" applyBorder="1"/>
    <xf numFmtId="0" fontId="88" fillId="21" borderId="0" xfId="0" applyFont="1" applyFill="1" applyBorder="1" applyAlignment="1">
      <alignment horizontal="right"/>
    </xf>
    <xf numFmtId="38" fontId="84" fillId="21" borderId="7" xfId="0" applyNumberFormat="1" applyFont="1" applyFill="1" applyBorder="1"/>
    <xf numFmtId="0" fontId="84" fillId="21" borderId="21" xfId="0" applyFont="1" applyFill="1" applyBorder="1" applyAlignment="1">
      <alignment horizontal="right"/>
    </xf>
    <xf numFmtId="10" fontId="83" fillId="21" borderId="19" xfId="0" applyNumberFormat="1" applyFont="1" applyFill="1" applyBorder="1" applyAlignment="1">
      <alignment horizontal="left" indent="2"/>
    </xf>
    <xf numFmtId="38" fontId="84" fillId="21" borderId="2" xfId="4" applyNumberFormat="1" applyFont="1" applyFill="1" applyBorder="1" applyAlignment="1">
      <alignment vertical="center"/>
    </xf>
    <xf numFmtId="38" fontId="84" fillId="21" borderId="2" xfId="4" applyNumberFormat="1" applyFont="1" applyFill="1" applyBorder="1" applyAlignment="1" applyProtection="1">
      <alignment vertical="center"/>
    </xf>
    <xf numFmtId="38" fontId="84" fillId="21" borderId="23" xfId="4" applyNumberFormat="1" applyFont="1" applyFill="1" applyBorder="1" applyAlignment="1">
      <alignment vertical="center"/>
    </xf>
    <xf numFmtId="9" fontId="84" fillId="21" borderId="18" xfId="4" applyNumberFormat="1" applyFont="1" applyFill="1" applyBorder="1" applyAlignment="1">
      <alignment horizontal="center" vertical="center"/>
    </xf>
    <xf numFmtId="38" fontId="84" fillId="21" borderId="11" xfId="4" applyNumberFormat="1" applyFont="1" applyFill="1" applyBorder="1" applyAlignment="1">
      <alignment horizontal="right" vertical="center"/>
    </xf>
    <xf numFmtId="38" fontId="84" fillId="21" borderId="81" xfId="4" applyNumberFormat="1" applyFont="1" applyFill="1" applyBorder="1" applyAlignment="1">
      <alignment horizontal="right" vertical="center"/>
    </xf>
    <xf numFmtId="38" fontId="84" fillId="21" borderId="86" xfId="4" applyNumberFormat="1" applyFont="1" applyFill="1" applyBorder="1" applyAlignment="1">
      <alignment horizontal="right" vertical="center"/>
    </xf>
    <xf numFmtId="38" fontId="83" fillId="21" borderId="86" xfId="4" applyNumberFormat="1" applyFont="1" applyFill="1" applyBorder="1" applyAlignment="1">
      <alignment horizontal="right" vertical="center"/>
    </xf>
    <xf numFmtId="38" fontId="84" fillId="21" borderId="82" xfId="4" applyNumberFormat="1" applyFont="1" applyFill="1" applyBorder="1" applyAlignment="1">
      <alignment horizontal="right" vertical="center"/>
    </xf>
    <xf numFmtId="38" fontId="83" fillId="21" borderId="82" xfId="4" applyNumberFormat="1" applyFont="1" applyFill="1" applyBorder="1" applyAlignment="1">
      <alignment horizontal="right" vertical="center"/>
    </xf>
    <xf numFmtId="38" fontId="84" fillId="21" borderId="18" xfId="0" applyNumberFormat="1" applyFont="1" applyFill="1" applyBorder="1" applyAlignment="1" applyProtection="1">
      <alignment horizontal="right"/>
    </xf>
    <xf numFmtId="0" fontId="89" fillId="15" borderId="6" xfId="0" applyFont="1" applyFill="1" applyBorder="1" applyAlignment="1">
      <alignment horizontal="left" vertical="center" wrapText="1"/>
    </xf>
    <xf numFmtId="49" fontId="89" fillId="15" borderId="20" xfId="0" applyNumberFormat="1" applyFont="1" applyFill="1" applyBorder="1" applyAlignment="1">
      <alignment horizontal="center" vertical="center"/>
    </xf>
    <xf numFmtId="38" fontId="84" fillId="15" borderId="20" xfId="0" applyNumberFormat="1" applyFont="1" applyFill="1" applyBorder="1" applyAlignment="1">
      <alignment horizontal="right"/>
    </xf>
    <xf numFmtId="38" fontId="84" fillId="15" borderId="17" xfId="0" applyNumberFormat="1" applyFont="1" applyFill="1" applyBorder="1" applyAlignment="1">
      <alignment horizontal="right"/>
    </xf>
    <xf numFmtId="0" fontId="89" fillId="0" borderId="21" xfId="0" applyFont="1" applyFill="1" applyBorder="1" applyAlignment="1">
      <alignment horizontal="left" vertical="center" wrapText="1"/>
    </xf>
    <xf numFmtId="49" fontId="89" fillId="0" borderId="2" xfId="0" applyNumberFormat="1" applyFont="1" applyFill="1" applyBorder="1" applyAlignment="1">
      <alignment horizontal="center" vertical="center"/>
    </xf>
    <xf numFmtId="0" fontId="89" fillId="21" borderId="21" xfId="0" applyFont="1" applyFill="1" applyBorder="1" applyAlignment="1">
      <alignment horizontal="left" vertical="center" wrapText="1"/>
    </xf>
    <xf numFmtId="49" fontId="89" fillId="21" borderId="2" xfId="0" applyNumberFormat="1" applyFont="1" applyFill="1" applyBorder="1" applyAlignment="1">
      <alignment horizontal="center" vertical="center"/>
    </xf>
    <xf numFmtId="3" fontId="88" fillId="0" borderId="21" xfId="0" applyNumberFormat="1" applyFont="1" applyFill="1" applyBorder="1" applyAlignment="1">
      <alignment horizontal="left" vertical="center" wrapText="1" indent="1"/>
    </xf>
    <xf numFmtId="0" fontId="89" fillId="0" borderId="27" xfId="0" applyFont="1" applyFill="1" applyBorder="1" applyAlignment="1">
      <alignment horizontal="left" vertical="center" wrapText="1" indent="1"/>
    </xf>
    <xf numFmtId="0" fontId="89" fillId="0" borderId="21" xfId="0" applyFont="1" applyFill="1" applyBorder="1" applyAlignment="1">
      <alignment horizontal="left" vertical="center" wrapText="1" indent="1"/>
    </xf>
    <xf numFmtId="38" fontId="84" fillId="22" borderId="20" xfId="0" applyNumberFormat="1" applyFont="1" applyFill="1" applyBorder="1" applyAlignment="1">
      <alignment horizontal="right"/>
    </xf>
    <xf numFmtId="3" fontId="88" fillId="0" borderId="3" xfId="0" applyNumberFormat="1" applyFont="1" applyBorder="1" applyAlignment="1">
      <alignment horizontal="left" vertical="top" wrapText="1" indent="1"/>
    </xf>
    <xf numFmtId="38" fontId="84" fillId="21"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49" fontId="80" fillId="0" borderId="132" xfId="15" applyNumberFormat="1" applyFont="1" applyBorder="1" applyAlignment="1" applyProtection="1">
      <alignment horizontal="center" vertical="center"/>
      <protection locked="0"/>
    </xf>
    <xf numFmtId="14" fontId="90" fillId="0" borderId="0" xfId="0" applyNumberFormat="1" applyFont="1" applyBorder="1" applyAlignment="1" applyProtection="1">
      <alignment vertical="center"/>
      <protection locked="0"/>
    </xf>
    <xf numFmtId="0" fontId="98" fillId="0" borderId="0" xfId="4" applyFont="1" applyBorder="1" applyAlignment="1" applyProtection="1">
      <alignment horizontal="center" vertical="top"/>
    </xf>
    <xf numFmtId="0" fontId="90" fillId="0" borderId="138" xfId="4" applyFont="1" applyBorder="1" applyProtection="1"/>
    <xf numFmtId="49" fontId="88" fillId="0" borderId="19" xfId="0" applyNumberFormat="1" applyFont="1" applyFill="1" applyBorder="1" applyAlignment="1" applyProtection="1">
      <alignment horizontal="center" vertical="center"/>
    </xf>
    <xf numFmtId="38" fontId="84" fillId="15" borderId="17" xfId="0" applyNumberFormat="1" applyFont="1" applyFill="1" applyBorder="1" applyAlignment="1" applyProtection="1">
      <alignment horizontal="right"/>
    </xf>
    <xf numFmtId="38" fontId="84" fillId="15" borderId="20" xfId="0" applyNumberFormat="1" applyFont="1" applyFill="1" applyBorder="1" applyAlignment="1" applyProtection="1">
      <alignment horizontal="right"/>
    </xf>
    <xf numFmtId="38" fontId="80" fillId="0" borderId="132" xfId="15" applyNumberFormat="1" applyBorder="1" applyAlignment="1" applyProtection="1">
      <alignment horizontal="right" vertical="top"/>
      <protection locked="0"/>
    </xf>
    <xf numFmtId="0" fontId="88" fillId="0" borderId="0" xfId="4" applyFont="1" applyBorder="1" applyAlignment="1" applyProtection="1">
      <alignment horizontal="left" vertical="top" wrapText="1"/>
    </xf>
    <xf numFmtId="0" fontId="83" fillId="0" borderId="0" xfId="4" applyFont="1" applyAlignment="1" applyProtection="1">
      <alignment horizontal="center"/>
    </xf>
    <xf numFmtId="0" fontId="138" fillId="0" borderId="0" xfId="7" applyFont="1"/>
    <xf numFmtId="0" fontId="139" fillId="19" borderId="0" xfId="7" applyFont="1" applyFill="1" applyAlignment="1">
      <alignment horizontal="centerContinuous" vertical="center"/>
    </xf>
    <xf numFmtId="0" fontId="138" fillId="19" borderId="0" xfId="7" applyFont="1" applyFill="1" applyAlignment="1">
      <alignment horizontal="centerContinuous"/>
    </xf>
    <xf numFmtId="0" fontId="113" fillId="0" borderId="139" xfId="7" applyFont="1" applyFill="1" applyBorder="1" applyAlignment="1">
      <alignment horizontal="center" vertical="top" wrapText="1"/>
    </xf>
    <xf numFmtId="0" fontId="113" fillId="0" borderId="0" xfId="7" applyFont="1" applyFill="1" applyBorder="1" applyAlignment="1">
      <alignment horizontal="center" vertical="top" wrapText="1"/>
    </xf>
    <xf numFmtId="0" fontId="80" fillId="0" borderId="0" xfId="7" applyFont="1" applyAlignment="1">
      <alignment wrapText="1"/>
    </xf>
    <xf numFmtId="0" fontId="140" fillId="0" borderId="87" xfId="7" applyFont="1" applyFill="1" applyBorder="1" applyAlignment="1" applyProtection="1">
      <alignment horizontal="center" vertical="center"/>
      <protection locked="0"/>
    </xf>
    <xf numFmtId="0" fontId="141" fillId="0" borderId="0" xfId="7" applyNumberFormat="1" applyFont="1"/>
    <xf numFmtId="0" fontId="104" fillId="0" borderId="140" xfId="7" applyFont="1" applyBorder="1" applyAlignment="1">
      <alignment horizontal="left" vertical="center" wrapText="1"/>
    </xf>
    <xf numFmtId="0" fontId="104" fillId="0" borderId="141" xfId="7" applyFont="1" applyBorder="1" applyAlignment="1">
      <alignment horizontal="left" vertical="center" wrapText="1"/>
    </xf>
    <xf numFmtId="49" fontId="135" fillId="0" borderId="142" xfId="7" applyNumberFormat="1" applyFont="1" applyBorder="1" applyAlignment="1" applyProtection="1">
      <alignment horizontal="center" vertical="center"/>
      <protection locked="0"/>
    </xf>
    <xf numFmtId="0" fontId="135" fillId="0" borderId="142" xfId="7" applyFont="1" applyFill="1" applyBorder="1" applyAlignment="1" applyProtection="1">
      <alignment horizontal="center" vertical="center" wrapText="1"/>
      <protection locked="0"/>
    </xf>
    <xf numFmtId="0" fontId="138" fillId="0" borderId="142" xfId="7" applyFont="1" applyFill="1" applyBorder="1"/>
    <xf numFmtId="0" fontId="142" fillId="0" borderId="135" xfId="7" applyFont="1" applyBorder="1" applyAlignment="1">
      <alignment horizontal="left" vertical="center" wrapText="1"/>
    </xf>
    <xf numFmtId="0" fontId="142" fillId="0" borderId="136" xfId="7" applyFont="1" applyBorder="1" applyAlignment="1">
      <alignment horizontal="left" vertical="center" wrapText="1"/>
    </xf>
    <xf numFmtId="49" fontId="142" fillId="10" borderId="142" xfId="7" applyNumberFormat="1" applyFont="1" applyFill="1" applyBorder="1" applyAlignment="1">
      <alignment horizontal="center" vertical="center"/>
    </xf>
    <xf numFmtId="0" fontId="104" fillId="0" borderId="140" xfId="7" applyFont="1" applyFill="1" applyBorder="1" applyAlignment="1">
      <alignment horizontal="left" vertical="center" wrapText="1"/>
    </xf>
    <xf numFmtId="0" fontId="104" fillId="0" borderId="134" xfId="7" applyFont="1" applyFill="1" applyBorder="1" applyAlignment="1">
      <alignment horizontal="left" vertical="center" wrapText="1"/>
    </xf>
    <xf numFmtId="49" fontId="143" fillId="0" borderId="137" xfId="7" applyNumberFormat="1" applyFont="1" applyBorder="1" applyAlignment="1" applyProtection="1">
      <alignment horizontal="center" vertical="center"/>
      <protection locked="0"/>
    </xf>
    <xf numFmtId="49" fontId="143" fillId="0" borderId="143" xfId="7" applyNumberFormat="1" applyFont="1" applyFill="1" applyBorder="1" applyAlignment="1" applyProtection="1">
      <alignment horizontal="center" vertical="center"/>
      <protection locked="0"/>
    </xf>
    <xf numFmtId="0" fontId="138" fillId="0" borderId="137" xfId="7" applyFont="1" applyBorder="1" applyProtection="1">
      <protection locked="0"/>
    </xf>
    <xf numFmtId="49" fontId="143" fillId="0" borderId="140" xfId="7" applyNumberFormat="1" applyFont="1" applyFill="1" applyBorder="1" applyAlignment="1" applyProtection="1">
      <alignment horizontal="center" vertical="center"/>
      <protection locked="0"/>
    </xf>
    <xf numFmtId="0" fontId="138" fillId="0" borderId="0" xfId="7" applyFont="1" applyProtection="1"/>
    <xf numFmtId="0" fontId="80" fillId="0" borderId="0" xfId="7" applyFont="1"/>
    <xf numFmtId="0" fontId="144" fillId="0" borderId="67" xfId="7" applyFont="1" applyBorder="1" applyAlignment="1">
      <alignment vertical="top"/>
    </xf>
    <xf numFmtId="0" fontId="144" fillId="0" borderId="68" xfId="7" applyFont="1" applyBorder="1" applyAlignment="1">
      <alignment vertical="top"/>
    </xf>
    <xf numFmtId="0" fontId="103" fillId="15" borderId="57" xfId="7" applyFont="1" applyFill="1" applyBorder="1" applyAlignment="1">
      <alignment vertical="top"/>
    </xf>
    <xf numFmtId="0" fontId="144" fillId="0" borderId="67" xfId="7" applyFont="1" applyBorder="1" applyAlignment="1">
      <alignment vertical="top" wrapText="1"/>
    </xf>
    <xf numFmtId="0" fontId="144" fillId="0" borderId="68" xfId="7" applyFont="1" applyBorder="1" applyAlignment="1">
      <alignment vertical="top" wrapText="1"/>
    </xf>
    <xf numFmtId="0" fontId="138" fillId="0" borderId="0" xfId="7" applyFont="1" applyAlignment="1">
      <alignment horizontal="left" vertical="center" wrapText="1"/>
    </xf>
    <xf numFmtId="0" fontId="138" fillId="0" borderId="0" xfId="7" applyFont="1" applyFill="1" applyBorder="1"/>
    <xf numFmtId="0" fontId="141" fillId="0" borderId="0" xfId="7" applyFont="1"/>
    <xf numFmtId="0" fontId="145" fillId="0" borderId="0" xfId="7" applyFont="1"/>
    <xf numFmtId="0" fontId="99" fillId="23" borderId="38" xfId="0" applyFont="1" applyFill="1" applyBorder="1" applyAlignment="1" applyProtection="1">
      <alignment horizontal="left" vertical="center"/>
    </xf>
    <xf numFmtId="0" fontId="89" fillId="23" borderId="39" xfId="0" applyFont="1" applyFill="1" applyBorder="1" applyAlignment="1" applyProtection="1">
      <alignment horizontal="left" vertical="center"/>
    </xf>
    <xf numFmtId="0" fontId="88" fillId="23" borderId="35" xfId="0" applyFont="1" applyFill="1" applyBorder="1" applyAlignment="1" applyProtection="1">
      <alignment horizontal="left" vertical="center" indent="2"/>
    </xf>
    <xf numFmtId="0" fontId="99" fillId="23" borderId="2" xfId="0" applyFont="1" applyFill="1" applyBorder="1" applyAlignment="1">
      <alignment horizontal="center" vertical="center"/>
    </xf>
    <xf numFmtId="49" fontId="89" fillId="0" borderId="2" xfId="0" applyNumberFormat="1" applyFont="1" applyFill="1" applyBorder="1" applyAlignment="1" applyProtection="1">
      <alignment horizontal="center" vertical="top" wrapText="1"/>
    </xf>
    <xf numFmtId="49" fontId="89" fillId="0" borderId="2" xfId="21" applyNumberFormat="1" applyFont="1" applyFill="1" applyBorder="1" applyAlignment="1">
      <alignment horizontal="center" vertical="top" wrapText="1"/>
    </xf>
    <xf numFmtId="49" fontId="89" fillId="7" borderId="2" xfId="21" applyNumberFormat="1" applyFont="1" applyFill="1" applyBorder="1" applyAlignment="1" applyProtection="1">
      <alignment horizontal="center" vertical="top" wrapText="1"/>
    </xf>
    <xf numFmtId="0" fontId="138" fillId="19" borderId="0" xfId="7" applyFont="1" applyFill="1" applyAlignment="1">
      <alignment horizontal="centerContinuous" vertical="center"/>
    </xf>
    <xf numFmtId="0" fontId="142" fillId="19" borderId="144" xfId="7" applyFont="1" applyFill="1" applyBorder="1" applyAlignment="1">
      <alignment horizontal="center" vertical="center" wrapText="1"/>
    </xf>
    <xf numFmtId="0" fontId="142" fillId="19" borderId="145" xfId="7" applyFont="1" applyFill="1" applyBorder="1" applyAlignment="1">
      <alignment horizontal="center" vertical="center" wrapText="1"/>
    </xf>
    <xf numFmtId="0" fontId="142" fillId="10" borderId="146" xfId="7" applyFont="1" applyFill="1" applyBorder="1" applyAlignment="1">
      <alignment horizontal="center" vertical="center" wrapText="1"/>
    </xf>
    <xf numFmtId="49" fontId="142" fillId="10" borderId="140" xfId="7" applyNumberFormat="1" applyFont="1" applyFill="1" applyBorder="1" applyAlignment="1">
      <alignment horizontal="center" vertical="center" wrapText="1"/>
    </xf>
    <xf numFmtId="0" fontId="103" fillId="10" borderId="147" xfId="7" applyFont="1" applyFill="1" applyBorder="1" applyAlignment="1">
      <alignment horizontal="center"/>
    </xf>
    <xf numFmtId="0" fontId="146" fillId="0" borderId="146" xfId="7" applyFont="1" applyFill="1" applyBorder="1" applyAlignment="1" applyProtection="1">
      <alignment horizontal="right"/>
    </xf>
    <xf numFmtId="0" fontId="99" fillId="19" borderId="3" xfId="4" applyNumberFormat="1" applyFont="1" applyFill="1" applyBorder="1" applyAlignment="1">
      <alignment horizontal="left"/>
    </xf>
    <xf numFmtId="0" fontId="83" fillId="0" borderId="3" xfId="4" applyNumberFormat="1" applyFont="1" applyFill="1" applyBorder="1" applyAlignment="1">
      <alignment horizontal="centerContinuous" vertical="center"/>
    </xf>
    <xf numFmtId="0" fontId="83" fillId="0" borderId="17" xfId="4" applyNumberFormat="1" applyFont="1" applyFill="1" applyBorder="1" applyAlignment="1">
      <alignment horizontal="centerContinuous" vertical="center"/>
    </xf>
    <xf numFmtId="0" fontId="84" fillId="23" borderId="33" xfId="0" applyFont="1" applyFill="1" applyBorder="1"/>
    <xf numFmtId="0" fontId="84" fillId="23" borderId="88" xfId="0" applyFont="1" applyFill="1" applyBorder="1" applyAlignment="1">
      <alignment horizontal="left" vertical="top"/>
    </xf>
    <xf numFmtId="0" fontId="84" fillId="23" borderId="88" xfId="0" applyFont="1" applyFill="1" applyBorder="1" applyAlignment="1">
      <alignment vertical="top" wrapText="1"/>
    </xf>
    <xf numFmtId="0" fontId="89" fillId="23" borderId="89" xfId="0" applyFont="1" applyFill="1" applyBorder="1" applyAlignment="1">
      <alignment vertical="top"/>
    </xf>
    <xf numFmtId="6" fontId="84" fillId="0" borderId="15" xfId="4" applyNumberFormat="1" applyFont="1" applyBorder="1" applyAlignment="1" applyProtection="1">
      <alignment horizontal="center"/>
      <protection locked="0"/>
    </xf>
    <xf numFmtId="0" fontId="90" fillId="0" borderId="0" xfId="4" applyFont="1" applyFill="1" applyBorder="1" applyAlignment="1" applyProtection="1">
      <alignment horizontal="center" vertical="center"/>
    </xf>
    <xf numFmtId="3" fontId="84" fillId="0" borderId="0" xfId="4" applyNumberFormat="1" applyFont="1" applyBorder="1" applyAlignment="1" applyProtection="1">
      <alignment horizontal="right" indent="1"/>
    </xf>
    <xf numFmtId="5" fontId="84" fillId="0" borderId="0" xfId="4" applyNumberFormat="1" applyFont="1" applyBorder="1" applyAlignment="1" applyProtection="1"/>
    <xf numFmtId="5" fontId="84" fillId="0" borderId="0" xfId="4" applyNumberFormat="1" applyFont="1" applyBorder="1" applyAlignment="1" applyProtection="1">
      <alignment horizontal="center"/>
    </xf>
    <xf numFmtId="38" fontId="88" fillId="0" borderId="39" xfId="23" applyNumberFormat="1" applyFont="1" applyFill="1" applyBorder="1" applyAlignment="1" applyProtection="1">
      <alignment horizontal="right"/>
      <protection locked="0"/>
    </xf>
    <xf numFmtId="38" fontId="88" fillId="21" borderId="34" xfId="23" applyNumberFormat="1" applyFont="1" applyFill="1" applyBorder="1" applyAlignment="1" applyProtection="1">
      <alignment horizontal="right"/>
    </xf>
    <xf numFmtId="3" fontId="88" fillId="21" borderId="34" xfId="22" applyNumberFormat="1" applyFont="1" applyFill="1" applyBorder="1" applyAlignment="1" applyProtection="1">
      <alignment vertical="center"/>
    </xf>
    <xf numFmtId="3" fontId="88" fillId="21" borderId="39" xfId="22" applyNumberFormat="1" applyFont="1" applyFill="1" applyBorder="1" applyAlignment="1" applyProtection="1">
      <alignment vertical="center"/>
    </xf>
    <xf numFmtId="38" fontId="88" fillId="21" borderId="34" xfId="22" applyNumberFormat="1" applyFont="1" applyFill="1" applyBorder="1" applyAlignment="1" applyProtection="1">
      <alignment horizontal="right" vertical="center"/>
    </xf>
    <xf numFmtId="38" fontId="88" fillId="21" borderId="0" xfId="22" applyNumberFormat="1" applyFont="1" applyFill="1" applyAlignment="1">
      <alignment vertical="top"/>
    </xf>
    <xf numFmtId="38" fontId="88" fillId="21" borderId="39" xfId="22" applyNumberFormat="1" applyFont="1" applyFill="1" applyBorder="1" applyAlignment="1" applyProtection="1">
      <alignment horizontal="right" vertical="center"/>
    </xf>
    <xf numFmtId="38" fontId="88" fillId="21" borderId="39" xfId="22" applyNumberFormat="1" applyFont="1" applyFill="1" applyBorder="1" applyAlignment="1" applyProtection="1">
      <alignment horizontal="right"/>
    </xf>
    <xf numFmtId="38" fontId="88" fillId="21" borderId="0" xfId="22" applyNumberFormat="1" applyFont="1" applyFill="1" applyAlignment="1">
      <alignment horizontal="right"/>
    </xf>
    <xf numFmtId="38" fontId="88" fillId="21" borderId="34" xfId="22" applyNumberFormat="1" applyFont="1" applyFill="1" applyBorder="1" applyAlignment="1" applyProtection="1">
      <alignment horizontal="right"/>
    </xf>
    <xf numFmtId="38" fontId="88" fillId="21" borderId="39" xfId="22" applyNumberFormat="1" applyFont="1" applyFill="1" applyBorder="1" applyAlignment="1">
      <alignment horizontal="right"/>
    </xf>
    <xf numFmtId="38" fontId="88" fillId="21" borderId="39" xfId="22" applyNumberFormat="1" applyFont="1" applyFill="1" applyBorder="1" applyAlignment="1" applyProtection="1">
      <alignment horizontal="right"/>
    </xf>
    <xf numFmtId="0" fontId="89" fillId="0" borderId="0" xfId="23" quotePrefix="1" applyFont="1" applyAlignment="1">
      <alignment horizontal="left" vertical="top"/>
    </xf>
    <xf numFmtId="0" fontId="89" fillId="0" borderId="0" xfId="23" applyFont="1" applyAlignment="1">
      <alignment horizontal="left" vertical="top"/>
    </xf>
    <xf numFmtId="0" fontId="89" fillId="0" borderId="0" xfId="23" applyFont="1" applyAlignment="1">
      <alignment horizontal="center" vertical="top"/>
    </xf>
    <xf numFmtId="0" fontId="89" fillId="0" borderId="0" xfId="23" applyFont="1" applyAlignment="1">
      <alignment horizontal="left" vertical="top" wrapText="1"/>
    </xf>
    <xf numFmtId="0" fontId="89" fillId="0" borderId="0" xfId="22" applyFont="1" applyAlignment="1">
      <alignment vertical="center"/>
    </xf>
    <xf numFmtId="0" fontId="89" fillId="0" borderId="0" xfId="23" applyFont="1" applyAlignment="1">
      <alignment vertical="center"/>
    </xf>
    <xf numFmtId="0" fontId="89" fillId="0" borderId="0" xfId="23" applyFont="1" applyAlignment="1">
      <alignment horizontal="right" vertical="center"/>
    </xf>
    <xf numFmtId="0" fontId="89" fillId="0" borderId="0" xfId="0" applyFont="1" applyBorder="1" applyAlignment="1" applyProtection="1">
      <alignment horizontal="left" vertical="center"/>
    </xf>
    <xf numFmtId="0" fontId="112" fillId="0" borderId="0" xfId="2" applyFont="1" applyAlignment="1" applyProtection="1">
      <alignment horizontal="right" vertical="center"/>
    </xf>
    <xf numFmtId="0" fontId="24" fillId="0" borderId="0" xfId="2" applyAlignment="1" applyProtection="1">
      <alignment vertical="center"/>
    </xf>
    <xf numFmtId="0" fontId="89" fillId="10" borderId="14" xfId="0" applyFont="1" applyFill="1" applyBorder="1" applyAlignment="1" applyProtection="1">
      <alignment vertical="center"/>
    </xf>
    <xf numFmtId="0" fontId="89" fillId="10" borderId="2" xfId="0" applyFont="1" applyFill="1" applyBorder="1" applyAlignment="1" applyProtection="1">
      <alignment vertical="center"/>
    </xf>
    <xf numFmtId="0" fontId="88" fillId="0" borderId="14" xfId="0" applyFont="1" applyBorder="1" applyAlignment="1" applyProtection="1">
      <alignment horizontal="left" vertical="center" indent="1"/>
    </xf>
    <xf numFmtId="0" fontId="71" fillId="0" borderId="14" xfId="0" applyFont="1" applyBorder="1" applyAlignment="1" applyProtection="1">
      <alignment horizontal="left" vertical="center" indent="1"/>
    </xf>
    <xf numFmtId="38" fontId="80" fillId="21" borderId="72" xfId="15" applyNumberFormat="1" applyFont="1" applyFill="1" applyBorder="1" applyAlignment="1" applyProtection="1">
      <alignment horizontal="right" vertical="top"/>
    </xf>
    <xf numFmtId="49" fontId="80" fillId="0" borderId="132" xfId="15" applyNumberFormat="1" applyFont="1" applyBorder="1" applyAlignment="1" applyProtection="1">
      <alignment horizontal="center" vertical="top"/>
      <protection locked="0"/>
    </xf>
    <xf numFmtId="49" fontId="80" fillId="0" borderId="132" xfId="15" applyNumberFormat="1" applyFont="1" applyBorder="1" applyAlignment="1" applyProtection="1">
      <alignment horizontal="center" vertical="center"/>
      <protection locked="0"/>
    </xf>
    <xf numFmtId="0" fontId="90" fillId="0" borderId="63" xfId="4" applyNumberFormat="1" applyFont="1" applyBorder="1" applyAlignment="1" applyProtection="1">
      <alignment horizontal="center"/>
      <protection locked="0"/>
    </xf>
    <xf numFmtId="0" fontId="80" fillId="0" borderId="132" xfId="15" applyFont="1" applyBorder="1" applyAlignment="1" applyProtection="1">
      <alignment horizontal="left" vertical="top" wrapText="1"/>
      <protection locked="0"/>
    </xf>
    <xf numFmtId="49" fontId="80" fillId="0" borderId="132" xfId="15" applyNumberFormat="1" applyFont="1" applyBorder="1" applyAlignment="1" applyProtection="1">
      <alignment horizontal="center" vertical="top"/>
      <protection locked="0"/>
    </xf>
    <xf numFmtId="0" fontId="80" fillId="0" borderId="132" xfId="15" applyFont="1" applyBorder="1" applyAlignment="1" applyProtection="1">
      <alignment vertical="top"/>
      <protection locked="0"/>
    </xf>
    <xf numFmtId="38" fontId="80" fillId="0" borderId="132" xfId="16" applyNumberFormat="1" applyBorder="1" applyAlignment="1" applyProtection="1">
      <alignment horizontal="right" vertical="top"/>
      <protection locked="0"/>
    </xf>
    <xf numFmtId="49" fontId="80" fillId="0" borderId="132" xfId="16" applyNumberFormat="1" applyFont="1" applyBorder="1" applyAlignment="1" applyProtection="1">
      <alignment horizontal="center" vertical="top"/>
      <protection locked="0"/>
    </xf>
    <xf numFmtId="0" fontId="80" fillId="0" borderId="132" xfId="16" applyFont="1" applyBorder="1" applyAlignment="1" applyProtection="1">
      <alignment vertical="top"/>
      <protection locked="0"/>
    </xf>
    <xf numFmtId="0" fontId="80" fillId="0" borderId="132" xfId="16" applyFont="1" applyBorder="1" applyAlignment="1" applyProtection="1">
      <alignment horizontal="left" vertical="top" wrapText="1"/>
      <protection locked="0"/>
    </xf>
    <xf numFmtId="38" fontId="80" fillId="0" borderId="132" xfId="16" applyNumberFormat="1" applyBorder="1" applyAlignment="1" applyProtection="1">
      <alignment horizontal="right" vertical="top"/>
      <protection locked="0"/>
    </xf>
    <xf numFmtId="49" fontId="80" fillId="0" borderId="132" xfId="16" applyNumberFormat="1" applyFont="1" applyBorder="1" applyAlignment="1" applyProtection="1">
      <alignment horizontal="center" vertical="top"/>
      <protection locked="0"/>
    </xf>
    <xf numFmtId="0" fontId="80" fillId="0" borderId="132" xfId="16" applyFont="1" applyBorder="1" applyAlignment="1" applyProtection="1">
      <alignment vertical="top"/>
      <protection locked="0"/>
    </xf>
    <xf numFmtId="0" fontId="80" fillId="0" borderId="132" xfId="16" applyFont="1" applyBorder="1" applyAlignment="1" applyProtection="1">
      <alignment horizontal="left" vertical="top" wrapText="1"/>
      <protection locked="0"/>
    </xf>
    <xf numFmtId="0" fontId="90" fillId="0" borderId="0" xfId="4" applyFont="1" applyProtection="1"/>
    <xf numFmtId="0" fontId="90" fillId="0" borderId="0" xfId="0" applyFont="1"/>
    <xf numFmtId="164" fontId="88" fillId="0" borderId="0" xfId="0" applyNumberFormat="1" applyFont="1"/>
    <xf numFmtId="3" fontId="88" fillId="0" borderId="11" xfId="4" applyNumberFormat="1" applyFont="1" applyBorder="1" applyAlignment="1" applyProtection="1">
      <alignment horizontal="left" vertical="center" wrapText="1"/>
      <protection locked="0"/>
    </xf>
    <xf numFmtId="3" fontId="88" fillId="0" borderId="37" xfId="4" applyNumberFormat="1" applyFont="1" applyBorder="1" applyAlignment="1" applyProtection="1">
      <alignment horizontal="center"/>
      <protection locked="0"/>
    </xf>
    <xf numFmtId="169" fontId="88" fillId="0" borderId="11" xfId="4" applyNumberFormat="1" applyFont="1" applyBorder="1" applyAlignment="1" applyProtection="1">
      <alignment horizontal="center"/>
      <protection locked="0"/>
    </xf>
    <xf numFmtId="1" fontId="88" fillId="0" borderId="11" xfId="4" applyNumberFormat="1" applyFont="1" applyBorder="1" applyAlignment="1" applyProtection="1">
      <alignment horizontal="center"/>
      <protection locked="0"/>
    </xf>
    <xf numFmtId="3" fontId="88" fillId="0" borderId="11" xfId="4" applyNumberFormat="1" applyFont="1" applyBorder="1" applyAlignment="1" applyProtection="1">
      <alignment horizontal="center"/>
      <protection locked="0"/>
    </xf>
    <xf numFmtId="169" fontId="88" fillId="0" borderId="63" xfId="4" applyNumberFormat="1" applyFont="1" applyBorder="1" applyAlignment="1" applyProtection="1">
      <alignment horizontal="center"/>
      <protection locked="0"/>
    </xf>
    <xf numFmtId="49" fontId="80" fillId="0" borderId="132" xfId="16" applyNumberFormat="1" applyFont="1" applyBorder="1" applyAlignment="1" applyProtection="1">
      <alignment horizontal="center" vertical="center"/>
      <protection locked="0"/>
    </xf>
    <xf numFmtId="38" fontId="80" fillId="0" borderId="132" xfId="16" applyNumberFormat="1" applyBorder="1" applyAlignment="1" applyProtection="1">
      <alignment horizontal="right" vertical="top"/>
      <protection locked="0"/>
    </xf>
    <xf numFmtId="0" fontId="80" fillId="0" borderId="132" xfId="16" applyFont="1" applyBorder="1" applyAlignment="1" applyProtection="1">
      <alignment vertical="top"/>
      <protection locked="0"/>
    </xf>
    <xf numFmtId="0" fontId="80" fillId="0" borderId="132" xfId="16" applyFont="1" applyBorder="1" applyAlignment="1" applyProtection="1">
      <alignment horizontal="left" vertical="top" wrapText="1"/>
      <protection locked="0"/>
    </xf>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6" xfId="24" applyNumberFormat="1" applyFont="1" applyBorder="1" applyAlignment="1" applyProtection="1">
      <alignment horizontal="left" vertical="center" indent="1"/>
      <protection locked="0"/>
    </xf>
    <xf numFmtId="0" fontId="4" fillId="0" borderId="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180" fontId="4" fillId="0" borderId="6" xfId="24"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180" fontId="4" fillId="0" borderId="9" xfId="24" applyNumberFormat="1" applyFont="1" applyBorder="1" applyAlignment="1" applyProtection="1">
      <alignment horizontal="left" vertical="center"/>
      <protection locked="0"/>
    </xf>
    <xf numFmtId="0" fontId="4" fillId="0" borderId="9" xfId="24" applyNumberFormat="1" applyFont="1" applyBorder="1" applyAlignment="1" applyProtection="1">
      <alignment horizontal="lef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14" fontId="4" fillId="0" borderId="9" xfId="24" applyNumberFormat="1" applyFont="1" applyBorder="1" applyAlignment="1" applyProtection="1">
      <alignment horizontal="left" vertical="center" indent="1"/>
      <protection locked="0"/>
    </xf>
    <xf numFmtId="0" fontId="4" fillId="0" borderId="8" xfId="24" applyNumberFormat="1" applyFont="1" applyBorder="1" applyAlignment="1" applyProtection="1">
      <alignment horizontal="left" vertical="center" indent="1"/>
      <protection locked="0"/>
    </xf>
    <xf numFmtId="0" fontId="4" fillId="0" borderId="10" xfId="24" applyNumberFormat="1" applyFont="1" applyBorder="1" applyAlignment="1" applyProtection="1">
      <alignment horizontal="left" vertical="center" indent="1"/>
      <protection locked="0"/>
    </xf>
    <xf numFmtId="180" fontId="4" fillId="0" borderId="9" xfId="24" applyNumberFormat="1" applyFont="1" applyBorder="1" applyAlignment="1" applyProtection="1">
      <alignment horizontal="left" vertical="center" indent="1"/>
      <protection locked="0"/>
    </xf>
    <xf numFmtId="180" fontId="4" fillId="0" borderId="8" xfId="24" applyNumberFormat="1" applyFont="1" applyBorder="1" applyAlignment="1" applyProtection="1">
      <alignment horizontal="left" vertical="center" indent="1"/>
      <protection locked="0"/>
    </xf>
    <xf numFmtId="180" fontId="4" fillId="0" borderId="10" xfId="24" applyNumberFormat="1" applyFont="1" applyBorder="1" applyAlignment="1" applyProtection="1">
      <alignment horizontal="left" vertical="center" indent="1"/>
      <protection locked="0"/>
    </xf>
    <xf numFmtId="174" fontId="4" fillId="0" borderId="6" xfId="24"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9" xfId="24" applyNumberFormat="1" applyFont="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0" fontId="4" fillId="0" borderId="9" xfId="24"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8" xfId="24"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24"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24" applyNumberFormat="1" applyFont="1" applyBorder="1" applyAlignment="1" applyProtection="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24"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4" fillId="0" borderId="0" xfId="0" applyNumberFormat="1" applyFont="1" applyBorder="1" applyAlignment="1" applyProtection="1">
      <alignment horizontal="left" vertical="center" indent="1"/>
      <protection locked="0"/>
    </xf>
    <xf numFmtId="0" fontId="4" fillId="0" borderId="7" xfId="0" applyFont="1" applyBorder="1" applyAlignment="1" applyProtection="1">
      <alignment horizontal="left" vertical="center" indent="1"/>
      <protection locked="0"/>
    </xf>
    <xf numFmtId="0" fontId="25" fillId="0" borderId="3" xfId="24"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24"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24" applyNumberFormat="1" applyFont="1" applyFill="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49" fontId="7" fillId="0" borderId="0" xfId="24"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24" applyFont="1" applyBorder="1" applyAlignment="1" applyProtection="1">
      <alignment horizontal="center" vertical="center"/>
    </xf>
    <xf numFmtId="171" fontId="4" fillId="0" borderId="0" xfId="24" applyNumberFormat="1" applyFont="1" applyBorder="1" applyAlignment="1" applyProtection="1">
      <alignment horizontal="center" vertical="top"/>
    </xf>
    <xf numFmtId="0" fontId="0" fillId="0" borderId="0" xfId="0" applyBorder="1" applyAlignment="1">
      <alignment horizontal="center" vertical="top"/>
    </xf>
    <xf numFmtId="0" fontId="25" fillId="0" borderId="3" xfId="24"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24" applyFont="1" applyBorder="1" applyAlignment="1" applyProtection="1">
      <alignment horizontal="center" vertical="center"/>
    </xf>
    <xf numFmtId="49" fontId="4" fillId="0" borderId="0" xfId="24" applyNumberFormat="1" applyFont="1" applyBorder="1" applyAlignment="1" applyProtection="1">
      <alignment horizontal="center" vertical="center"/>
    </xf>
    <xf numFmtId="0" fontId="5" fillId="0" borderId="9" xfId="24" applyFont="1" applyBorder="1" applyAlignment="1" applyProtection="1">
      <alignment vertical="center"/>
    </xf>
    <xf numFmtId="0" fontId="5" fillId="0" borderId="8" xfId="24"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0" xfId="24" applyFont="1" applyBorder="1" applyAlignment="1" applyProtection="1">
      <alignment vertical="center"/>
      <protection locked="0"/>
    </xf>
    <xf numFmtId="0" fontId="5" fillId="0" borderId="9" xfId="24"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2" fillId="0" borderId="3" xfId="24"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25" fillId="0" borderId="6" xfId="24" applyNumberFormat="1" applyFont="1" applyBorder="1" applyAlignment="1" applyProtection="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0" fontId="147" fillId="0" borderId="0" xfId="24" applyFont="1" applyBorder="1" applyAlignment="1" applyProtection="1">
      <alignment horizontal="center" vertical="center" wrapText="1"/>
    </xf>
    <xf numFmtId="0" fontId="147" fillId="0" borderId="7" xfId="24" applyFont="1" applyBorder="1" applyAlignment="1" applyProtection="1">
      <alignment horizontal="center" vertical="center" wrapText="1"/>
    </xf>
    <xf numFmtId="0" fontId="147" fillId="0" borderId="8" xfId="24" applyFont="1" applyBorder="1" applyAlignment="1" applyProtection="1">
      <alignment horizontal="center" vertical="center" wrapText="1"/>
    </xf>
    <xf numFmtId="0" fontId="147" fillId="0" borderId="10" xfId="24" applyFont="1" applyBorder="1" applyAlignment="1" applyProtection="1">
      <alignment horizontal="center" vertical="center" wrapText="1"/>
    </xf>
    <xf numFmtId="0" fontId="83" fillId="0" borderId="0" xfId="0" applyFont="1" applyBorder="1" applyAlignment="1">
      <alignment horizontal="center" vertical="center"/>
    </xf>
    <xf numFmtId="0" fontId="83" fillId="0" borderId="0" xfId="0" applyFont="1" applyBorder="1" applyAlignment="1">
      <alignment horizontal="center"/>
    </xf>
    <xf numFmtId="0" fontId="86" fillId="0" borderId="0" xfId="2" applyFont="1" applyBorder="1" applyAlignment="1" applyProtection="1">
      <alignment horizontal="center"/>
    </xf>
    <xf numFmtId="0" fontId="83" fillId="0" borderId="90" xfId="0" applyFont="1" applyBorder="1" applyAlignment="1">
      <alignment horizontal="center"/>
    </xf>
    <xf numFmtId="0" fontId="96" fillId="0" borderId="0" xfId="0" applyFont="1" applyBorder="1" applyAlignment="1" applyProtection="1">
      <alignment horizontal="center" vertical="center"/>
    </xf>
    <xf numFmtId="0" fontId="84" fillId="0" borderId="3" xfId="4" applyFont="1" applyBorder="1" applyAlignment="1" applyProtection="1">
      <alignment horizontal="left" vertical="top"/>
      <protection locked="0"/>
    </xf>
    <xf numFmtId="0" fontId="84" fillId="0" borderId="4" xfId="4" applyFont="1" applyBorder="1" applyAlignment="1" applyProtection="1">
      <alignment horizontal="left" vertical="top"/>
      <protection locked="0"/>
    </xf>
    <xf numFmtId="0" fontId="84" fillId="0" borderId="5" xfId="4" applyFont="1" applyBorder="1" applyAlignment="1" applyProtection="1">
      <alignment horizontal="left" vertical="top"/>
      <protection locked="0"/>
    </xf>
    <xf numFmtId="0" fontId="84" fillId="0" borderId="6" xfId="4" applyFont="1" applyBorder="1" applyAlignment="1" applyProtection="1">
      <alignment horizontal="left" vertical="top"/>
      <protection locked="0"/>
    </xf>
    <xf numFmtId="0" fontId="84" fillId="0" borderId="0" xfId="4" applyFont="1" applyBorder="1" applyAlignment="1" applyProtection="1">
      <alignment horizontal="left" vertical="top"/>
      <protection locked="0"/>
    </xf>
    <xf numFmtId="0" fontId="84" fillId="0" borderId="7" xfId="4" applyFont="1" applyBorder="1" applyAlignment="1" applyProtection="1">
      <alignment horizontal="left" vertical="top"/>
      <protection locked="0"/>
    </xf>
    <xf numFmtId="0" fontId="84" fillId="0" borderId="9" xfId="4" applyFont="1" applyBorder="1" applyAlignment="1" applyProtection="1">
      <alignment horizontal="left" vertical="top"/>
      <protection locked="0"/>
    </xf>
    <xf numFmtId="0" fontId="84" fillId="0" borderId="8" xfId="4" applyFont="1" applyBorder="1" applyAlignment="1" applyProtection="1">
      <alignment horizontal="left" vertical="top"/>
      <protection locked="0"/>
    </xf>
    <xf numFmtId="0" fontId="84" fillId="0" borderId="10" xfId="4" applyFont="1" applyBorder="1" applyAlignment="1" applyProtection="1">
      <alignment horizontal="left" vertical="top"/>
      <protection locked="0"/>
    </xf>
    <xf numFmtId="0" fontId="83" fillId="0" borderId="149" xfId="4" applyFont="1" applyBorder="1" applyAlignment="1" applyProtection="1">
      <alignment horizontal="center"/>
      <protection locked="0"/>
    </xf>
    <xf numFmtId="0" fontId="98" fillId="0" borderId="0" xfId="4" applyFont="1" applyBorder="1" applyAlignment="1">
      <alignment horizontal="left" vertical="top" wrapText="1"/>
    </xf>
    <xf numFmtId="0" fontId="106" fillId="0" borderId="0" xfId="4" applyFont="1" applyBorder="1" applyAlignment="1">
      <alignment horizontal="left" vertical="top" wrapText="1"/>
    </xf>
    <xf numFmtId="0" fontId="106" fillId="0" borderId="0" xfId="4" applyFont="1" applyAlignment="1">
      <alignment horizontal="left" vertical="top" wrapText="1"/>
    </xf>
    <xf numFmtId="0" fontId="96" fillId="0" borderId="0" xfId="0" applyFont="1" applyBorder="1" applyAlignment="1" applyProtection="1">
      <alignment horizontal="left" vertical="center"/>
    </xf>
    <xf numFmtId="0" fontId="96" fillId="0" borderId="0" xfId="0" applyFont="1" applyAlignment="1">
      <alignment horizontal="left" vertical="center"/>
    </xf>
    <xf numFmtId="0" fontId="99" fillId="0" borderId="0" xfId="0" applyFont="1" applyAlignment="1">
      <alignment horizontal="left" vertical="center"/>
    </xf>
    <xf numFmtId="0" fontId="100" fillId="0" borderId="0" xfId="0" applyFont="1" applyAlignment="1">
      <alignment horizontal="left" vertical="center"/>
    </xf>
    <xf numFmtId="0" fontId="90" fillId="0" borderId="0" xfId="0" applyFont="1" applyAlignment="1">
      <alignment horizontal="left" vertical="center"/>
    </xf>
    <xf numFmtId="0" fontId="83" fillId="24" borderId="0" xfId="0" applyFont="1" applyFill="1" applyBorder="1" applyAlignment="1" applyProtection="1">
      <alignment horizontal="center" vertical="center"/>
    </xf>
    <xf numFmtId="0" fontId="83" fillId="24" borderId="123" xfId="0" applyFont="1" applyFill="1" applyBorder="1" applyAlignment="1" applyProtection="1">
      <alignment horizontal="center" vertical="center"/>
    </xf>
    <xf numFmtId="0" fontId="84" fillId="0" borderId="3" xfId="0" applyFont="1" applyBorder="1" applyAlignment="1" applyProtection="1">
      <alignment horizontal="left" vertical="top" wrapText="1"/>
      <protection locked="0"/>
    </xf>
    <xf numFmtId="0" fontId="84" fillId="0" borderId="4" xfId="0" applyFont="1" applyBorder="1" applyAlignment="1" applyProtection="1">
      <alignment horizontal="left" vertical="top" wrapText="1"/>
      <protection locked="0"/>
    </xf>
    <xf numFmtId="0" fontId="84" fillId="0" borderId="5" xfId="0" applyFont="1" applyBorder="1" applyAlignment="1" applyProtection="1">
      <alignment horizontal="left" vertical="top" wrapText="1"/>
      <protection locked="0"/>
    </xf>
    <xf numFmtId="0" fontId="84" fillId="0" borderId="6" xfId="0" applyFont="1" applyBorder="1" applyAlignment="1" applyProtection="1">
      <alignment horizontal="left" vertical="top" wrapText="1"/>
      <protection locked="0"/>
    </xf>
    <xf numFmtId="0" fontId="84" fillId="0" borderId="0" xfId="0" applyFont="1" applyBorder="1" applyAlignment="1" applyProtection="1">
      <alignment horizontal="left" vertical="top" wrapText="1"/>
      <protection locked="0"/>
    </xf>
    <xf numFmtId="0" fontId="84" fillId="0" borderId="7" xfId="0" applyFont="1" applyBorder="1" applyAlignment="1" applyProtection="1">
      <alignment horizontal="left" vertical="top" wrapText="1"/>
      <protection locked="0"/>
    </xf>
    <xf numFmtId="0" fontId="84" fillId="0" borderId="9" xfId="0" applyFont="1" applyBorder="1" applyAlignment="1" applyProtection="1">
      <alignment horizontal="left" vertical="top" wrapText="1"/>
      <protection locked="0"/>
    </xf>
    <xf numFmtId="0" fontId="84" fillId="0" borderId="8" xfId="0" applyFont="1" applyBorder="1" applyAlignment="1" applyProtection="1">
      <alignment horizontal="left" vertical="top" wrapText="1"/>
      <protection locked="0"/>
    </xf>
    <xf numFmtId="0" fontId="84" fillId="0" borderId="10" xfId="0" applyFont="1" applyBorder="1" applyAlignment="1" applyProtection="1">
      <alignment horizontal="left" vertical="top" wrapText="1"/>
      <protection locked="0"/>
    </xf>
    <xf numFmtId="0" fontId="94" fillId="0" borderId="0" xfId="0" applyFont="1" applyBorder="1" applyAlignment="1" applyProtection="1">
      <alignment horizontal="center" vertical="center"/>
    </xf>
    <xf numFmtId="38" fontId="83" fillId="0" borderId="91" xfId="0" applyNumberFormat="1" applyFont="1" applyBorder="1" applyAlignment="1" applyProtection="1">
      <alignment horizontal="left" vertical="top" wrapText="1"/>
      <protection locked="0"/>
    </xf>
    <xf numFmtId="0" fontId="83" fillId="0" borderId="92" xfId="0" applyFont="1" applyBorder="1" applyAlignment="1" applyProtection="1">
      <alignment wrapText="1"/>
      <protection locked="0"/>
    </xf>
    <xf numFmtId="0" fontId="83" fillId="0" borderId="93" xfId="0" applyFont="1" applyBorder="1" applyAlignment="1" applyProtection="1">
      <alignment wrapText="1"/>
      <protection locked="0"/>
    </xf>
    <xf numFmtId="0" fontId="83" fillId="0" borderId="94" xfId="0" applyFont="1" applyBorder="1" applyAlignment="1" applyProtection="1">
      <alignment wrapText="1"/>
      <protection locked="0"/>
    </xf>
    <xf numFmtId="0" fontId="83" fillId="0" borderId="0" xfId="0" applyFont="1" applyAlignment="1" applyProtection="1">
      <alignment wrapText="1"/>
      <protection locked="0"/>
    </xf>
    <xf numFmtId="0" fontId="83" fillId="0" borderId="95" xfId="0" applyFont="1" applyBorder="1" applyAlignment="1" applyProtection="1">
      <alignment wrapText="1"/>
      <protection locked="0"/>
    </xf>
    <xf numFmtId="0" fontId="83" fillId="0" borderId="96" xfId="0" applyFont="1" applyBorder="1" applyAlignment="1" applyProtection="1">
      <alignment wrapText="1"/>
      <protection locked="0"/>
    </xf>
    <xf numFmtId="0" fontId="83" fillId="0" borderId="97" xfId="0" applyFont="1" applyBorder="1" applyAlignment="1" applyProtection="1">
      <alignment wrapText="1"/>
      <protection locked="0"/>
    </xf>
    <xf numFmtId="0" fontId="83" fillId="0" borderId="98" xfId="0" applyFont="1" applyBorder="1" applyAlignment="1" applyProtection="1">
      <alignment wrapText="1"/>
      <protection locked="0"/>
    </xf>
    <xf numFmtId="0" fontId="110" fillId="0" borderId="0" xfId="0" applyNumberFormat="1" applyFont="1" applyBorder="1" applyAlignment="1" applyProtection="1">
      <alignment horizontal="left" vertical="center" wrapText="1"/>
    </xf>
    <xf numFmtId="0" fontId="84" fillId="0" borderId="0" xfId="0" applyFont="1" applyAlignment="1">
      <alignment horizontal="left" vertical="center" wrapText="1"/>
    </xf>
    <xf numFmtId="166" fontId="88" fillId="0" borderId="0" xfId="0" applyNumberFormat="1" applyFont="1" applyBorder="1" applyAlignment="1" applyProtection="1">
      <alignment horizontal="left" vertical="center"/>
    </xf>
    <xf numFmtId="166" fontId="90" fillId="0" borderId="0" xfId="0" applyNumberFormat="1" applyFont="1" applyAlignment="1">
      <alignment horizontal="left" vertical="center"/>
    </xf>
    <xf numFmtId="0" fontId="88" fillId="0" borderId="0" xfId="0" applyFont="1" applyBorder="1" applyAlignment="1" applyProtection="1">
      <alignment wrapText="1"/>
    </xf>
    <xf numFmtId="0" fontId="88" fillId="0" borderId="0" xfId="0" applyFont="1" applyAlignment="1" applyProtection="1">
      <alignment horizontal="left" vertical="center"/>
    </xf>
    <xf numFmtId="0" fontId="88" fillId="0" borderId="0" xfId="0" applyFont="1" applyAlignment="1">
      <alignment horizontal="left" vertical="center"/>
    </xf>
    <xf numFmtId="0" fontId="88" fillId="0" borderId="0" xfId="0" applyFont="1" applyBorder="1" applyAlignment="1" applyProtection="1">
      <alignment vertical="top" wrapText="1"/>
    </xf>
    <xf numFmtId="0" fontId="88" fillId="0" borderId="0" xfId="0" applyFont="1" applyAlignment="1">
      <alignment wrapText="1"/>
    </xf>
    <xf numFmtId="0" fontId="97" fillId="0" borderId="0" xfId="0" applyFont="1" applyAlignment="1">
      <alignment horizontal="center" vertical="center"/>
    </xf>
    <xf numFmtId="0" fontId="90" fillId="0" borderId="0" xfId="0" applyFont="1" applyAlignment="1">
      <alignment horizontal="center" vertical="center"/>
    </xf>
    <xf numFmtId="0" fontId="85" fillId="0" borderId="0" xfId="2" applyFont="1" applyAlignment="1" applyProtection="1">
      <alignment horizontal="center" vertical="center"/>
    </xf>
    <xf numFmtId="0" fontId="83" fillId="0" borderId="5" xfId="0"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wrapText="1"/>
    </xf>
    <xf numFmtId="3" fontId="89" fillId="19" borderId="21" xfId="0" applyNumberFormat="1" applyFont="1" applyFill="1" applyBorder="1" applyAlignment="1" applyProtection="1">
      <alignment horizontal="left" vertical="center"/>
    </xf>
    <xf numFmtId="3" fontId="89" fillId="19" borderId="19" xfId="0" applyNumberFormat="1" applyFont="1" applyFill="1" applyBorder="1" applyAlignment="1" applyProtection="1">
      <alignment horizontal="left" vertical="center"/>
    </xf>
    <xf numFmtId="164" fontId="89" fillId="19" borderId="27" xfId="0" applyNumberFormat="1" applyFont="1" applyFill="1" applyBorder="1" applyAlignment="1" applyProtection="1">
      <alignment horizontal="left" vertical="center"/>
    </xf>
    <xf numFmtId="164" fontId="89" fillId="19" borderId="28" xfId="0" applyNumberFormat="1" applyFont="1" applyFill="1" applyBorder="1" applyAlignment="1" applyProtection="1">
      <alignment horizontal="left" vertical="center"/>
    </xf>
    <xf numFmtId="0" fontId="89" fillId="19" borderId="74" xfId="0" applyFont="1" applyFill="1" applyBorder="1" applyAlignment="1" applyProtection="1">
      <alignment horizontal="left" vertical="center"/>
    </xf>
    <xf numFmtId="0" fontId="89" fillId="19" borderId="28" xfId="0" applyFont="1" applyFill="1" applyBorder="1" applyAlignment="1" applyProtection="1">
      <alignment horizontal="left" vertical="center"/>
    </xf>
    <xf numFmtId="164" fontId="89" fillId="19" borderId="21" xfId="0" applyNumberFormat="1" applyFont="1" applyFill="1" applyBorder="1" applyAlignment="1" applyProtection="1">
      <alignment horizontal="left" vertical="center"/>
    </xf>
    <xf numFmtId="164" fontId="89" fillId="19" borderId="19" xfId="0" applyNumberFormat="1" applyFont="1" applyFill="1" applyBorder="1" applyAlignment="1" applyProtection="1">
      <alignment horizontal="left" vertical="center"/>
    </xf>
    <xf numFmtId="49" fontId="89" fillId="19" borderId="21" xfId="0" applyNumberFormat="1" applyFont="1" applyFill="1" applyBorder="1" applyAlignment="1" applyProtection="1">
      <alignment horizontal="left" vertical="center"/>
    </xf>
    <xf numFmtId="49" fontId="89" fillId="19" borderId="19" xfId="0" applyNumberFormat="1" applyFont="1" applyFill="1" applyBorder="1" applyAlignment="1" applyProtection="1">
      <alignment horizontal="left" vertical="center"/>
    </xf>
    <xf numFmtId="0" fontId="89" fillId="19" borderId="21" xfId="0" applyFont="1" applyFill="1" applyBorder="1" applyAlignment="1" applyProtection="1">
      <alignment vertical="center"/>
    </xf>
    <xf numFmtId="0" fontId="89" fillId="19" borderId="19" xfId="0" applyFont="1" applyFill="1" applyBorder="1" applyAlignment="1" applyProtection="1">
      <alignment vertical="center"/>
    </xf>
    <xf numFmtId="164" fontId="89" fillId="21" borderId="21" xfId="0" applyNumberFormat="1" applyFont="1" applyFill="1" applyBorder="1" applyAlignment="1" applyProtection="1">
      <alignment horizontal="left" vertical="center" wrapText="1" indent="2"/>
    </xf>
    <xf numFmtId="164" fontId="89" fillId="21" borderId="19" xfId="0" applyNumberFormat="1" applyFont="1" applyFill="1" applyBorder="1" applyAlignment="1" applyProtection="1">
      <alignment horizontal="left" vertical="center" wrapText="1" indent="2"/>
    </xf>
    <xf numFmtId="164" fontId="89" fillId="10" borderId="21" xfId="0" applyNumberFormat="1" applyFont="1" applyFill="1" applyBorder="1" applyAlignment="1" applyProtection="1">
      <alignment horizontal="left" vertical="center" wrapText="1"/>
    </xf>
    <xf numFmtId="164" fontId="89" fillId="10" borderId="19" xfId="0" applyNumberFormat="1" applyFont="1" applyFill="1" applyBorder="1" applyAlignment="1" applyProtection="1">
      <alignment horizontal="left" vertical="center" wrapText="1"/>
    </xf>
    <xf numFmtId="164" fontId="89" fillId="2" borderId="21" xfId="0" applyNumberFormat="1" applyFont="1" applyFill="1" applyBorder="1" applyAlignment="1" applyProtection="1">
      <alignment horizontal="left" vertical="center" wrapText="1" indent="1"/>
    </xf>
    <xf numFmtId="164" fontId="89" fillId="2" borderId="19" xfId="0" applyNumberFormat="1" applyFont="1" applyFill="1" applyBorder="1" applyAlignment="1" applyProtection="1">
      <alignment horizontal="left" vertical="center" wrapText="1" indent="1"/>
    </xf>
    <xf numFmtId="164" fontId="89" fillId="21" borderId="31" xfId="0" applyNumberFormat="1" applyFont="1" applyFill="1" applyBorder="1" applyAlignment="1" applyProtection="1">
      <alignment horizontal="left" vertical="center" wrapText="1" indent="2"/>
    </xf>
    <xf numFmtId="164" fontId="89" fillId="21" borderId="77" xfId="0" applyNumberFormat="1" applyFont="1" applyFill="1" applyBorder="1" applyAlignment="1" applyProtection="1">
      <alignment horizontal="left" vertical="center" wrapText="1" indent="2"/>
    </xf>
    <xf numFmtId="0" fontId="89" fillId="21" borderId="66" xfId="0" applyFont="1" applyFill="1" applyBorder="1" applyAlignment="1" applyProtection="1">
      <alignment horizontal="left" vertical="center" indent="2"/>
    </xf>
    <xf numFmtId="0" fontId="89" fillId="21" borderId="80" xfId="0" applyFont="1" applyFill="1" applyBorder="1" applyAlignment="1" applyProtection="1">
      <alignment horizontal="left" vertical="center" indent="2"/>
    </xf>
    <xf numFmtId="0" fontId="89" fillId="21" borderId="79" xfId="0" applyFont="1" applyFill="1" applyBorder="1" applyAlignment="1" applyProtection="1">
      <alignment horizontal="left" vertical="center" indent="2"/>
    </xf>
    <xf numFmtId="0" fontId="89" fillId="21" borderId="77" xfId="0" applyFont="1" applyFill="1" applyBorder="1" applyAlignment="1" applyProtection="1">
      <alignment horizontal="left" vertical="center" indent="2"/>
    </xf>
    <xf numFmtId="0" fontId="88" fillId="21" borderId="66" xfId="0" applyFont="1" applyFill="1" applyBorder="1" applyAlignment="1" applyProtection="1">
      <alignment horizontal="left" vertical="center" wrapText="1" indent="2"/>
    </xf>
    <xf numFmtId="0" fontId="90" fillId="21" borderId="80" xfId="0" applyFont="1" applyFill="1" applyBorder="1" applyAlignment="1">
      <alignment horizontal="left" wrapText="1" indent="2"/>
    </xf>
    <xf numFmtId="3" fontId="89" fillId="0" borderId="5" xfId="0" applyNumberFormat="1" applyFont="1" applyBorder="1" applyAlignment="1" applyProtection="1">
      <alignment horizontal="center" vertical="center" wrapText="1"/>
    </xf>
    <xf numFmtId="3" fontId="89" fillId="0" borderId="10" xfId="0" applyNumberFormat="1" applyFont="1" applyBorder="1" applyAlignment="1" applyProtection="1">
      <alignment horizontal="center" vertical="center" wrapText="1"/>
    </xf>
    <xf numFmtId="0" fontId="89" fillId="21" borderId="74" xfId="0" applyFont="1" applyFill="1" applyBorder="1" applyAlignment="1" applyProtection="1">
      <alignment horizontal="left" vertical="center" indent="1"/>
    </xf>
    <xf numFmtId="0" fontId="89" fillId="21" borderId="28" xfId="0" applyFont="1" applyFill="1" applyBorder="1" applyAlignment="1" applyProtection="1">
      <alignment horizontal="left" vertical="center" indent="1"/>
    </xf>
    <xf numFmtId="0" fontId="88" fillId="0" borderId="14" xfId="0" applyFont="1" applyBorder="1" applyAlignment="1" applyProtection="1">
      <alignment horizontal="left" vertical="center" indent="1"/>
    </xf>
    <xf numFmtId="0" fontId="88" fillId="0" borderId="19" xfId="0" applyFont="1" applyBorder="1" applyAlignment="1" applyProtection="1">
      <alignment horizontal="left" vertical="center" indent="1"/>
    </xf>
    <xf numFmtId="164" fontId="89" fillId="25" borderId="21" xfId="0" applyNumberFormat="1" applyFont="1" applyFill="1" applyBorder="1" applyAlignment="1" applyProtection="1">
      <alignment horizontal="left" vertical="center" wrapText="1" indent="1"/>
    </xf>
    <xf numFmtId="164" fontId="89" fillId="25" borderId="19" xfId="0" applyNumberFormat="1" applyFont="1" applyFill="1" applyBorder="1" applyAlignment="1" applyProtection="1">
      <alignment horizontal="left" vertical="center" wrapText="1" indent="1"/>
    </xf>
    <xf numFmtId="164" fontId="89" fillId="26" borderId="21" xfId="0" applyNumberFormat="1" applyFont="1" applyFill="1" applyBorder="1" applyAlignment="1" applyProtection="1">
      <alignment horizontal="left" vertical="center" wrapText="1" indent="1"/>
    </xf>
    <xf numFmtId="164" fontId="89" fillId="26" borderId="19" xfId="0" applyNumberFormat="1" applyFont="1" applyFill="1" applyBorder="1" applyAlignment="1" applyProtection="1">
      <alignment horizontal="left" vertical="center" wrapText="1" indent="1"/>
    </xf>
    <xf numFmtId="0" fontId="89" fillId="21" borderId="51" xfId="0" applyFont="1" applyFill="1" applyBorder="1" applyAlignment="1" applyProtection="1">
      <alignment horizontal="left" vertical="center" indent="1"/>
    </xf>
    <xf numFmtId="0" fontId="90" fillId="21" borderId="78" xfId="0" applyFont="1" applyFill="1" applyBorder="1" applyAlignment="1">
      <alignment horizontal="left" vertical="center" indent="1"/>
    </xf>
    <xf numFmtId="0" fontId="89" fillId="10" borderId="14" xfId="0" applyFont="1" applyFill="1" applyBorder="1" applyAlignment="1">
      <alignment horizontal="left" vertical="center" wrapText="1"/>
    </xf>
    <xf numFmtId="0" fontId="90" fillId="10" borderId="19" xfId="0" applyFont="1" applyFill="1" applyBorder="1" applyAlignment="1">
      <alignment horizontal="left" vertical="center" wrapText="1"/>
    </xf>
    <xf numFmtId="0" fontId="89" fillId="10" borderId="74" xfId="0" applyFont="1" applyFill="1" applyBorder="1" applyAlignment="1">
      <alignment vertical="top" wrapText="1"/>
    </xf>
    <xf numFmtId="0" fontId="90" fillId="10" borderId="28" xfId="0" applyFont="1" applyFill="1" applyBorder="1" applyAlignment="1">
      <alignment vertical="top" wrapText="1"/>
    </xf>
    <xf numFmtId="0" fontId="89" fillId="21" borderId="79" xfId="0" applyFont="1" applyFill="1" applyBorder="1" applyAlignment="1" applyProtection="1">
      <alignment horizontal="left" vertical="top" wrapText="1" indent="1"/>
    </xf>
    <xf numFmtId="0" fontId="90" fillId="21" borderId="77" xfId="0" applyFont="1" applyFill="1" applyBorder="1" applyAlignment="1">
      <alignment horizontal="left" vertical="top" wrapText="1" indent="1"/>
    </xf>
    <xf numFmtId="0" fontId="89" fillId="21" borderId="79" xfId="0" applyFont="1" applyFill="1" applyBorder="1" applyAlignment="1" applyProtection="1">
      <alignment horizontal="left" vertical="top" indent="1"/>
    </xf>
    <xf numFmtId="0" fontId="90" fillId="21" borderId="77" xfId="0" applyFont="1" applyFill="1" applyBorder="1" applyAlignment="1">
      <alignment horizontal="left" vertical="top" indent="1"/>
    </xf>
    <xf numFmtId="0" fontId="89" fillId="10" borderId="74" xfId="0" applyFont="1" applyFill="1" applyBorder="1" applyAlignment="1">
      <alignment vertical="center" wrapText="1"/>
    </xf>
    <xf numFmtId="0" fontId="90" fillId="10" borderId="28" xfId="0" applyFont="1" applyFill="1" applyBorder="1" applyAlignment="1">
      <alignment vertical="center" wrapText="1"/>
    </xf>
    <xf numFmtId="0" fontId="99" fillId="19" borderId="8" xfId="0" applyFont="1" applyFill="1" applyBorder="1" applyAlignment="1">
      <alignment horizontal="center" vertical="center"/>
    </xf>
    <xf numFmtId="0" fontId="90" fillId="19" borderId="10" xfId="0" applyFont="1" applyFill="1" applyBorder="1" applyAlignment="1">
      <alignment horizontal="center" vertical="center"/>
    </xf>
    <xf numFmtId="3" fontId="89" fillId="21" borderId="74" xfId="0" applyNumberFormat="1" applyFont="1" applyFill="1" applyBorder="1" applyAlignment="1">
      <alignment horizontal="left" vertical="top" wrapText="1" indent="1"/>
    </xf>
    <xf numFmtId="0" fontId="90" fillId="21" borderId="28" xfId="0" applyFont="1" applyFill="1" applyBorder="1" applyAlignment="1">
      <alignment horizontal="left" vertical="top" wrapText="1"/>
    </xf>
    <xf numFmtId="3" fontId="89" fillId="21" borderId="88" xfId="0" applyNumberFormat="1" applyFont="1" applyFill="1" applyBorder="1" applyAlignment="1">
      <alignment horizontal="left" vertical="top" wrapText="1" indent="1"/>
    </xf>
    <xf numFmtId="0" fontId="90" fillId="21" borderId="29" xfId="0" applyFont="1" applyFill="1" applyBorder="1" applyAlignment="1">
      <alignment horizontal="left" vertical="top" wrapText="1" indent="1"/>
    </xf>
    <xf numFmtId="3" fontId="89" fillId="21" borderId="51" xfId="0" applyNumberFormat="1" applyFont="1" applyFill="1" applyBorder="1" applyAlignment="1">
      <alignment horizontal="left" vertical="top" wrapText="1" indent="1"/>
    </xf>
    <xf numFmtId="0" fontId="88" fillId="21" borderId="78" xfId="0" applyFont="1" applyFill="1" applyBorder="1" applyAlignment="1">
      <alignment horizontal="left" vertical="top" wrapText="1" indent="1"/>
    </xf>
    <xf numFmtId="3" fontId="89" fillId="21" borderId="79" xfId="0" applyNumberFormat="1" applyFont="1" applyFill="1" applyBorder="1" applyAlignment="1">
      <alignment horizontal="left" vertical="top" wrapText="1" indent="1"/>
    </xf>
    <xf numFmtId="3" fontId="89" fillId="21" borderId="79" xfId="0" applyNumberFormat="1" applyFont="1" applyFill="1" applyBorder="1" applyAlignment="1">
      <alignment horizontal="left" vertical="top" indent="1"/>
    </xf>
    <xf numFmtId="0" fontId="88" fillId="21" borderId="77" xfId="0" applyFont="1" applyFill="1" applyBorder="1" applyAlignment="1">
      <alignment horizontal="left" vertical="top" indent="1"/>
    </xf>
    <xf numFmtId="3" fontId="89" fillId="0" borderId="88" xfId="0" applyNumberFormat="1" applyFont="1" applyBorder="1" applyAlignment="1">
      <alignment horizontal="left" vertical="top" wrapText="1" indent="1"/>
    </xf>
    <xf numFmtId="0" fontId="90" fillId="0" borderId="29" xfId="0" applyFont="1" applyBorder="1" applyAlignment="1">
      <alignment horizontal="left" vertical="top" wrapText="1" indent="1"/>
    </xf>
    <xf numFmtId="0" fontId="99" fillId="19" borderId="8" xfId="0" applyFont="1" applyFill="1" applyBorder="1" applyAlignment="1">
      <alignment horizontal="center" vertical="center" wrapText="1"/>
    </xf>
    <xf numFmtId="0" fontId="90" fillId="19" borderId="10" xfId="0" applyFont="1" applyFill="1" applyBorder="1" applyAlignment="1">
      <alignment horizontal="center" vertical="center" wrapText="1"/>
    </xf>
    <xf numFmtId="3" fontId="99" fillId="19" borderId="21" xfId="0" applyNumberFormat="1" applyFont="1" applyFill="1" applyBorder="1" applyAlignment="1">
      <alignment horizontal="center" vertical="center"/>
    </xf>
    <xf numFmtId="0" fontId="90" fillId="19" borderId="19" xfId="0" applyFont="1" applyFill="1" applyBorder="1" applyAlignment="1">
      <alignment horizontal="center" vertical="center"/>
    </xf>
    <xf numFmtId="0" fontId="99" fillId="19" borderId="14" xfId="0" applyFont="1" applyFill="1" applyBorder="1" applyAlignment="1">
      <alignment horizontal="center" vertical="center"/>
    </xf>
    <xf numFmtId="3" fontId="89" fillId="21" borderId="27" xfId="0" applyNumberFormat="1" applyFont="1" applyFill="1" applyBorder="1" applyAlignment="1">
      <alignment horizontal="left" vertical="top" indent="1"/>
    </xf>
    <xf numFmtId="3" fontId="89" fillId="21" borderId="28" xfId="0" applyNumberFormat="1" applyFont="1" applyFill="1" applyBorder="1" applyAlignment="1">
      <alignment horizontal="left" vertical="top" indent="1"/>
    </xf>
    <xf numFmtId="3" fontId="89" fillId="0" borderId="7" xfId="0" applyNumberFormat="1" applyFont="1" applyBorder="1" applyAlignment="1" applyProtection="1">
      <alignment horizontal="center" vertical="center" wrapText="1"/>
    </xf>
    <xf numFmtId="0" fontId="99" fillId="19" borderId="9" xfId="0" applyFont="1" applyFill="1" applyBorder="1" applyAlignment="1">
      <alignment horizontal="center" vertical="center"/>
    </xf>
    <xf numFmtId="0" fontId="99" fillId="20" borderId="8" xfId="0" applyFont="1" applyFill="1" applyBorder="1" applyAlignment="1">
      <alignment horizontal="center" vertical="center"/>
    </xf>
    <xf numFmtId="0" fontId="99" fillId="20" borderId="10" xfId="0" applyFont="1" applyFill="1" applyBorder="1" applyAlignment="1">
      <alignment horizontal="center" vertical="center"/>
    </xf>
    <xf numFmtId="0" fontId="90" fillId="20" borderId="10" xfId="0" applyFont="1" applyFill="1" applyBorder="1" applyAlignment="1">
      <alignment horizontal="center" vertical="center"/>
    </xf>
    <xf numFmtId="0" fontId="99" fillId="19" borderId="140" xfId="0" applyFont="1" applyFill="1" applyBorder="1" applyAlignment="1">
      <alignment horizontal="center" vertical="center"/>
    </xf>
    <xf numFmtId="0" fontId="90" fillId="19" borderId="133" xfId="0" applyFont="1" applyFill="1" applyBorder="1" applyAlignment="1">
      <alignment horizontal="center" vertical="center"/>
    </xf>
    <xf numFmtId="3" fontId="89" fillId="15" borderId="5" xfId="0" applyNumberFormat="1" applyFont="1" applyFill="1" applyBorder="1" applyAlignment="1" applyProtection="1">
      <alignment horizontal="center" vertical="center" wrapText="1"/>
    </xf>
    <xf numFmtId="3" fontId="89" fillId="15" borderId="10" xfId="0" applyNumberFormat="1" applyFont="1" applyFill="1" applyBorder="1" applyAlignment="1" applyProtection="1">
      <alignment horizontal="center" vertical="center" wrapText="1"/>
    </xf>
    <xf numFmtId="49" fontId="99" fillId="23" borderId="21" xfId="0" applyNumberFormat="1" applyFont="1" applyFill="1" applyBorder="1" applyAlignment="1" applyProtection="1">
      <alignment horizontal="center" vertical="center"/>
    </xf>
    <xf numFmtId="0" fontId="90" fillId="23" borderId="19" xfId="0" applyFont="1" applyFill="1" applyBorder="1" applyAlignment="1">
      <alignment horizontal="center" vertical="center"/>
    </xf>
    <xf numFmtId="49" fontId="98" fillId="2" borderId="9" xfId="0" applyNumberFormat="1" applyFont="1" applyFill="1" applyBorder="1" applyAlignment="1" applyProtection="1">
      <alignment horizontal="left" vertical="center" wrapText="1"/>
    </xf>
    <xf numFmtId="0" fontId="90" fillId="0" borderId="8" xfId="0" applyFont="1" applyBorder="1" applyAlignment="1">
      <alignment horizontal="left" vertical="center" wrapText="1"/>
    </xf>
    <xf numFmtId="0" fontId="90" fillId="0" borderId="10" xfId="0" applyFont="1" applyBorder="1" applyAlignment="1">
      <alignment horizontal="left" vertical="center" wrapText="1"/>
    </xf>
    <xf numFmtId="49" fontId="108" fillId="2" borderId="9" xfId="0" applyNumberFormat="1" applyFont="1" applyFill="1" applyBorder="1" applyAlignment="1" applyProtection="1">
      <alignment horizontal="left" vertical="center" wrapText="1"/>
    </xf>
    <xf numFmtId="0" fontId="84" fillId="0" borderId="8" xfId="0" applyFont="1" applyBorder="1" applyAlignment="1">
      <alignment horizontal="left" vertical="center" wrapText="1"/>
    </xf>
    <xf numFmtId="0" fontId="84" fillId="0" borderId="10" xfId="0" applyFont="1" applyBorder="1" applyAlignment="1">
      <alignment horizontal="left" vertical="center" wrapText="1"/>
    </xf>
    <xf numFmtId="164" fontId="89" fillId="2" borderId="21" xfId="0" applyNumberFormat="1" applyFont="1" applyFill="1" applyBorder="1" applyAlignment="1" applyProtection="1">
      <alignment horizontal="left" vertical="center" wrapText="1"/>
    </xf>
    <xf numFmtId="0" fontId="90" fillId="2" borderId="19" xfId="0" applyFont="1" applyFill="1" applyBorder="1" applyAlignment="1">
      <alignment horizontal="left" vertical="center" wrapText="1"/>
    </xf>
    <xf numFmtId="49" fontId="89" fillId="0" borderId="21" xfId="0" applyNumberFormat="1" applyFont="1" applyBorder="1" applyAlignment="1" applyProtection="1">
      <alignment horizontal="center" vertical="center" wrapText="1"/>
    </xf>
    <xf numFmtId="49" fontId="89" fillId="0" borderId="19" xfId="0" applyNumberFormat="1" applyFont="1" applyBorder="1" applyAlignment="1" applyProtection="1">
      <alignment horizontal="center" vertical="center" wrapText="1"/>
    </xf>
    <xf numFmtId="49" fontId="89" fillId="21" borderId="21" xfId="0" applyNumberFormat="1" applyFont="1" applyFill="1" applyBorder="1" applyAlignment="1" applyProtection="1">
      <alignment horizontal="left" vertical="center" indent="1"/>
    </xf>
    <xf numFmtId="0" fontId="90" fillId="21" borderId="19" xfId="0" applyFont="1" applyFill="1" applyBorder="1" applyAlignment="1">
      <alignment horizontal="left" vertical="center" indent="1"/>
    </xf>
    <xf numFmtId="0" fontId="89" fillId="2" borderId="21" xfId="0" applyFont="1" applyFill="1" applyBorder="1" applyAlignment="1" applyProtection="1">
      <alignment horizontal="left" vertical="center" wrapText="1"/>
    </xf>
    <xf numFmtId="49" fontId="89" fillId="21" borderId="21" xfId="0" applyNumberFormat="1" applyFont="1" applyFill="1" applyBorder="1" applyAlignment="1" applyProtection="1">
      <alignment horizontal="left" vertical="center" wrapText="1" indent="1"/>
    </xf>
    <xf numFmtId="0" fontId="90" fillId="21" borderId="19" xfId="0" applyFont="1" applyFill="1" applyBorder="1" applyAlignment="1">
      <alignment horizontal="left" vertical="center" wrapText="1" indent="1"/>
    </xf>
    <xf numFmtId="49" fontId="89" fillId="2" borderId="21" xfId="0" applyNumberFormat="1" applyFont="1" applyFill="1" applyBorder="1" applyAlignment="1" applyProtection="1">
      <alignment horizontal="left" vertical="center"/>
    </xf>
    <xf numFmtId="49" fontId="89" fillId="2" borderId="19" xfId="0" applyNumberFormat="1" applyFont="1" applyFill="1" applyBorder="1" applyAlignment="1" applyProtection="1">
      <alignment horizontal="left" vertical="center"/>
    </xf>
    <xf numFmtId="49" fontId="89" fillId="2" borderId="21" xfId="0" applyNumberFormat="1" applyFont="1" applyFill="1" applyBorder="1" applyAlignment="1" applyProtection="1">
      <alignment horizontal="left" vertical="center" wrapText="1"/>
    </xf>
    <xf numFmtId="0" fontId="99" fillId="23" borderId="21" xfId="21" applyFont="1" applyFill="1" applyBorder="1" applyAlignment="1">
      <alignment horizontal="center" vertical="center"/>
    </xf>
    <xf numFmtId="0" fontId="88" fillId="0" borderId="0" xfId="21" applyFont="1" applyFill="1" applyAlignment="1">
      <alignment wrapText="1"/>
    </xf>
    <xf numFmtId="0" fontId="90" fillId="0" borderId="0" xfId="0" applyFont="1" applyAlignment="1">
      <alignment wrapText="1"/>
    </xf>
    <xf numFmtId="0" fontId="84" fillId="0" borderId="34" xfId="21" applyFont="1" applyFill="1" applyBorder="1" applyAlignment="1" applyProtection="1">
      <protection locked="0"/>
    </xf>
    <xf numFmtId="0" fontId="84" fillId="0" borderId="34" xfId="0" applyFont="1" applyBorder="1" applyAlignment="1"/>
    <xf numFmtId="0" fontId="84" fillId="0" borderId="39" xfId="21" applyFont="1" applyFill="1" applyBorder="1" applyAlignment="1" applyProtection="1">
      <protection locked="0"/>
    </xf>
    <xf numFmtId="0" fontId="84" fillId="0" borderId="39" xfId="0" applyFont="1" applyBorder="1" applyAlignment="1"/>
    <xf numFmtId="49" fontId="88" fillId="0" borderId="21" xfId="0" applyNumberFormat="1" applyFont="1" applyBorder="1" applyAlignment="1" applyProtection="1">
      <alignment horizontal="left" vertical="center" wrapText="1" indent="1"/>
    </xf>
    <xf numFmtId="0" fontId="90" fillId="0" borderId="19" xfId="0" applyFont="1" applyBorder="1" applyAlignment="1">
      <alignment horizontal="left" vertical="center" wrapText="1" indent="1"/>
    </xf>
    <xf numFmtId="0" fontId="89" fillId="21" borderId="38" xfId="0" applyFont="1" applyFill="1" applyBorder="1" applyAlignment="1" applyProtection="1">
      <alignment horizontal="left" vertical="center" indent="1"/>
    </xf>
    <xf numFmtId="0" fontId="89" fillId="21" borderId="39" xfId="0" applyFont="1" applyFill="1" applyBorder="1" applyAlignment="1" applyProtection="1">
      <alignment horizontal="left" vertical="center" indent="1"/>
    </xf>
    <xf numFmtId="0" fontId="89" fillId="3" borderId="39" xfId="0" applyFont="1" applyFill="1" applyBorder="1" applyAlignment="1" applyProtection="1">
      <alignment horizontal="left" vertical="center"/>
    </xf>
    <xf numFmtId="0" fontId="89" fillId="3" borderId="35" xfId="0" applyFont="1" applyFill="1" applyBorder="1" applyAlignment="1" applyProtection="1">
      <alignment horizontal="left" vertical="center"/>
    </xf>
    <xf numFmtId="0" fontId="88" fillId="0" borderId="39" xfId="0" applyFont="1" applyBorder="1" applyAlignment="1" applyProtection="1">
      <alignment horizontal="left" vertical="center" indent="1"/>
    </xf>
    <xf numFmtId="0" fontId="90" fillId="0" borderId="39" xfId="0" applyFont="1" applyBorder="1" applyAlignment="1">
      <alignment horizontal="left" indent="1"/>
    </xf>
    <xf numFmtId="0" fontId="90" fillId="0" borderId="35" xfId="0" applyFont="1" applyBorder="1" applyAlignment="1">
      <alignment horizontal="left" indent="1"/>
    </xf>
    <xf numFmtId="0" fontId="88" fillId="0" borderId="39" xfId="0" applyFont="1" applyBorder="1" applyAlignment="1" applyProtection="1">
      <alignment horizontal="left" vertical="center" wrapText="1" indent="1"/>
    </xf>
    <xf numFmtId="0" fontId="90" fillId="0" borderId="39" xfId="0" applyFont="1" applyBorder="1" applyAlignment="1" applyProtection="1">
      <alignment horizontal="left" vertical="center" wrapText="1" indent="1"/>
    </xf>
    <xf numFmtId="0" fontId="90" fillId="0" borderId="35" xfId="0" applyFont="1" applyBorder="1" applyAlignment="1" applyProtection="1">
      <alignment horizontal="left" vertical="center" wrapText="1" indent="1"/>
    </xf>
    <xf numFmtId="49" fontId="89" fillId="0" borderId="53" xfId="0" applyNumberFormat="1" applyFont="1" applyFill="1" applyBorder="1" applyAlignment="1" applyProtection="1">
      <alignment horizontal="center" vertical="center" wrapText="1"/>
    </xf>
    <xf numFmtId="49" fontId="89" fillId="0" borderId="16" xfId="0" applyNumberFormat="1" applyFont="1" applyFill="1" applyBorder="1" applyAlignment="1" applyProtection="1">
      <alignment horizontal="center" vertical="center" wrapText="1"/>
    </xf>
    <xf numFmtId="0" fontId="90" fillId="0" borderId="54" xfId="0" applyFont="1" applyFill="1" applyBorder="1" applyAlignment="1">
      <alignment wrapText="1"/>
    </xf>
    <xf numFmtId="0" fontId="89" fillId="0" borderId="38" xfId="0" applyFont="1" applyBorder="1" applyAlignment="1" applyProtection="1">
      <alignment horizontal="left" vertical="center" wrapText="1"/>
    </xf>
    <xf numFmtId="0" fontId="89" fillId="0" borderId="39" xfId="0" applyFont="1" applyBorder="1" applyAlignment="1" applyProtection="1">
      <alignment horizontal="left" vertical="center" wrapText="1"/>
    </xf>
    <xf numFmtId="0" fontId="90" fillId="0" borderId="39" xfId="0" applyFont="1" applyBorder="1" applyAlignment="1">
      <alignment wrapText="1"/>
    </xf>
    <xf numFmtId="0" fontId="89" fillId="2" borderId="46" xfId="0" applyFont="1" applyFill="1" applyBorder="1" applyAlignment="1" applyProtection="1">
      <alignment horizontal="left" vertical="center" wrapText="1"/>
    </xf>
    <xf numFmtId="0" fontId="89" fillId="2" borderId="0" xfId="0" applyFont="1" applyFill="1" applyBorder="1" applyAlignment="1" applyProtection="1">
      <alignment horizontal="left" vertical="center" wrapText="1"/>
    </xf>
    <xf numFmtId="0" fontId="89" fillId="2" borderId="99"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0" borderId="100" xfId="0" applyFont="1" applyBorder="1" applyAlignment="1">
      <alignment wrapText="1"/>
    </xf>
    <xf numFmtId="0" fontId="89" fillId="21" borderId="83" xfId="0" applyFont="1" applyFill="1" applyBorder="1" applyAlignment="1" applyProtection="1">
      <alignment horizontal="left" vertical="center" indent="1"/>
    </xf>
    <xf numFmtId="0" fontId="89" fillId="21" borderId="84" xfId="0" applyFont="1" applyFill="1" applyBorder="1" applyAlignment="1" applyProtection="1">
      <alignment horizontal="left" vertical="center" indent="1"/>
    </xf>
    <xf numFmtId="0" fontId="89" fillId="21" borderId="101" xfId="0" applyFont="1" applyFill="1" applyBorder="1" applyAlignment="1" applyProtection="1">
      <alignment horizontal="left" vertical="center" indent="1"/>
    </xf>
    <xf numFmtId="0" fontId="99" fillId="23" borderId="38" xfId="0" applyFont="1" applyFill="1" applyBorder="1" applyAlignment="1" applyProtection="1">
      <alignment horizontal="left" vertical="center" wrapText="1"/>
    </xf>
    <xf numFmtId="0" fontId="90" fillId="23" borderId="39" xfId="0" applyFont="1" applyFill="1" applyBorder="1" applyAlignment="1">
      <alignment horizontal="left" wrapText="1"/>
    </xf>
    <xf numFmtId="0" fontId="90" fillId="23" borderId="35" xfId="0" applyFont="1" applyFill="1" applyBorder="1" applyAlignment="1">
      <alignment horizontal="left" wrapText="1"/>
    </xf>
    <xf numFmtId="0" fontId="88" fillId="0" borderId="38" xfId="0" applyFont="1" applyBorder="1" applyAlignment="1" applyProtection="1">
      <alignment horizontal="left" vertical="center" wrapText="1" indent="1"/>
    </xf>
    <xf numFmtId="0" fontId="90" fillId="0" borderId="35" xfId="0" applyFont="1" applyBorder="1" applyAlignment="1">
      <alignment horizontal="left" wrapText="1" indent="1"/>
    </xf>
    <xf numFmtId="0" fontId="88" fillId="0" borderId="35" xfId="0" applyFont="1" applyBorder="1" applyAlignment="1">
      <alignment horizontal="left" wrapText="1" indent="1"/>
    </xf>
    <xf numFmtId="0" fontId="117" fillId="0" borderId="46" xfId="0" applyFont="1" applyBorder="1" applyAlignment="1" applyProtection="1">
      <alignment horizontal="left" wrapText="1" indent="2"/>
    </xf>
    <xf numFmtId="0" fontId="88" fillId="0" borderId="0" xfId="0" applyFont="1" applyAlignment="1">
      <alignment horizontal="left" wrapText="1"/>
    </xf>
    <xf numFmtId="0" fontId="88" fillId="0" borderId="46" xfId="0" applyFont="1" applyBorder="1" applyAlignment="1">
      <alignment horizontal="left" wrapText="1"/>
    </xf>
    <xf numFmtId="0" fontId="88" fillId="0" borderId="34" xfId="0" applyFont="1" applyBorder="1" applyAlignment="1" applyProtection="1">
      <alignment horizontal="left" vertical="center" wrapText="1" indent="1"/>
    </xf>
    <xf numFmtId="0" fontId="90" fillId="0" borderId="41" xfId="0" applyFont="1" applyBorder="1" applyAlignment="1">
      <alignment horizontal="left" wrapText="1" indent="1"/>
    </xf>
    <xf numFmtId="0" fontId="88" fillId="0" borderId="35" xfId="0" applyFont="1" applyBorder="1" applyAlignment="1" applyProtection="1">
      <alignment horizontal="left" vertical="center" wrapText="1" indent="1"/>
    </xf>
    <xf numFmtId="0" fontId="148" fillId="0" borderId="34" xfId="0" applyFont="1" applyBorder="1" applyAlignment="1">
      <alignment horizontal="left" vertical="center" wrapText="1" indent="1"/>
    </xf>
    <xf numFmtId="0" fontId="90" fillId="0" borderId="34" xfId="0" applyFont="1" applyBorder="1" applyAlignment="1">
      <alignment horizontal="left" vertical="center" wrapText="1" indent="1"/>
    </xf>
    <xf numFmtId="0" fontId="99" fillId="19" borderId="38" xfId="0" applyFont="1" applyFill="1" applyBorder="1" applyAlignment="1" applyProtection="1">
      <alignment horizontal="left" vertical="center" indent="1"/>
    </xf>
    <xf numFmtId="0" fontId="99" fillId="19" borderId="39" xfId="0" applyFont="1" applyFill="1" applyBorder="1" applyAlignment="1" applyProtection="1">
      <alignment horizontal="left" vertical="center" indent="1"/>
    </xf>
    <xf numFmtId="0" fontId="99" fillId="19" borderId="35" xfId="0" applyFont="1" applyFill="1" applyBorder="1" applyAlignment="1" applyProtection="1">
      <alignment horizontal="left" vertical="center" indent="1"/>
    </xf>
    <xf numFmtId="0" fontId="119" fillId="2" borderId="102" xfId="22" applyFont="1" applyFill="1" applyBorder="1" applyAlignment="1">
      <alignment horizontal="center" vertical="center"/>
    </xf>
    <xf numFmtId="0" fontId="127" fillId="0" borderId="103" xfId="0" applyFont="1" applyBorder="1" applyAlignment="1">
      <alignment horizontal="center" vertical="center"/>
    </xf>
    <xf numFmtId="0" fontId="127" fillId="0" borderId="104" xfId="0" applyFont="1" applyBorder="1" applyAlignment="1">
      <alignment horizontal="center" vertical="center"/>
    </xf>
    <xf numFmtId="0" fontId="99" fillId="19" borderId="105" xfId="22" applyFont="1" applyFill="1" applyBorder="1" applyAlignment="1">
      <alignment horizontal="center" vertical="center" wrapText="1"/>
    </xf>
    <xf numFmtId="0" fontId="99" fillId="19" borderId="13" xfId="0" applyFont="1" applyFill="1" applyBorder="1" applyAlignment="1">
      <alignment horizontal="center" vertical="center" wrapText="1"/>
    </xf>
    <xf numFmtId="0" fontId="99" fillId="19" borderId="106" xfId="0" applyFont="1" applyFill="1" applyBorder="1" applyAlignment="1">
      <alignment horizontal="center" vertical="center" wrapText="1"/>
    </xf>
    <xf numFmtId="0" fontId="149" fillId="19" borderId="107" xfId="22" applyFont="1" applyFill="1" applyBorder="1" applyAlignment="1">
      <alignment horizontal="center" vertical="center"/>
    </xf>
    <xf numFmtId="0" fontId="84" fillId="19" borderId="12" xfId="0" applyFont="1" applyFill="1" applyBorder="1" applyAlignment="1">
      <alignment horizontal="center" vertical="center"/>
    </xf>
    <xf numFmtId="0" fontId="84" fillId="19" borderId="108" xfId="0" applyFont="1" applyFill="1" applyBorder="1" applyAlignment="1">
      <alignment horizontal="center" vertical="center"/>
    </xf>
    <xf numFmtId="0" fontId="106" fillId="0" borderId="64" xfId="22" applyFont="1" applyBorder="1" applyAlignment="1">
      <alignment horizontal="center"/>
    </xf>
    <xf numFmtId="0" fontId="90" fillId="0" borderId="64" xfId="0" applyFont="1" applyBorder="1" applyAlignment="1">
      <alignment horizontal="center"/>
    </xf>
    <xf numFmtId="0" fontId="136" fillId="0" borderId="70" xfId="15" applyFont="1" applyBorder="1" applyAlignment="1">
      <alignment horizontal="left" vertical="top" wrapText="1"/>
    </xf>
    <xf numFmtId="0" fontId="136" fillId="0" borderId="0" xfId="15" applyFont="1" applyBorder="1" applyAlignment="1">
      <alignment horizontal="left" vertical="top" wrapText="1"/>
    </xf>
    <xf numFmtId="0" fontId="136" fillId="0" borderId="71" xfId="15" applyFont="1" applyBorder="1" applyAlignment="1">
      <alignment horizontal="left" vertical="top" wrapText="1"/>
    </xf>
    <xf numFmtId="0" fontId="135" fillId="19" borderId="67" xfId="15" applyFont="1" applyFill="1" applyBorder="1" applyAlignment="1">
      <alignment horizontal="center" vertical="center"/>
    </xf>
    <xf numFmtId="0" fontId="135" fillId="19" borderId="68" xfId="15" applyFont="1" applyFill="1" applyBorder="1" applyAlignment="1">
      <alignment horizontal="center" vertical="center"/>
    </xf>
    <xf numFmtId="0" fontId="135" fillId="19" borderId="69" xfId="15" applyFont="1" applyFill="1" applyBorder="1" applyAlignment="1">
      <alignment horizontal="center" vertical="center"/>
    </xf>
    <xf numFmtId="0" fontId="135" fillId="19" borderId="75" xfId="15" applyFont="1" applyFill="1" applyBorder="1" applyAlignment="1">
      <alignment horizontal="center" vertical="center"/>
    </xf>
    <xf numFmtId="0" fontId="135" fillId="19" borderId="15" xfId="15" applyFont="1" applyFill="1" applyBorder="1" applyAlignment="1">
      <alignment horizontal="center" vertical="center"/>
    </xf>
    <xf numFmtId="0" fontId="135" fillId="19" borderId="76" xfId="15" applyFont="1" applyFill="1" applyBorder="1" applyAlignment="1">
      <alignment horizontal="center" vertical="center"/>
    </xf>
    <xf numFmtId="0" fontId="136" fillId="0" borderId="70" xfId="15" applyFont="1" applyBorder="1" applyAlignment="1">
      <alignment vertical="top" wrapText="1"/>
    </xf>
    <xf numFmtId="0" fontId="136" fillId="0" borderId="0" xfId="15" applyFont="1" applyBorder="1" applyAlignment="1">
      <alignment vertical="top" wrapText="1"/>
    </xf>
    <xf numFmtId="0" fontId="136" fillId="0" borderId="71" xfId="15" applyFont="1" applyBorder="1" applyAlignment="1">
      <alignment vertical="top" wrapText="1"/>
    </xf>
    <xf numFmtId="0" fontId="136" fillId="0" borderId="70" xfId="15" applyFont="1" applyBorder="1" applyAlignment="1">
      <alignment vertical="top"/>
    </xf>
    <xf numFmtId="0" fontId="136" fillId="0" borderId="0" xfId="15" applyFont="1" applyBorder="1" applyAlignment="1">
      <alignment vertical="top"/>
    </xf>
    <xf numFmtId="0" fontId="136" fillId="0" borderId="71" xfId="15" applyFont="1" applyBorder="1" applyAlignment="1">
      <alignment vertical="top"/>
    </xf>
    <xf numFmtId="0" fontId="89" fillId="0" borderId="3" xfId="0" applyFont="1" applyFill="1" applyBorder="1" applyAlignment="1" applyProtection="1">
      <alignment horizontal="left" vertical="center" wrapText="1"/>
    </xf>
    <xf numFmtId="0" fontId="90" fillId="0" borderId="4" xfId="0" applyFont="1" applyBorder="1" applyAlignment="1">
      <alignment horizontal="left" vertical="center" wrapText="1"/>
    </xf>
    <xf numFmtId="0" fontId="90" fillId="0" borderId="5" xfId="0" applyFont="1" applyBorder="1" applyAlignment="1">
      <alignment horizontal="left" vertical="center" wrapText="1"/>
    </xf>
    <xf numFmtId="0" fontId="89" fillId="0" borderId="8" xfId="0" applyFont="1" applyBorder="1" applyAlignment="1">
      <alignment horizontal="center" vertical="center"/>
    </xf>
    <xf numFmtId="0" fontId="88" fillId="0" borderId="10" xfId="0" applyFont="1" applyBorder="1" applyAlignment="1">
      <alignment horizontal="center" vertical="center"/>
    </xf>
    <xf numFmtId="0" fontId="88" fillId="14" borderId="21" xfId="0" applyFont="1" applyFill="1" applyBorder="1" applyAlignment="1" applyProtection="1">
      <alignment horizontal="left" vertical="center" wrapText="1" indent="1"/>
    </xf>
    <xf numFmtId="0" fontId="90" fillId="14" borderId="14" xfId="0" applyFont="1" applyFill="1" applyBorder="1" applyAlignment="1">
      <alignment horizontal="left" vertical="center" wrapText="1" indent="1"/>
    </xf>
    <xf numFmtId="0" fontId="90" fillId="14" borderId="19" xfId="0" applyFont="1" applyFill="1" applyBorder="1" applyAlignment="1">
      <alignment horizontal="left" vertical="center" wrapText="1" indent="1"/>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139" fillId="19" borderId="0" xfId="7" applyFont="1" applyFill="1" applyAlignment="1">
      <alignment horizontal="center" vertical="center"/>
    </xf>
    <xf numFmtId="0" fontId="98" fillId="0" borderId="139" xfId="7" applyFont="1" applyFill="1" applyBorder="1" applyAlignment="1">
      <alignment horizontal="left" vertical="top" wrapText="1"/>
    </xf>
    <xf numFmtId="0" fontId="98" fillId="0" borderId="0" xfId="7" applyFont="1" applyFill="1" applyBorder="1" applyAlignment="1">
      <alignment horizontal="left" vertical="top" wrapText="1"/>
    </xf>
    <xf numFmtId="0" fontId="150" fillId="0" borderId="0" xfId="7" applyFont="1" applyAlignment="1">
      <alignment wrapText="1"/>
    </xf>
    <xf numFmtId="0" fontId="151" fillId="0" borderId="0" xfId="7" applyFont="1" applyAlignment="1">
      <alignment horizontal="center" vertical="center" wrapText="1"/>
    </xf>
    <xf numFmtId="174" fontId="151"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103" fillId="0" borderId="75" xfId="7" applyFont="1" applyBorder="1" applyAlignment="1" applyProtection="1">
      <alignment vertical="top" wrapText="1"/>
      <protection locked="0"/>
    </xf>
    <xf numFmtId="0" fontId="103" fillId="0" borderId="15" xfId="7" applyFont="1" applyBorder="1" applyAlignment="1" applyProtection="1">
      <alignment vertical="top" wrapText="1"/>
      <protection locked="0"/>
    </xf>
    <xf numFmtId="0" fontId="103" fillId="0" borderId="76"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3" fillId="0" borderId="68" xfId="7" applyFont="1" applyBorder="1" applyAlignment="1" applyProtection="1">
      <alignment horizontal="center" vertical="top" wrapText="1"/>
      <protection locked="0"/>
    </xf>
    <xf numFmtId="0" fontId="103" fillId="0" borderId="69" xfId="7" applyFont="1" applyBorder="1" applyAlignment="1" applyProtection="1">
      <alignment horizontal="center" vertical="top" wrapText="1"/>
      <protection locked="0"/>
    </xf>
    <xf numFmtId="0" fontId="103" fillId="0" borderId="70" xfId="7" applyFont="1" applyBorder="1" applyAlignment="1" applyProtection="1">
      <alignment vertical="top" wrapText="1"/>
      <protection locked="0"/>
    </xf>
    <xf numFmtId="0" fontId="103" fillId="0" borderId="0" xfId="7" applyFont="1" applyBorder="1" applyAlignment="1" applyProtection="1">
      <alignment vertical="top" wrapText="1"/>
      <protection locked="0"/>
    </xf>
    <xf numFmtId="0" fontId="103" fillId="0" borderId="71" xfId="7" applyFont="1" applyBorder="1" applyAlignment="1" applyProtection="1">
      <alignment vertical="top" wrapText="1"/>
      <protection locked="0"/>
    </xf>
    <xf numFmtId="0" fontId="98" fillId="0" borderId="128" xfId="4" applyNumberFormat="1" applyFont="1" applyBorder="1" applyAlignment="1">
      <alignment horizontal="center"/>
    </xf>
    <xf numFmtId="0" fontId="90" fillId="0" borderId="149" xfId="4" applyNumberFormat="1" applyFont="1" applyBorder="1" applyAlignment="1" applyProtection="1">
      <alignment horizontal="center"/>
      <protection locked="0"/>
    </xf>
    <xf numFmtId="171" fontId="90" fillId="0" borderId="149" xfId="4" applyNumberFormat="1" applyFont="1" applyBorder="1" applyAlignment="1" applyProtection="1">
      <alignment horizontal="center"/>
      <protection locked="0"/>
    </xf>
    <xf numFmtId="0" fontId="90" fillId="0" borderId="149" xfId="4" applyNumberFormat="1" applyFont="1" applyBorder="1" applyAlignment="1" applyProtection="1">
      <alignment horizontal="center" vertical="center"/>
      <protection locked="0"/>
    </xf>
    <xf numFmtId="0" fontId="88" fillId="0" borderId="46" xfId="4" quotePrefix="1" applyNumberFormat="1" applyFont="1" applyBorder="1" applyAlignment="1">
      <alignment horizontal="left" vertical="top" wrapText="1" indent="2"/>
    </xf>
    <xf numFmtId="0" fontId="88" fillId="0" borderId="0" xfId="4" quotePrefix="1" applyNumberFormat="1" applyFont="1" applyBorder="1" applyAlignment="1">
      <alignment horizontal="left" vertical="top" wrapText="1" indent="2"/>
    </xf>
    <xf numFmtId="0" fontId="88" fillId="0" borderId="0" xfId="4" applyNumberFormat="1" applyFont="1" applyBorder="1" applyAlignment="1">
      <alignment horizontal="left" vertical="top" wrapText="1" indent="2"/>
    </xf>
    <xf numFmtId="0" fontId="90" fillId="0" borderId="0" xfId="4" applyFont="1" applyAlignment="1">
      <alignment horizontal="left" vertical="top" wrapText="1" indent="2"/>
    </xf>
    <xf numFmtId="0" fontId="88" fillId="0" borderId="0" xfId="4" applyNumberFormat="1" applyFont="1" applyAlignment="1">
      <alignment horizontal="left" vertical="top" wrapText="1" indent="2"/>
    </xf>
    <xf numFmtId="0" fontId="84" fillId="0" borderId="8" xfId="4" applyNumberFormat="1" applyFont="1" applyBorder="1" applyAlignment="1">
      <alignment horizontal="left" vertical="center" indent="1"/>
    </xf>
    <xf numFmtId="0" fontId="84" fillId="0" borderId="8" xfId="4" applyNumberFormat="1" applyFont="1" applyBorder="1" applyAlignment="1">
      <alignment horizontal="left" vertical="center"/>
    </xf>
    <xf numFmtId="0" fontId="84" fillId="19" borderId="6" xfId="4" applyNumberFormat="1" applyFont="1" applyFill="1" applyBorder="1" applyAlignment="1">
      <alignment horizontal="left" vertical="top" wrapText="1"/>
    </xf>
    <xf numFmtId="0" fontId="84" fillId="19" borderId="0" xfId="4" applyFont="1" applyFill="1" applyBorder="1" applyAlignment="1">
      <alignment vertical="top"/>
    </xf>
    <xf numFmtId="0" fontId="84" fillId="19" borderId="7" xfId="4" applyFont="1" applyFill="1" applyBorder="1" applyAlignment="1">
      <alignment vertical="top"/>
    </xf>
    <xf numFmtId="166" fontId="84" fillId="0" borderId="14" xfId="4" applyNumberFormat="1" applyFont="1" applyBorder="1" applyAlignment="1">
      <alignment horizontal="left" vertical="center" indent="1"/>
    </xf>
    <xf numFmtId="0" fontId="89" fillId="0" borderId="9" xfId="4" applyNumberFormat="1" applyFont="1" applyBorder="1" applyAlignment="1">
      <alignment horizontal="center" vertical="center"/>
    </xf>
    <xf numFmtId="0" fontId="90" fillId="0" borderId="8" xfId="4" applyFont="1" applyBorder="1" applyAlignment="1">
      <alignment horizontal="center" vertical="center"/>
    </xf>
    <xf numFmtId="0" fontId="90" fillId="0" borderId="10" xfId="4" applyFont="1" applyBorder="1" applyAlignment="1">
      <alignment horizontal="center" vertical="center"/>
    </xf>
    <xf numFmtId="0" fontId="88" fillId="0" borderId="14" xfId="4" applyNumberFormat="1" applyFont="1" applyBorder="1" applyAlignment="1">
      <alignment horizontal="left" vertical="center" wrapText="1"/>
    </xf>
    <xf numFmtId="0" fontId="90" fillId="0" borderId="14" xfId="4" applyFont="1" applyBorder="1" applyAlignment="1">
      <alignment horizontal="left" vertical="center" wrapText="1"/>
    </xf>
    <xf numFmtId="0" fontId="90" fillId="0" borderId="19" xfId="4" applyFont="1" applyBorder="1" applyAlignment="1">
      <alignment horizontal="left" vertical="center" wrapText="1"/>
    </xf>
    <xf numFmtId="0" fontId="89" fillId="0" borderId="14" xfId="4" applyNumberFormat="1" applyFont="1" applyBorder="1" applyAlignment="1">
      <alignment vertical="center"/>
    </xf>
    <xf numFmtId="0" fontId="89" fillId="0" borderId="19" xfId="4" applyNumberFormat="1" applyFont="1" applyBorder="1" applyAlignment="1">
      <alignment vertical="center"/>
    </xf>
    <xf numFmtId="0" fontId="98" fillId="0" borderId="128" xfId="4" applyFont="1" applyBorder="1" applyAlignment="1">
      <alignment horizontal="center" vertical="center" wrapText="1"/>
    </xf>
    <xf numFmtId="0" fontId="108" fillId="0" borderId="0" xfId="0" applyFont="1" applyAlignment="1">
      <alignment vertical="top" wrapText="1"/>
    </xf>
    <xf numFmtId="0" fontId="99" fillId="23" borderId="21" xfId="4" applyFont="1" applyFill="1" applyBorder="1" applyAlignment="1">
      <alignment horizontal="center" vertical="center" wrapText="1"/>
    </xf>
    <xf numFmtId="0" fontId="99" fillId="23" borderId="14" xfId="4" applyFont="1" applyFill="1" applyBorder="1" applyAlignment="1">
      <alignment horizontal="center" vertical="center" wrapText="1"/>
    </xf>
    <xf numFmtId="0" fontId="99" fillId="23" borderId="19" xfId="4" applyFont="1" applyFill="1" applyBorder="1" applyAlignment="1">
      <alignment horizontal="center" vertical="center" wrapText="1"/>
    </xf>
    <xf numFmtId="0" fontId="90" fillId="0" borderId="0" xfId="4" applyFont="1" applyBorder="1" applyAlignment="1">
      <alignment wrapText="1"/>
    </xf>
    <xf numFmtId="0" fontId="152" fillId="0" borderId="150" xfId="4" applyFont="1" applyBorder="1" applyAlignment="1">
      <alignment horizontal="center" vertical="center" wrapText="1"/>
    </xf>
    <xf numFmtId="0" fontId="152" fillId="0" borderId="0" xfId="4" applyFont="1" applyBorder="1" applyAlignment="1">
      <alignment horizontal="center" vertical="center" wrapText="1"/>
    </xf>
    <xf numFmtId="0" fontId="152" fillId="0" borderId="151" xfId="4" applyFont="1" applyBorder="1" applyAlignment="1">
      <alignment horizontal="center" vertical="center" wrapText="1"/>
    </xf>
    <xf numFmtId="0" fontId="152" fillId="0" borderId="152" xfId="4" applyFont="1" applyBorder="1" applyAlignment="1">
      <alignment horizontal="center" vertical="center" wrapText="1"/>
    </xf>
    <xf numFmtId="0" fontId="152" fillId="0" borderId="153" xfId="4" applyFont="1" applyBorder="1" applyAlignment="1">
      <alignment horizontal="center" vertical="center" wrapText="1"/>
    </xf>
    <xf numFmtId="0" fontId="152" fillId="0" borderId="154" xfId="4" applyFont="1" applyBorder="1" applyAlignment="1">
      <alignment horizontal="center" vertical="center" wrapText="1"/>
    </xf>
    <xf numFmtId="0" fontId="131" fillId="0" borderId="21" xfId="4" applyNumberFormat="1" applyFont="1" applyBorder="1" applyAlignment="1">
      <alignment vertical="top" wrapText="1"/>
    </xf>
    <xf numFmtId="0" fontId="131" fillId="0" borderId="14" xfId="4" applyNumberFormat="1" applyFont="1" applyBorder="1" applyAlignment="1">
      <alignment vertical="top" wrapText="1"/>
    </xf>
    <xf numFmtId="0" fontId="131" fillId="0" borderId="19" xfId="4" applyNumberFormat="1" applyFont="1" applyBorder="1" applyAlignment="1">
      <alignment vertical="top" wrapText="1"/>
    </xf>
    <xf numFmtId="0" fontId="84" fillId="0" borderId="3" xfId="4" applyFont="1" applyBorder="1" applyAlignment="1">
      <alignment vertical="top" wrapText="1"/>
    </xf>
    <xf numFmtId="0" fontId="84" fillId="0" borderId="4" xfId="4" applyFont="1" applyBorder="1" applyAlignment="1">
      <alignment vertical="top" wrapText="1"/>
    </xf>
    <xf numFmtId="0" fontId="84" fillId="0" borderId="5" xfId="4" applyFont="1" applyBorder="1" applyAlignment="1">
      <alignment vertical="top" wrapText="1"/>
    </xf>
    <xf numFmtId="0" fontId="99" fillId="0" borderId="38" xfId="4" applyFont="1" applyBorder="1" applyAlignment="1">
      <alignment horizontal="center" vertical="center" wrapText="1"/>
    </xf>
    <xf numFmtId="0" fontId="99" fillId="0" borderId="39" xfId="4" applyFont="1" applyBorder="1" applyAlignment="1">
      <alignment horizontal="center" vertical="center" wrapText="1"/>
    </xf>
    <xf numFmtId="0" fontId="99" fillId="0" borderId="35" xfId="4" applyFont="1" applyBorder="1" applyAlignment="1">
      <alignment horizontal="center" vertical="center" wrapText="1"/>
    </xf>
    <xf numFmtId="0" fontId="108" fillId="0" borderId="46" xfId="4" applyFont="1" applyBorder="1" applyAlignment="1">
      <alignment vertical="top"/>
    </xf>
    <xf numFmtId="0" fontId="108" fillId="0" borderId="0" xfId="4" applyFont="1" applyBorder="1" applyAlignment="1">
      <alignment vertical="top"/>
    </xf>
    <xf numFmtId="0" fontId="108" fillId="0" borderId="44" xfId="4" applyFont="1" applyBorder="1" applyAlignment="1">
      <alignment vertical="top"/>
    </xf>
    <xf numFmtId="0" fontId="108" fillId="0" borderId="45" xfId="4" applyFont="1" applyBorder="1" applyAlignment="1">
      <alignment vertical="top"/>
    </xf>
    <xf numFmtId="0" fontId="108" fillId="0" borderId="34" xfId="4" applyFont="1" applyBorder="1" applyAlignment="1">
      <alignment vertical="top"/>
    </xf>
    <xf numFmtId="0" fontId="108" fillId="0" borderId="41" xfId="4" applyFont="1" applyBorder="1" applyAlignment="1">
      <alignment vertical="top"/>
    </xf>
    <xf numFmtId="0" fontId="153" fillId="23" borderId="9" xfId="0" applyFont="1" applyFill="1" applyBorder="1" applyAlignment="1">
      <alignment horizontal="center" vertical="center"/>
    </xf>
    <xf numFmtId="0" fontId="153" fillId="23" borderId="8" xfId="0" applyFont="1" applyFill="1" applyBorder="1" applyAlignment="1">
      <alignment horizontal="center" vertical="center"/>
    </xf>
    <xf numFmtId="0" fontId="153" fillId="23" borderId="109" xfId="0" applyFont="1" applyFill="1" applyBorder="1" applyAlignment="1">
      <alignment horizontal="center" vertical="center"/>
    </xf>
    <xf numFmtId="164" fontId="153" fillId="23" borderId="6" xfId="0" applyNumberFormat="1" applyFont="1" applyFill="1" applyBorder="1" applyAlignment="1">
      <alignment horizontal="center" vertical="center"/>
    </xf>
    <xf numFmtId="164" fontId="153" fillId="23" borderId="0" xfId="0" applyNumberFormat="1" applyFont="1" applyFill="1" applyBorder="1" applyAlignment="1">
      <alignment horizontal="center" vertical="center"/>
    </xf>
    <xf numFmtId="164" fontId="153" fillId="23" borderId="50" xfId="0" applyNumberFormat="1" applyFont="1" applyFill="1" applyBorder="1" applyAlignment="1">
      <alignment horizontal="center" vertical="center"/>
    </xf>
    <xf numFmtId="164" fontId="92" fillId="23" borderId="9" xfId="0" applyNumberFormat="1" applyFont="1" applyFill="1" applyBorder="1" applyAlignment="1">
      <alignment horizontal="center" vertical="top"/>
    </xf>
    <xf numFmtId="164" fontId="122" fillId="23" borderId="8" xfId="0" applyNumberFormat="1" applyFont="1" applyFill="1" applyBorder="1" applyAlignment="1">
      <alignment horizontal="center" vertical="top"/>
    </xf>
    <xf numFmtId="164" fontId="122" fillId="23" borderId="109" xfId="0" applyNumberFormat="1" applyFont="1" applyFill="1" applyBorder="1" applyAlignment="1">
      <alignment horizontal="center" vertical="top"/>
    </xf>
    <xf numFmtId="0" fontId="122" fillId="0" borderId="14" xfId="0" applyFont="1" applyBorder="1" applyAlignment="1">
      <alignment horizontal="left" vertical="top" wrapText="1"/>
    </xf>
    <xf numFmtId="0" fontId="84" fillId="0" borderId="19" xfId="0" applyFont="1" applyBorder="1" applyAlignment="1">
      <alignment horizontal="left" vertical="top" wrapText="1"/>
    </xf>
    <xf numFmtId="0" fontId="84" fillId="0" borderId="14" xfId="0" applyFont="1" applyBorder="1" applyAlignment="1">
      <alignment vertical="top" wrapText="1"/>
    </xf>
    <xf numFmtId="0" fontId="90" fillId="0" borderId="19" xfId="0" applyFont="1" applyBorder="1" applyAlignment="1">
      <alignment wrapText="1"/>
    </xf>
    <xf numFmtId="0" fontId="122" fillId="0" borderId="8" xfId="0" applyNumberFormat="1" applyFont="1" applyBorder="1" applyAlignment="1">
      <alignment horizontal="left" vertical="center" wrapText="1"/>
    </xf>
    <xf numFmtId="0" fontId="122" fillId="0" borderId="0" xfId="0" applyNumberFormat="1" applyFont="1" applyBorder="1" applyAlignment="1">
      <alignment horizontal="left" vertical="center" wrapText="1"/>
    </xf>
    <xf numFmtId="0" fontId="84" fillId="0" borderId="7" xfId="0" applyFont="1" applyBorder="1" applyAlignment="1">
      <alignment vertical="center" wrapText="1"/>
    </xf>
    <xf numFmtId="0" fontId="122" fillId="0" borderId="14" xfId="0" applyNumberFormat="1" applyFont="1" applyBorder="1" applyAlignment="1">
      <alignment horizontal="left" vertical="center" wrapText="1"/>
    </xf>
    <xf numFmtId="0" fontId="84" fillId="0" borderId="19" xfId="0" applyFont="1" applyBorder="1" applyAlignment="1"/>
    <xf numFmtId="0" fontId="108" fillId="0" borderId="46" xfId="4" applyNumberFormat="1" applyFont="1" applyBorder="1" applyAlignment="1" applyProtection="1"/>
    <xf numFmtId="0" fontId="108" fillId="0" borderId="0" xfId="4" applyFont="1" applyBorder="1" applyAlignment="1" applyProtection="1"/>
    <xf numFmtId="0" fontId="108" fillId="0" borderId="44" xfId="4" applyFont="1" applyBorder="1" applyAlignment="1" applyProtection="1"/>
    <xf numFmtId="0" fontId="99" fillId="0" borderId="39" xfId="4" applyNumberFormat="1" applyFont="1" applyBorder="1" applyAlignment="1" applyProtection="1">
      <alignment horizontal="left" indent="1"/>
      <protection locked="0"/>
    </xf>
    <xf numFmtId="0" fontId="99" fillId="0" borderId="39" xfId="4" applyFont="1" applyBorder="1" applyAlignment="1" applyProtection="1">
      <alignment horizontal="left" indent="1"/>
      <protection locked="0"/>
    </xf>
    <xf numFmtId="0" fontId="99" fillId="0" borderId="35" xfId="4" applyFont="1" applyBorder="1" applyAlignment="1" applyProtection="1">
      <alignment horizontal="left" indent="1"/>
      <protection locked="0"/>
    </xf>
    <xf numFmtId="0" fontId="99" fillId="0" borderId="0" xfId="4" applyNumberFormat="1" applyFont="1" applyAlignment="1" applyProtection="1">
      <alignment horizontal="center" vertical="center"/>
    </xf>
    <xf numFmtId="0" fontId="90" fillId="0" borderId="0" xfId="4" applyFont="1" applyAlignment="1">
      <alignment horizontal="center" vertical="center"/>
    </xf>
    <xf numFmtId="0" fontId="99" fillId="0" borderId="45" xfId="4" applyNumberFormat="1" applyFont="1" applyBorder="1" applyAlignment="1" applyProtection="1">
      <alignment horizontal="left" indent="1"/>
    </xf>
    <xf numFmtId="0" fontId="99" fillId="0" borderId="34" xfId="4" applyFont="1" applyBorder="1" applyAlignment="1" applyProtection="1">
      <alignment horizontal="left" indent="1"/>
    </xf>
    <xf numFmtId="0" fontId="99" fillId="0" borderId="41" xfId="4" applyFont="1" applyBorder="1" applyAlignment="1" applyProtection="1">
      <alignment horizontal="left" indent="1"/>
    </xf>
    <xf numFmtId="165" fontId="99" fillId="0" borderId="45" xfId="4" applyNumberFormat="1" applyFont="1" applyBorder="1" applyAlignment="1" applyProtection="1">
      <alignment horizontal="left" indent="1"/>
    </xf>
    <xf numFmtId="165" fontId="99" fillId="0" borderId="41" xfId="4" applyNumberFormat="1" applyFont="1" applyBorder="1" applyAlignment="1" applyProtection="1">
      <alignment horizontal="left" indent="1"/>
    </xf>
    <xf numFmtId="0" fontId="84" fillId="0" borderId="38" xfId="4" applyNumberFormat="1" applyFont="1" applyBorder="1" applyProtection="1"/>
    <xf numFmtId="0" fontId="84" fillId="0" borderId="39" xfId="4" applyNumberFormat="1" applyFont="1" applyBorder="1" applyProtection="1"/>
    <xf numFmtId="0" fontId="99" fillId="0" borderId="46" xfId="4" applyNumberFormat="1" applyFont="1" applyBorder="1" applyAlignment="1" applyProtection="1">
      <alignment horizontal="left" vertical="center" indent="1"/>
    </xf>
    <xf numFmtId="0" fontId="99" fillId="0" borderId="0" xfId="4" applyNumberFormat="1" applyFont="1" applyBorder="1" applyAlignment="1" applyProtection="1">
      <alignment horizontal="left" vertical="center" indent="1"/>
    </xf>
    <xf numFmtId="0" fontId="99" fillId="0" borderId="44" xfId="4" applyNumberFormat="1" applyFont="1" applyBorder="1" applyAlignment="1" applyProtection="1">
      <alignment horizontal="left" vertical="center" indent="1"/>
    </xf>
    <xf numFmtId="0" fontId="99" fillId="0" borderId="46" xfId="4" applyNumberFormat="1" applyFont="1" applyBorder="1" applyAlignment="1" applyProtection="1">
      <alignment horizontal="left" indent="1"/>
    </xf>
    <xf numFmtId="0" fontId="99" fillId="0" borderId="0" xfId="4" applyNumberFormat="1" applyFont="1" applyBorder="1" applyAlignment="1" applyProtection="1">
      <alignment horizontal="left" indent="1"/>
    </xf>
    <xf numFmtId="0" fontId="99" fillId="0" borderId="44" xfId="4" applyNumberFormat="1" applyFont="1" applyBorder="1" applyAlignment="1" applyProtection="1">
      <alignment horizontal="left" indent="1"/>
    </xf>
    <xf numFmtId="0" fontId="90" fillId="0" borderId="45" xfId="4" applyNumberFormat="1" applyFont="1" applyBorder="1" applyProtection="1"/>
    <xf numFmtId="0" fontId="90" fillId="0" borderId="34" xfId="4" applyNumberFormat="1" applyFont="1" applyBorder="1" applyProtection="1"/>
    <xf numFmtId="0" fontId="90" fillId="0" borderId="41" xfId="4" applyNumberFormat="1" applyFont="1" applyBorder="1" applyProtection="1"/>
    <xf numFmtId="0" fontId="99" fillId="0" borderId="45" xfId="4" applyNumberFormat="1" applyFont="1" applyBorder="1" applyAlignment="1" applyProtection="1"/>
    <xf numFmtId="0" fontId="99" fillId="0" borderId="34" xfId="4" applyFont="1" applyBorder="1" applyAlignment="1" applyProtection="1"/>
    <xf numFmtId="0" fontId="99" fillId="0" borderId="41" xfId="4" applyFont="1" applyBorder="1" applyAlignment="1" applyProtection="1"/>
    <xf numFmtId="0" fontId="99" fillId="0" borderId="41" xfId="4" applyNumberFormat="1" applyFont="1" applyBorder="1" applyAlignment="1" applyProtection="1">
      <alignment horizontal="left" indent="1"/>
    </xf>
    <xf numFmtId="0" fontId="99" fillId="0" borderId="46" xfId="4" applyFont="1" applyBorder="1" applyAlignment="1" applyProtection="1"/>
    <xf numFmtId="0" fontId="99" fillId="0" borderId="0" xfId="4" applyFont="1" applyBorder="1" applyAlignment="1" applyProtection="1"/>
    <xf numFmtId="0" fontId="99" fillId="0" borderId="44" xfId="4" applyFont="1" applyBorder="1" applyAlignment="1" applyProtection="1"/>
    <xf numFmtId="0" fontId="99" fillId="0" borderId="0" xfId="4" applyNumberFormat="1" applyFont="1" applyAlignment="1" applyProtection="1">
      <alignment horizontal="center"/>
    </xf>
    <xf numFmtId="0" fontId="99" fillId="0" borderId="45" xfId="4" applyNumberFormat="1" applyFont="1" applyBorder="1" applyAlignment="1" applyProtection="1">
      <alignment horizontal="left" indent="1"/>
      <protection locked="0"/>
    </xf>
    <xf numFmtId="0" fontId="99" fillId="0" borderId="34" xfId="4" applyFont="1" applyBorder="1" applyAlignment="1">
      <alignment horizontal="left" indent="1"/>
    </xf>
    <xf numFmtId="0" fontId="99" fillId="0" borderId="41" xfId="4" applyFont="1" applyBorder="1" applyAlignment="1">
      <alignment horizontal="left" indent="1"/>
    </xf>
    <xf numFmtId="0" fontId="99" fillId="0" borderId="46" xfId="4" applyNumberFormat="1" applyFont="1" applyBorder="1" applyAlignment="1" applyProtection="1">
      <alignment horizontal="left" indent="1"/>
      <protection locked="0"/>
    </xf>
    <xf numFmtId="0" fontId="99" fillId="0" borderId="0" xfId="4" applyFont="1" applyBorder="1" applyAlignment="1">
      <alignment horizontal="left" indent="1"/>
    </xf>
    <xf numFmtId="0" fontId="99" fillId="0" borderId="44" xfId="4" applyFont="1" applyBorder="1" applyAlignment="1">
      <alignment horizontal="left" indent="1"/>
    </xf>
    <xf numFmtId="0" fontId="99" fillId="0" borderId="0" xfId="4" applyFont="1" applyBorder="1" applyAlignment="1" applyProtection="1">
      <alignment horizontal="left" indent="1"/>
    </xf>
    <xf numFmtId="0" fontId="99" fillId="0" borderId="44" xfId="4" applyFont="1" applyBorder="1" applyAlignment="1" applyProtection="1">
      <alignment horizontal="left" indent="1"/>
    </xf>
    <xf numFmtId="0" fontId="90" fillId="0" borderId="45" xfId="4" applyNumberFormat="1" applyFont="1" applyBorder="1" applyAlignment="1" applyProtection="1">
      <alignment horizontal="left" vertical="center" indent="1"/>
    </xf>
    <xf numFmtId="0" fontId="90" fillId="0" borderId="34" xfId="4" applyFont="1" applyBorder="1" applyAlignment="1" applyProtection="1">
      <alignment horizontal="left" vertical="center" indent="1"/>
    </xf>
    <xf numFmtId="0" fontId="90" fillId="0" borderId="41" xfId="4" applyFont="1" applyBorder="1" applyAlignment="1" applyProtection="1">
      <alignment horizontal="left" vertical="center" indent="1"/>
    </xf>
    <xf numFmtId="0" fontId="99" fillId="0" borderId="46" xfId="4" applyNumberFormat="1" applyFont="1" applyBorder="1" applyAlignment="1" applyProtection="1"/>
    <xf numFmtId="0" fontId="83" fillId="0" borderId="0" xfId="4" applyFont="1" applyAlignment="1">
      <alignment horizontal="center" vertical="center"/>
    </xf>
    <xf numFmtId="174" fontId="83" fillId="0" borderId="0" xfId="4" applyNumberFormat="1" applyFont="1" applyAlignment="1">
      <alignment horizontal="center" vertical="center"/>
    </xf>
    <xf numFmtId="174" fontId="90" fillId="0" borderId="0" xfId="4" applyNumberFormat="1" applyFont="1" applyAlignment="1">
      <alignment horizontal="center" vertical="center"/>
    </xf>
    <xf numFmtId="0" fontId="90" fillId="0" borderId="55" xfId="4" applyFont="1" applyBorder="1" applyAlignment="1" applyProtection="1">
      <protection locked="0"/>
    </xf>
    <xf numFmtId="0" fontId="99" fillId="0" borderId="0" xfId="4" applyFont="1" applyAlignment="1" applyProtection="1">
      <alignment horizontal="center" vertical="center"/>
    </xf>
    <xf numFmtId="174" fontId="99" fillId="0" borderId="0" xfId="4" applyNumberFormat="1" applyFont="1" applyAlignment="1" applyProtection="1">
      <alignment horizontal="center" vertical="center"/>
    </xf>
    <xf numFmtId="0" fontId="90" fillId="0" borderId="55" xfId="4" applyFont="1" applyBorder="1" applyAlignment="1" applyProtection="1">
      <alignment horizontal="left"/>
      <protection locked="0"/>
    </xf>
    <xf numFmtId="0" fontId="99" fillId="0" borderId="0" xfId="4" quotePrefix="1" applyFont="1" applyAlignment="1" applyProtection="1">
      <alignment horizontal="center" vertical="center"/>
    </xf>
    <xf numFmtId="0" fontId="99" fillId="0" borderId="0" xfId="4" applyNumberFormat="1" applyFont="1" applyAlignment="1">
      <alignment horizontal="center"/>
    </xf>
    <xf numFmtId="165" fontId="99" fillId="0" borderId="0" xfId="4" applyNumberFormat="1" applyFont="1" applyAlignment="1" applyProtection="1">
      <alignment horizontal="center" vertical="center"/>
    </xf>
    <xf numFmtId="165" fontId="83" fillId="0" borderId="0" xfId="4" applyNumberFormat="1" applyFont="1" applyAlignment="1" applyProtection="1">
      <alignment horizontal="center" vertical="center"/>
    </xf>
    <xf numFmtId="0" fontId="83" fillId="0" borderId="0" xfId="4" applyNumberFormat="1" applyFont="1" applyAlignment="1" applyProtection="1">
      <alignment horizontal="center" vertical="center"/>
    </xf>
    <xf numFmtId="3" fontId="84" fillId="0" borderId="63" xfId="4" applyNumberFormat="1" applyFont="1" applyBorder="1" applyAlignment="1" applyProtection="1">
      <alignment horizontal="right" indent="1"/>
      <protection locked="0"/>
    </xf>
    <xf numFmtId="0" fontId="88" fillId="0" borderId="0" xfId="4" applyFont="1" applyAlignment="1" applyProtection="1">
      <alignment horizontal="left" vertical="center" wrapText="1"/>
    </xf>
    <xf numFmtId="0" fontId="84" fillId="0" borderId="0" xfId="4" applyFont="1" applyBorder="1" applyAlignment="1" applyProtection="1">
      <alignment vertical="center" wrapText="1"/>
      <protection locked="0"/>
    </xf>
    <xf numFmtId="5" fontId="99" fillId="0" borderId="62" xfId="4" applyNumberFormat="1" applyFont="1" applyBorder="1" applyAlignment="1" applyProtection="1">
      <protection locked="0"/>
    </xf>
    <xf numFmtId="0" fontId="99" fillId="0" borderId="110" xfId="4" applyFont="1" applyBorder="1" applyAlignment="1" applyProtection="1">
      <protection locked="0"/>
    </xf>
    <xf numFmtId="0" fontId="88" fillId="0" borderId="0" xfId="4" applyFont="1" applyBorder="1" applyAlignment="1" applyProtection="1">
      <alignment horizontal="left" vertical="top" wrapText="1"/>
    </xf>
    <xf numFmtId="0" fontId="83" fillId="0" borderId="0" xfId="4" applyFont="1" applyAlignment="1" applyProtection="1">
      <alignment horizontal="center"/>
    </xf>
    <xf numFmtId="0" fontId="83" fillId="0" borderId="15" xfId="4" applyFont="1" applyBorder="1" applyAlignment="1" applyProtection="1">
      <alignment horizontal="center"/>
    </xf>
    <xf numFmtId="0" fontId="84" fillId="0" borderId="0" xfId="4" applyFont="1" applyAlignment="1" applyProtection="1">
      <alignment horizontal="left" vertical="center" wrapText="1"/>
      <protection locked="0"/>
    </xf>
    <xf numFmtId="0" fontId="99" fillId="0" borderId="0" xfId="4" applyNumberFormat="1" applyFont="1" applyBorder="1" applyAlignment="1" applyProtection="1">
      <alignment horizontal="center"/>
    </xf>
    <xf numFmtId="0" fontId="83" fillId="0" borderId="0" xfId="4" applyFont="1" applyAlignment="1" applyProtection="1">
      <alignment horizontal="center" vertical="center" readingOrder="1"/>
    </xf>
    <xf numFmtId="0" fontId="83" fillId="0" borderId="0" xfId="4" applyFont="1" applyAlignment="1" applyProtection="1">
      <alignment horizontal="center" vertical="center"/>
    </xf>
    <xf numFmtId="170" fontId="90" fillId="0" borderId="34" xfId="4" applyNumberFormat="1" applyFont="1" applyBorder="1" applyAlignment="1" applyProtection="1">
      <alignment horizontal="center"/>
      <protection locked="0"/>
    </xf>
    <xf numFmtId="0" fontId="88" fillId="0" borderId="62" xfId="4" applyFont="1" applyBorder="1" applyAlignment="1" applyProtection="1">
      <alignment horizontal="left" vertical="center"/>
      <protection locked="0"/>
    </xf>
    <xf numFmtId="0" fontId="88" fillId="0" borderId="57" xfId="4" applyFont="1" applyBorder="1" applyAlignment="1" applyProtection="1">
      <alignment horizontal="left" vertical="center"/>
      <protection locked="0"/>
    </xf>
    <xf numFmtId="0" fontId="88" fillId="0" borderId="110" xfId="4" applyFont="1" applyBorder="1" applyAlignment="1" applyProtection="1">
      <alignment horizontal="left" vertical="center"/>
      <protection locked="0"/>
    </xf>
    <xf numFmtId="38" fontId="88" fillId="0" borderId="63" xfId="4" applyNumberFormat="1" applyFont="1" applyBorder="1" applyAlignment="1" applyProtection="1">
      <alignment horizontal="right" vertical="center"/>
      <protection locked="0"/>
    </xf>
    <xf numFmtId="0" fontId="88" fillId="0" borderId="62" xfId="4" applyFont="1" applyBorder="1" applyAlignment="1" applyProtection="1">
      <alignment horizontal="center"/>
    </xf>
    <xf numFmtId="0" fontId="88" fillId="0" borderId="57" xfId="4" applyFont="1" applyBorder="1" applyAlignment="1" applyProtection="1">
      <alignment horizontal="center"/>
    </xf>
    <xf numFmtId="0" fontId="88" fillId="0" borderId="110" xfId="4" applyFont="1" applyBorder="1" applyAlignment="1" applyProtection="1">
      <alignment horizontal="center"/>
    </xf>
    <xf numFmtId="0" fontId="89" fillId="0" borderId="62" xfId="4" applyFont="1" applyBorder="1" applyAlignment="1" applyProtection="1">
      <alignment horizontal="center" vertical="center"/>
      <protection locked="0"/>
    </xf>
    <xf numFmtId="0" fontId="89" fillId="0" borderId="57" xfId="4" applyFont="1" applyBorder="1" applyAlignment="1" applyProtection="1">
      <alignment horizontal="center" vertical="center"/>
      <protection locked="0"/>
    </xf>
    <xf numFmtId="0" fontId="89" fillId="0" borderId="110" xfId="4" applyFont="1" applyBorder="1" applyAlignment="1" applyProtection="1">
      <alignment horizontal="center" vertical="center"/>
      <protection locked="0"/>
    </xf>
    <xf numFmtId="6" fontId="88" fillId="0" borderId="63" xfId="4" applyNumberFormat="1" applyFont="1" applyBorder="1" applyAlignment="1" applyProtection="1">
      <alignment horizontal="right" vertical="center"/>
      <protection locked="0"/>
    </xf>
    <xf numFmtId="6" fontId="88" fillId="0" borderId="62" xfId="4" applyNumberFormat="1" applyFont="1" applyBorder="1" applyProtection="1">
      <protection locked="0"/>
    </xf>
    <xf numFmtId="6" fontId="88" fillId="0" borderId="110" xfId="4" applyNumberFormat="1" applyFont="1" applyBorder="1" applyProtection="1">
      <protection locked="0"/>
    </xf>
    <xf numFmtId="0" fontId="99" fillId="0" borderId="0" xfId="4" applyNumberFormat="1" applyFont="1" applyBorder="1" applyAlignment="1" applyProtection="1">
      <alignment horizontal="center" vertical="center" wrapText="1"/>
    </xf>
    <xf numFmtId="0" fontId="90" fillId="0" borderId="0" xfId="4" applyNumberFormat="1" applyFont="1" applyAlignment="1">
      <alignment horizontal="center" vertical="center" wrapText="1"/>
    </xf>
    <xf numFmtId="165" fontId="99" fillId="0" borderId="0" xfId="4" applyNumberFormat="1" applyFont="1" applyBorder="1" applyAlignment="1" applyProtection="1">
      <alignment horizontal="center" vertical="center" wrapText="1"/>
    </xf>
    <xf numFmtId="0" fontId="90" fillId="0" borderId="0" xfId="4" applyFont="1" applyAlignment="1">
      <alignment horizontal="center" vertical="center" wrapText="1"/>
    </xf>
    <xf numFmtId="169" fontId="83" fillId="0" borderId="0" xfId="4" applyNumberFormat="1" applyFont="1" applyAlignment="1" applyProtection="1">
      <alignment horizontal="center" vertical="center" wrapText="1"/>
    </xf>
    <xf numFmtId="0" fontId="84" fillId="0" borderId="0" xfId="4" applyFont="1" applyAlignment="1">
      <alignment horizontal="center" vertical="center" wrapText="1"/>
    </xf>
    <xf numFmtId="0" fontId="90" fillId="0" borderId="34" xfId="4" applyFont="1" applyBorder="1" applyAlignment="1" applyProtection="1">
      <alignment horizontal="center"/>
      <protection locked="0"/>
    </xf>
    <xf numFmtId="0" fontId="90" fillId="0" borderId="64" xfId="4" applyFont="1" applyBorder="1" applyAlignment="1" applyProtection="1">
      <alignment horizontal="center"/>
      <protection locked="0"/>
    </xf>
    <xf numFmtId="0" fontId="90" fillId="0" borderId="0" xfId="4" applyFont="1" applyAlignment="1" applyProtection="1">
      <alignment horizontal="left" vertical="top" wrapText="1"/>
      <protection locked="0"/>
    </xf>
    <xf numFmtId="0" fontId="90" fillId="0" borderId="0" xfId="4" applyFont="1" applyBorder="1" applyAlignment="1" applyProtection="1">
      <alignment horizontal="left" vertical="top" wrapText="1"/>
      <protection locked="0"/>
    </xf>
    <xf numFmtId="0" fontId="83" fillId="0" borderId="0" xfId="4" applyFont="1" applyAlignment="1" applyProtection="1">
      <alignment horizontal="center" vertical="center" wrapText="1"/>
    </xf>
    <xf numFmtId="0" fontId="83" fillId="0" borderId="0" xfId="4" applyFont="1" applyBorder="1" applyAlignment="1" applyProtection="1">
      <alignment horizontal="center" vertical="center" wrapText="1"/>
    </xf>
    <xf numFmtId="0" fontId="90" fillId="0" borderId="0" xfId="4" applyFont="1" applyBorder="1" applyAlignment="1">
      <alignment horizontal="center" vertical="center" wrapText="1"/>
    </xf>
    <xf numFmtId="8" fontId="90" fillId="0" borderId="0" xfId="4" applyNumberFormat="1" applyFont="1" applyAlignment="1" applyProtection="1">
      <alignment horizontal="left" vertical="top" wrapText="1"/>
      <protection locked="0"/>
    </xf>
    <xf numFmtId="0" fontId="99" fillId="0" borderId="64" xfId="4" applyNumberFormat="1" applyFont="1" applyBorder="1" applyAlignment="1" applyProtection="1">
      <alignment horizontal="center"/>
      <protection locked="0"/>
    </xf>
    <xf numFmtId="0" fontId="99" fillId="0" borderId="64" xfId="4" applyFont="1" applyBorder="1" applyAlignment="1" applyProtection="1">
      <alignment horizontal="center"/>
      <protection locked="0"/>
    </xf>
    <xf numFmtId="0" fontId="99" fillId="0" borderId="64" xfId="4" applyFont="1" applyBorder="1" applyAlignment="1" applyProtection="1">
      <alignment horizontal="center" vertical="center"/>
      <protection locked="0"/>
    </xf>
    <xf numFmtId="0" fontId="83" fillId="0" borderId="0" xfId="4" applyNumberFormat="1" applyFont="1" applyBorder="1" applyAlignment="1" applyProtection="1">
      <alignment horizontal="center" vertical="center" wrapText="1"/>
    </xf>
    <xf numFmtId="165" fontId="83" fillId="0" borderId="0" xfId="4" applyNumberFormat="1" applyFont="1" applyBorder="1" applyAlignment="1" applyProtection="1">
      <alignment horizontal="center" vertical="center" wrapText="1"/>
    </xf>
    <xf numFmtId="0" fontId="83" fillId="0" borderId="16" xfId="4" applyFont="1" applyBorder="1" applyAlignment="1" applyProtection="1">
      <alignment horizontal="center" vertical="center" wrapText="1"/>
    </xf>
    <xf numFmtId="0" fontId="83" fillId="0" borderId="0" xfId="4" applyNumberFormat="1" applyFont="1" applyAlignment="1" applyProtection="1">
      <alignment horizontal="center" vertical="center" wrapText="1"/>
    </xf>
    <xf numFmtId="38" fontId="136" fillId="16" borderId="155" xfId="15" applyNumberFormat="1" applyFont="1" applyFill="1" applyBorder="1" applyAlignment="1" applyProtection="1">
      <alignment horizontal="right" vertical="top"/>
    </xf>
    <xf numFmtId="38" fontId="80" fillId="18" borderId="155" xfId="15" applyNumberFormat="1" applyFill="1" applyBorder="1" applyAlignment="1">
      <alignment horizontal="right" vertical="top"/>
    </xf>
    <xf numFmtId="38" fontId="136" fillId="16" borderId="156" xfId="15" applyNumberFormat="1" applyFont="1" applyFill="1" applyBorder="1" applyAlignment="1" applyProtection="1">
      <alignment vertical="top"/>
    </xf>
    <xf numFmtId="38" fontId="80" fillId="21" borderId="156" xfId="15" applyNumberFormat="1" applyFill="1" applyBorder="1" applyAlignment="1" applyProtection="1">
      <alignment vertical="top"/>
    </xf>
    <xf numFmtId="0" fontId="154" fillId="16" borderId="63" xfId="0" applyFont="1" applyFill="1" applyBorder="1" applyAlignment="1">
      <alignment vertical="center"/>
    </xf>
  </cellXfs>
  <cellStyles count="26">
    <cellStyle name="Comma" xfId="1" builtinId="3"/>
    <cellStyle name="Hyperlink" xfId="2" builtinId="8"/>
    <cellStyle name="Hyperlink 2" xfId="3" xr:uid="{00000000-0005-0000-0000-000002000000}"/>
    <cellStyle name="Normal" xfId="0" builtinId="0"/>
    <cellStyle name="Normal 2" xfId="4" xr:uid="{00000000-0005-0000-0000-000004000000}"/>
    <cellStyle name="Normal 3" xfId="5" xr:uid="{00000000-0005-0000-0000-000005000000}"/>
    <cellStyle name="Normal 3 2" xfId="6" xr:uid="{00000000-0005-0000-0000-000006000000}"/>
    <cellStyle name="Normal 3 2 2" xfId="7" xr:uid="{00000000-0005-0000-0000-000007000000}"/>
    <cellStyle name="Normal 3 2 2 2" xfId="8" xr:uid="{00000000-0005-0000-0000-000008000000}"/>
    <cellStyle name="Normal 3 2 3" xfId="9" xr:uid="{00000000-0005-0000-0000-000009000000}"/>
    <cellStyle name="Normal 3 2_Itemization 33" xfId="10" xr:uid="{00000000-0005-0000-0000-00000A000000}"/>
    <cellStyle name="Normal 3 3" xfId="11" xr:uid="{00000000-0005-0000-0000-00000B000000}"/>
    <cellStyle name="Normal 3_Itemization 33" xfId="12" xr:uid="{00000000-0005-0000-0000-00000C000000}"/>
    <cellStyle name="Normal 4" xfId="13" xr:uid="{00000000-0005-0000-0000-00000D000000}"/>
    <cellStyle name="Normal 4 2" xfId="14" xr:uid="{00000000-0005-0000-0000-00000E000000}"/>
    <cellStyle name="Normal 5" xfId="15" xr:uid="{00000000-0005-0000-0000-00000F000000}"/>
    <cellStyle name="Normal 5 2" xfId="16" xr:uid="{00000000-0005-0000-0000-000010000000}"/>
    <cellStyle name="Normal_AFRPG3" xfId="17" xr:uid="{00000000-0005-0000-0000-000011000000}"/>
    <cellStyle name="Normal_AFRPG41" xfId="18" xr:uid="{00000000-0005-0000-0000-000012000000}"/>
    <cellStyle name="Normal_AFRPG47" xfId="19" xr:uid="{00000000-0005-0000-0000-000013000000}"/>
    <cellStyle name="Normal_AFRPG56" xfId="20" xr:uid="{00000000-0005-0000-0000-000014000000}"/>
    <cellStyle name="Normal_AFRPG59" xfId="21" xr:uid="{00000000-0005-0000-0000-000015000000}"/>
    <cellStyle name="Normal_AFRPG63" xfId="22" xr:uid="{00000000-0005-0000-0000-000016000000}"/>
    <cellStyle name="Normal_AFRPG64" xfId="23" xr:uid="{00000000-0005-0000-0000-000017000000}"/>
    <cellStyle name="Normal_COVER" xfId="24" xr:uid="{00000000-0005-0000-0000-000018000000}"/>
    <cellStyle name="Normal_THRESHOLD CALCULATOR v3"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814BE147-D754-4956-B6C7-21C33DFE70D2}"/>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38160471-C780-473C-9EE2-4BAD02F3F028}"/>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B892DACC-F468-4EA8-84BB-7DA4F85A28FC}"/>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5432E8A7-53A8-447D-B0E6-422B90EAB19B}"/>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AACE6A62-4A67-4532-BB15-AB3FFD75B0EC}"/>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E4C2C246-3035-489A-A663-E0A01B9A722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51201" name="Text 1">
          <a:extLst>
            <a:ext uri="{FF2B5EF4-FFF2-40B4-BE49-F238E27FC236}">
              <a16:creationId xmlns:a16="http://schemas.microsoft.com/office/drawing/2014/main" id="{F511017B-D40A-404B-B0FD-3916481B0244}"/>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51202" name="Rectangle 2">
          <a:extLst>
            <a:ext uri="{FF2B5EF4-FFF2-40B4-BE49-F238E27FC236}">
              <a16:creationId xmlns:a16="http://schemas.microsoft.com/office/drawing/2014/main" id="{FBA234D4-BD33-459B-8AA6-72BCDA5A9958}"/>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52225" name="Text 1">
          <a:extLst>
            <a:ext uri="{FF2B5EF4-FFF2-40B4-BE49-F238E27FC236}">
              <a16:creationId xmlns:a16="http://schemas.microsoft.com/office/drawing/2014/main" id="{E415B228-A387-4577-BD32-42D7277CCDE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2226" name="Rectangle 2">
          <a:extLst>
            <a:ext uri="{FF2B5EF4-FFF2-40B4-BE49-F238E27FC236}">
              <a16:creationId xmlns:a16="http://schemas.microsoft.com/office/drawing/2014/main" id="{0DD96CF0-7FFD-4BDA-9F93-B21ABD726C4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53249" name="Text 1">
          <a:extLst>
            <a:ext uri="{FF2B5EF4-FFF2-40B4-BE49-F238E27FC236}">
              <a16:creationId xmlns:a16="http://schemas.microsoft.com/office/drawing/2014/main" id="{BEEE5AF3-11AC-48F4-AD27-50679016F53D}"/>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53250" name="Rectangle 2">
          <a:extLst>
            <a:ext uri="{FF2B5EF4-FFF2-40B4-BE49-F238E27FC236}">
              <a16:creationId xmlns:a16="http://schemas.microsoft.com/office/drawing/2014/main" id="{E5C34855-076B-4EC5-A0AC-4C430BBFACFF}"/>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54273" name="Text 1">
          <a:extLst>
            <a:ext uri="{FF2B5EF4-FFF2-40B4-BE49-F238E27FC236}">
              <a16:creationId xmlns:a16="http://schemas.microsoft.com/office/drawing/2014/main" id="{B2912B40-2E0E-4050-8796-2669A1216FD1}"/>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54274" name="Rectangle 2">
          <a:extLst>
            <a:ext uri="{FF2B5EF4-FFF2-40B4-BE49-F238E27FC236}">
              <a16:creationId xmlns:a16="http://schemas.microsoft.com/office/drawing/2014/main" id="{31443B77-6326-4E5F-9F79-1247A3C11DB3}"/>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8" t="s">
        <v>405</v>
      </c>
      <c r="J1" s="2029"/>
      <c r="K1" s="2029"/>
      <c r="L1" s="2029"/>
      <c r="M1" s="2029"/>
      <c r="N1" s="2029"/>
      <c r="O1" s="2029"/>
      <c r="P1" s="2029"/>
      <c r="Q1" s="2029"/>
      <c r="R1" s="2029"/>
      <c r="S1" s="2029"/>
    </row>
    <row r="2" spans="1:28" ht="12" customHeight="1" x14ac:dyDescent="0.2">
      <c r="A2" s="47" t="s">
        <v>1988</v>
      </c>
      <c r="D2" s="48"/>
      <c r="I2" s="2030" t="s">
        <v>979</v>
      </c>
      <c r="J2" s="2029"/>
      <c r="K2" s="2029"/>
      <c r="L2" s="2029"/>
      <c r="M2" s="2029"/>
      <c r="N2" s="2029"/>
      <c r="O2" s="2029"/>
      <c r="P2" s="2029"/>
      <c r="Q2" s="2029"/>
      <c r="R2" s="2029"/>
      <c r="S2" s="2029"/>
    </row>
    <row r="3" spans="1:28" ht="12" customHeight="1" x14ac:dyDescent="0.2">
      <c r="A3" s="155" t="s">
        <v>1940</v>
      </c>
      <c r="B3" s="156"/>
      <c r="C3" s="156"/>
      <c r="D3" s="157"/>
      <c r="I3" s="2030" t="s">
        <v>52</v>
      </c>
      <c r="J3" s="2029"/>
      <c r="K3" s="2029"/>
      <c r="L3" s="2029"/>
      <c r="M3" s="2029"/>
      <c r="N3" s="2029"/>
      <c r="O3" s="2029"/>
      <c r="P3" s="2029"/>
      <c r="Q3" s="2029"/>
      <c r="R3" s="2029"/>
      <c r="S3" s="2029"/>
    </row>
    <row r="4" spans="1:28" ht="12" customHeight="1" x14ac:dyDescent="0.2">
      <c r="A4" s="37"/>
      <c r="I4" s="2030" t="s">
        <v>524</v>
      </c>
      <c r="J4" s="2029"/>
      <c r="K4" s="2029"/>
      <c r="L4" s="2029"/>
      <c r="M4" s="2029"/>
      <c r="N4" s="2029"/>
      <c r="O4" s="2029"/>
      <c r="P4" s="2029"/>
      <c r="Q4" s="2029"/>
      <c r="R4" s="2029"/>
      <c r="S4" s="2029"/>
    </row>
    <row r="5" spans="1:28" ht="14.1" customHeight="1" x14ac:dyDescent="0.2">
      <c r="B5" s="104" t="s">
        <v>2070</v>
      </c>
      <c r="C5" s="26" t="s">
        <v>910</v>
      </c>
      <c r="D5" s="84"/>
      <c r="E5" s="84"/>
      <c r="H5" s="38"/>
      <c r="I5" s="2037" t="s">
        <v>680</v>
      </c>
      <c r="J5" s="2003"/>
      <c r="K5" s="2003"/>
      <c r="L5" s="2003"/>
      <c r="M5" s="2003"/>
      <c r="N5" s="2003"/>
      <c r="O5" s="2003"/>
      <c r="P5" s="2003"/>
      <c r="Q5" s="2003"/>
      <c r="R5" s="2003"/>
      <c r="S5" s="2003"/>
    </row>
    <row r="6" spans="1:28" ht="14.1" customHeight="1" x14ac:dyDescent="0.2">
      <c r="B6" s="104"/>
      <c r="C6" s="26" t="s">
        <v>911</v>
      </c>
      <c r="D6" s="84"/>
      <c r="E6" s="84"/>
      <c r="I6" s="2036" t="s">
        <v>883</v>
      </c>
      <c r="J6" s="2003"/>
      <c r="K6" s="2003"/>
      <c r="L6" s="2003"/>
      <c r="M6" s="2003"/>
      <c r="N6" s="2003"/>
      <c r="O6" s="2003"/>
      <c r="P6" s="2003"/>
      <c r="Q6" s="2003"/>
      <c r="R6" s="2003"/>
      <c r="S6" s="2003"/>
    </row>
    <row r="7" spans="1:28" ht="12.2" customHeight="1" x14ac:dyDescent="0.2">
      <c r="I7" s="2031">
        <v>43646</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674</v>
      </c>
      <c r="J9" s="2034"/>
      <c r="K9" s="2034"/>
      <c r="L9" s="2034"/>
      <c r="M9" s="2034"/>
      <c r="N9" s="2034"/>
      <c r="O9" s="2034"/>
      <c r="P9" s="2034"/>
      <c r="Q9" s="2034"/>
      <c r="R9" s="2034"/>
      <c r="S9" s="2035"/>
      <c r="T9" s="2013" t="s">
        <v>533</v>
      </c>
      <c r="U9" s="2014"/>
      <c r="V9" s="2014"/>
      <c r="W9" s="2014"/>
      <c r="X9" s="2014"/>
      <c r="Y9" s="2014"/>
      <c r="Z9" s="2014"/>
      <c r="AA9" s="2015"/>
    </row>
    <row r="10" spans="1:28" ht="13.5" customHeight="1" x14ac:dyDescent="0.2">
      <c r="A10" s="2020" t="s">
        <v>675</v>
      </c>
      <c r="B10" s="2021"/>
      <c r="C10" s="2021"/>
      <c r="D10" s="2021"/>
      <c r="E10" s="2021"/>
      <c r="F10" s="2021"/>
      <c r="G10" s="2021"/>
      <c r="H10" s="2022"/>
      <c r="I10" s="29"/>
      <c r="J10" s="30"/>
      <c r="K10" s="28"/>
      <c r="R10" s="30"/>
      <c r="S10" s="30"/>
      <c r="T10" s="2016"/>
      <c r="U10" s="2003"/>
      <c r="V10" s="2003"/>
      <c r="W10" s="2003"/>
      <c r="X10" s="2003"/>
      <c r="Y10" s="2003"/>
      <c r="Z10" s="2003"/>
      <c r="AA10" s="2004"/>
    </row>
    <row r="11" spans="1:28" ht="14.25" customHeight="1" x14ac:dyDescent="0.2">
      <c r="A11" s="2023" t="s">
        <v>955</v>
      </c>
      <c r="B11" s="2024"/>
      <c r="C11" s="2024"/>
      <c r="D11" s="2024"/>
      <c r="E11" s="2024"/>
      <c r="F11" s="2024"/>
      <c r="G11" s="2024"/>
      <c r="H11" s="2025"/>
      <c r="I11" s="27"/>
      <c r="J11" s="74"/>
      <c r="K11" s="27"/>
      <c r="O11" s="148" t="s">
        <v>2070</v>
      </c>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2" t="s">
        <v>2071</v>
      </c>
      <c r="B13" s="1983"/>
      <c r="C13" s="1983"/>
      <c r="D13" s="1983"/>
      <c r="E13" s="1983"/>
      <c r="F13" s="1983"/>
      <c r="G13" s="1983"/>
      <c r="H13" s="1984"/>
      <c r="I13" s="31"/>
      <c r="J13" s="30"/>
      <c r="K13" s="28"/>
      <c r="L13" s="30"/>
      <c r="M13" s="30"/>
      <c r="N13" s="30"/>
      <c r="O13" s="30"/>
      <c r="P13" s="30"/>
      <c r="Q13" s="30"/>
      <c r="R13" s="30"/>
      <c r="S13" s="30"/>
      <c r="T13" s="1988" t="s">
        <v>2061</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2072</v>
      </c>
      <c r="B15" s="1977"/>
      <c r="C15" s="1977"/>
      <c r="D15" s="1977"/>
      <c r="E15" s="1977"/>
      <c r="F15" s="1977"/>
      <c r="G15" s="1977"/>
      <c r="H15" s="1978"/>
      <c r="T15" s="1968" t="s">
        <v>2062</v>
      </c>
      <c r="U15" s="1969"/>
      <c r="V15" s="1969"/>
      <c r="W15" s="1969"/>
      <c r="X15" s="1969"/>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0" t="s">
        <v>2073</v>
      </c>
      <c r="B17" s="2011"/>
      <c r="C17" s="2011"/>
      <c r="D17" s="2011"/>
      <c r="E17" s="2011"/>
      <c r="F17" s="2011"/>
      <c r="G17" s="2011"/>
      <c r="H17" s="2012"/>
      <c r="T17" s="1996" t="s">
        <v>2063</v>
      </c>
      <c r="U17" s="1997"/>
      <c r="V17" s="1997"/>
      <c r="W17" s="1997"/>
      <c r="X17" s="1997"/>
      <c r="Y17" s="1997"/>
      <c r="Z17" s="1997"/>
      <c r="AA17" s="1998"/>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5" t="s">
        <v>2074</v>
      </c>
      <c r="B19" s="2027"/>
      <c r="C19" s="2027"/>
      <c r="D19" s="2027"/>
      <c r="E19" s="2027"/>
      <c r="F19" s="2027"/>
      <c r="G19" s="2027"/>
      <c r="H19" s="1987"/>
      <c r="I19" s="30"/>
      <c r="J19" s="99"/>
      <c r="K19" s="40"/>
      <c r="L19" s="38"/>
      <c r="M19" s="112" t="s">
        <v>315</v>
      </c>
      <c r="P19" s="27"/>
      <c r="Q19" s="27"/>
      <c r="R19" s="27"/>
      <c r="S19" s="31"/>
      <c r="T19" s="1985" t="s">
        <v>2064</v>
      </c>
      <c r="U19" s="1986"/>
      <c r="V19" s="1986"/>
      <c r="W19" s="1987"/>
      <c r="X19" s="1995" t="s">
        <v>2065</v>
      </c>
      <c r="Y19" s="1986"/>
      <c r="Z19" s="1994">
        <v>60450</v>
      </c>
      <c r="AA19" s="198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6" t="s">
        <v>2075</v>
      </c>
      <c r="B21" s="1986"/>
      <c r="C21" s="1986"/>
      <c r="D21" s="1986"/>
      <c r="E21" s="1986"/>
      <c r="F21" s="1986"/>
      <c r="G21" s="1986"/>
      <c r="H21" s="1987"/>
      <c r="I21" s="2002" t="s">
        <v>678</v>
      </c>
      <c r="J21" s="2003"/>
      <c r="K21" s="2003"/>
      <c r="L21" s="2003"/>
      <c r="M21" s="2003"/>
      <c r="N21" s="2003"/>
      <c r="O21" s="2003"/>
      <c r="P21" s="2003"/>
      <c r="Q21" s="2003"/>
      <c r="R21" s="2003"/>
      <c r="S21" s="2004"/>
      <c r="T21" s="1965" t="s">
        <v>2066</v>
      </c>
      <c r="U21" s="1966"/>
      <c r="V21" s="1966"/>
      <c r="W21" s="1966"/>
      <c r="X21" s="1979" t="s">
        <v>2067</v>
      </c>
      <c r="Y21" s="1980"/>
      <c r="Z21" s="1980"/>
      <c r="AA21" s="1981"/>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1999" t="s">
        <v>2155</v>
      </c>
      <c r="B23" s="2000"/>
      <c r="C23" s="2000"/>
      <c r="D23" s="2000"/>
      <c r="E23" s="2000"/>
      <c r="F23" s="2000"/>
      <c r="G23" s="2000"/>
      <c r="H23" s="2001"/>
      <c r="T23" s="1960" t="s">
        <v>2068</v>
      </c>
      <c r="U23" s="1961"/>
      <c r="V23" s="1961"/>
      <c r="W23" s="1961"/>
      <c r="X23" s="1976">
        <v>43799</v>
      </c>
      <c r="Y23" s="1977"/>
      <c r="Z23" s="1977"/>
      <c r="AA23" s="1978"/>
    </row>
    <row r="24" spans="1:27" ht="14.1" customHeight="1" x14ac:dyDescent="0.2">
      <c r="A24" s="88" t="s">
        <v>677</v>
      </c>
      <c r="B24" s="49"/>
      <c r="C24" s="49"/>
      <c r="D24" s="49"/>
      <c r="E24" s="49"/>
      <c r="F24" s="49"/>
      <c r="G24" s="49"/>
      <c r="H24" s="61"/>
      <c r="J24" s="2057">
        <f>IF(B5="x",IF(AUDITCHECK!D29="AFR form Incomplete.","",IF(AUDITCHECK!D29="Deficit reduction plan is required.","School District must complete a deficit reduction plan in the 2019-2020 Budget",)),"")</f>
        <v>0</v>
      </c>
      <c r="K24" s="2057"/>
      <c r="L24" s="2057"/>
      <c r="M24" s="2057"/>
      <c r="N24" s="2057"/>
      <c r="O24" s="2057"/>
      <c r="P24" s="2057"/>
      <c r="Q24" s="2057"/>
      <c r="R24" s="2057"/>
      <c r="S24" s="2058"/>
      <c r="T24" s="105" t="s">
        <v>531</v>
      </c>
      <c r="U24" s="106"/>
      <c r="V24" s="106"/>
      <c r="W24" s="106"/>
      <c r="X24" s="107"/>
      <c r="Y24" s="107"/>
      <c r="Z24" s="107"/>
      <c r="AA24" s="108"/>
    </row>
    <row r="25" spans="1:27" ht="14.1" customHeight="1" x14ac:dyDescent="0.2">
      <c r="A25" s="2026">
        <v>60416</v>
      </c>
      <c r="B25" s="1986"/>
      <c r="C25" s="1986"/>
      <c r="D25" s="1986"/>
      <c r="E25" s="1986"/>
      <c r="F25" s="1986"/>
      <c r="G25" s="1986"/>
      <c r="H25" s="1987"/>
      <c r="I25" s="113"/>
      <c r="J25" s="2059"/>
      <c r="K25" s="2059"/>
      <c r="L25" s="2059"/>
      <c r="M25" s="2059"/>
      <c r="N25" s="2059"/>
      <c r="O25" s="2059"/>
      <c r="P25" s="2059"/>
      <c r="Q25" s="2059"/>
      <c r="R25" s="2059"/>
      <c r="S25" s="2060"/>
      <c r="T25" s="1957" t="s">
        <v>2069</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0"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2076</v>
      </c>
      <c r="F29" s="141" t="s">
        <v>1316</v>
      </c>
      <c r="G29" s="114"/>
      <c r="I29" s="54"/>
      <c r="J29" s="148" t="s">
        <v>2076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2076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7"/>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0" t="s">
        <v>2077</v>
      </c>
      <c r="B38" s="2011"/>
      <c r="C38" s="2011"/>
      <c r="D38" s="2011"/>
      <c r="E38" s="2011"/>
      <c r="F38" s="1986"/>
      <c r="G38" s="1986"/>
      <c r="H38" s="1987"/>
      <c r="I38" s="2044"/>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48" t="s">
        <v>531</v>
      </c>
      <c r="B39" s="2049"/>
      <c r="C39" s="72"/>
      <c r="D39" s="69"/>
      <c r="E39" s="69"/>
      <c r="F39" s="79"/>
      <c r="G39" s="69"/>
      <c r="H39" s="56"/>
      <c r="I39" s="2048" t="s">
        <v>531</v>
      </c>
      <c r="J39" s="2049"/>
      <c r="K39" s="2049"/>
      <c r="L39" s="2049"/>
      <c r="M39" s="2049"/>
      <c r="N39" s="67"/>
      <c r="O39" s="72"/>
      <c r="P39" s="72"/>
      <c r="Q39" s="78"/>
      <c r="R39" s="72"/>
      <c r="S39" s="56"/>
      <c r="T39" s="72" t="s">
        <v>531</v>
      </c>
      <c r="U39" s="51"/>
      <c r="V39" s="72"/>
      <c r="W39" s="50"/>
      <c r="X39" s="78"/>
      <c r="Y39" s="45"/>
      <c r="Z39" s="45"/>
      <c r="AA39" s="46"/>
    </row>
    <row r="40" spans="1:27" ht="13.5" customHeight="1" x14ac:dyDescent="0.2">
      <c r="A40" s="2051" t="s">
        <v>2078</v>
      </c>
      <c r="B40" s="2052"/>
      <c r="C40" s="2053"/>
      <c r="D40" s="2053"/>
      <c r="E40" s="2053"/>
      <c r="F40" s="2054"/>
      <c r="G40" s="2054"/>
      <c r="H40" s="2055"/>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9" t="s">
        <v>2079</v>
      </c>
      <c r="B42" s="2042"/>
      <c r="C42" s="2043"/>
      <c r="D42" s="2056" t="s">
        <v>2080</v>
      </c>
      <c r="E42" s="2042"/>
      <c r="F42" s="2042"/>
      <c r="G42" s="2042"/>
      <c r="H42" s="2043"/>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5"/>
      <c r="B44" s="2046"/>
      <c r="C44" s="2046"/>
      <c r="D44" s="2046"/>
      <c r="E44" s="2046"/>
      <c r="F44" s="2046"/>
      <c r="G44" s="2046"/>
      <c r="H44" s="2047"/>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T9:AA11"/>
    <mergeCell ref="A10:H10"/>
    <mergeCell ref="A11:H11"/>
    <mergeCell ref="A21:H21"/>
    <mergeCell ref="A19:H19"/>
    <mergeCell ref="A23:H23"/>
    <mergeCell ref="I21:S21"/>
    <mergeCell ref="I22:S22"/>
    <mergeCell ref="I18:S18"/>
    <mergeCell ref="A17:H17"/>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21" sqref="E2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4" t="s">
        <v>1799</v>
      </c>
      <c r="B2" s="1528" t="s">
        <v>1946</v>
      </c>
      <c r="C2" s="714" t="s">
        <v>1947</v>
      </c>
      <c r="D2" s="714" t="s">
        <v>1948</v>
      </c>
      <c r="E2" s="714" t="s">
        <v>1949</v>
      </c>
      <c r="F2" s="714" t="s">
        <v>1950</v>
      </c>
    </row>
    <row r="3" spans="1:6" ht="12" customHeight="1" x14ac:dyDescent="0.2">
      <c r="A3" s="2195"/>
      <c r="B3" s="1525"/>
      <c r="C3" s="1526"/>
      <c r="D3" s="1527" t="s">
        <v>256</v>
      </c>
      <c r="E3" s="1526"/>
      <c r="F3" s="1527" t="s">
        <v>257</v>
      </c>
    </row>
    <row r="4" spans="1:6" ht="13.7" customHeight="1" x14ac:dyDescent="0.2">
      <c r="A4" s="715" t="s">
        <v>1155</v>
      </c>
      <c r="B4" s="1747">
        <f>'Revenues 9-14'!C5</f>
        <v>15617842</v>
      </c>
      <c r="C4" s="1524"/>
      <c r="D4" s="1750">
        <f>B4-C4</f>
        <v>15617842</v>
      </c>
      <c r="E4" s="1524">
        <v>15762898</v>
      </c>
      <c r="F4" s="1750">
        <f>E4-C4</f>
        <v>15762898</v>
      </c>
    </row>
    <row r="5" spans="1:6" ht="13.7" customHeight="1" x14ac:dyDescent="0.2">
      <c r="A5" s="715" t="s">
        <v>870</v>
      </c>
      <c r="B5" s="1748">
        <f>'Revenues 9-14'!D5</f>
        <v>3323064</v>
      </c>
      <c r="C5" s="585"/>
      <c r="D5" s="1751">
        <f t="shared" ref="D5:D18" si="0">B5-C5</f>
        <v>3323064</v>
      </c>
      <c r="E5" s="585">
        <v>3399049</v>
      </c>
      <c r="F5" s="1751">
        <f>E5-C5</f>
        <v>3399049</v>
      </c>
    </row>
    <row r="6" spans="1:6" ht="13.7" customHeight="1" x14ac:dyDescent="0.2">
      <c r="A6" s="715" t="s">
        <v>411</v>
      </c>
      <c r="B6" s="1748">
        <f>'Revenues 9-14'!E5</f>
        <v>3537209</v>
      </c>
      <c r="C6" s="585"/>
      <c r="D6" s="1751">
        <f t="shared" si="0"/>
        <v>3537209</v>
      </c>
      <c r="E6" s="585">
        <v>3496948</v>
      </c>
      <c r="F6" s="1751">
        <f t="shared" ref="F6:F18" si="1">E6-C6</f>
        <v>3496948</v>
      </c>
    </row>
    <row r="7" spans="1:6" ht="13.7" customHeight="1" x14ac:dyDescent="0.2">
      <c r="A7" s="715" t="s">
        <v>155</v>
      </c>
      <c r="B7" s="1748">
        <f>'Revenues 9-14'!F5</f>
        <v>1414067</v>
      </c>
      <c r="C7" s="585"/>
      <c r="D7" s="1751">
        <f t="shared" si="0"/>
        <v>1414067</v>
      </c>
      <c r="E7" s="585">
        <v>1456702</v>
      </c>
      <c r="F7" s="1751">
        <f t="shared" si="1"/>
        <v>1456702</v>
      </c>
    </row>
    <row r="8" spans="1:6" ht="13.7" customHeight="1" x14ac:dyDescent="0.2">
      <c r="A8" s="715" t="s">
        <v>1179</v>
      </c>
      <c r="B8" s="1748">
        <f>'Revenues 9-14'!G5</f>
        <v>314264</v>
      </c>
      <c r="C8" s="585"/>
      <c r="D8" s="1751">
        <f t="shared" si="0"/>
        <v>314264</v>
      </c>
      <c r="E8" s="585">
        <v>323685</v>
      </c>
      <c r="F8" s="1751">
        <f t="shared" si="1"/>
        <v>323685</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223969</v>
      </c>
      <c r="C10" s="585"/>
      <c r="D10" s="1751">
        <f t="shared" si="0"/>
        <v>223969</v>
      </c>
      <c r="E10" s="585">
        <v>242823</v>
      </c>
      <c r="F10" s="1751">
        <f t="shared" si="1"/>
        <v>242823</v>
      </c>
    </row>
    <row r="11" spans="1:6" x14ac:dyDescent="0.2">
      <c r="A11" s="715" t="s">
        <v>409</v>
      </c>
      <c r="B11" s="1748">
        <f>'Revenues 9-14'!J5</f>
        <v>223182</v>
      </c>
      <c r="C11" s="585"/>
      <c r="D11" s="1751">
        <f t="shared" si="0"/>
        <v>223182</v>
      </c>
      <c r="E11" s="585">
        <v>242823</v>
      </c>
      <c r="F11" s="1751">
        <f t="shared" si="1"/>
        <v>242823</v>
      </c>
    </row>
    <row r="12" spans="1:6" ht="13.7" customHeight="1" x14ac:dyDescent="0.2">
      <c r="A12" s="715" t="s">
        <v>157</v>
      </c>
      <c r="B12" s="1748">
        <f>'Revenues 9-14'!K5</f>
        <v>39291</v>
      </c>
      <c r="C12" s="585"/>
      <c r="D12" s="1751">
        <f t="shared" si="0"/>
        <v>39291</v>
      </c>
      <c r="E12" s="585">
        <v>40470</v>
      </c>
      <c r="F12" s="1751">
        <f t="shared" si="1"/>
        <v>40470</v>
      </c>
    </row>
    <row r="13" spans="1:6" ht="13.7" customHeight="1" x14ac:dyDescent="0.2">
      <c r="A13" s="715" t="s">
        <v>936</v>
      </c>
      <c r="B13" s="1748">
        <f>SUM('Revenues 9-14'!C6:D6)</f>
        <v>235918</v>
      </c>
      <c r="C13" s="585"/>
      <c r="D13" s="1751">
        <f t="shared" si="0"/>
        <v>235918</v>
      </c>
      <c r="E13" s="585">
        <v>399906</v>
      </c>
      <c r="F13" s="1751">
        <f t="shared" si="1"/>
        <v>399906</v>
      </c>
    </row>
    <row r="14" spans="1:6" ht="13.7" customHeight="1" x14ac:dyDescent="0.2">
      <c r="A14" s="715" t="s">
        <v>410</v>
      </c>
      <c r="B14" s="1748">
        <f>SUM('Revenues 9-14'!C7:D7,'Revenues 9-14'!F7:H7)</f>
        <v>312613</v>
      </c>
      <c r="C14" s="585"/>
      <c r="D14" s="1751">
        <f t="shared" si="0"/>
        <v>312613</v>
      </c>
      <c r="E14" s="585">
        <v>319926</v>
      </c>
      <c r="F14" s="1751">
        <f t="shared" si="1"/>
        <v>319926</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353555</v>
      </c>
      <c r="C16" s="585"/>
      <c r="D16" s="1751">
        <f t="shared" si="0"/>
        <v>353555</v>
      </c>
      <c r="E16" s="585">
        <v>364155</v>
      </c>
      <c r="F16" s="1751">
        <f t="shared" si="1"/>
        <v>364155</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25594974</v>
      </c>
      <c r="C19" s="1749">
        <f>SUM(C4:C18)</f>
        <v>0</v>
      </c>
      <c r="D19" s="1749">
        <f>SUM(D4:D18)</f>
        <v>25594974</v>
      </c>
      <c r="E19" s="1749">
        <f>SUM(E4:E18)</f>
        <v>26049385</v>
      </c>
      <c r="F19" s="1749">
        <f>SUM(F4:F18)</f>
        <v>26049385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12" colorId="8" zoomScaleNormal="100" workbookViewId="0">
      <selection activeCell="B36" sqref="B36"/>
    </sheetView>
  </sheetViews>
  <sheetFormatPr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6" t="s">
        <v>1799</v>
      </c>
      <c r="B2" s="2207"/>
      <c r="C2" s="1881" t="s">
        <v>1951</v>
      </c>
      <c r="D2" s="723" t="s">
        <v>1952</v>
      </c>
      <c r="E2" s="723" t="s">
        <v>1953</v>
      </c>
      <c r="F2" s="1881" t="s">
        <v>1954</v>
      </c>
    </row>
    <row r="3" spans="1:7" ht="15.75" customHeight="1" x14ac:dyDescent="0.2">
      <c r="A3" s="2213" t="s">
        <v>1114</v>
      </c>
      <c r="B3" s="2214"/>
      <c r="C3" s="2198"/>
      <c r="D3" s="2199"/>
      <c r="E3" s="2199"/>
      <c r="F3" s="2200"/>
    </row>
    <row r="4" spans="1:7" ht="12.75" customHeight="1" thickBot="1" x14ac:dyDescent="0.25">
      <c r="A4" s="2208" t="s">
        <v>630</v>
      </c>
      <c r="B4" s="2209"/>
      <c r="C4" s="581"/>
      <c r="D4" s="581"/>
      <c r="E4" s="581"/>
      <c r="F4" s="1753">
        <f>SUM(C4+D4)-E4</f>
        <v>0</v>
      </c>
    </row>
    <row r="5" spans="1:7" ht="15.75" customHeight="1" thickTop="1" x14ac:dyDescent="0.2">
      <c r="A5" s="2210" t="s">
        <v>1110</v>
      </c>
      <c r="B5" s="2205"/>
      <c r="C5" s="2201"/>
      <c r="D5" s="2202"/>
      <c r="E5" s="2202"/>
      <c r="F5" s="220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11" t="s">
        <v>631</v>
      </c>
      <c r="B15" s="2212"/>
      <c r="C15" s="1753">
        <f>SUM(C6:C14)</f>
        <v>0</v>
      </c>
      <c r="D15" s="1753">
        <f>SUM(D6:D14)</f>
        <v>0</v>
      </c>
      <c r="E15" s="1753">
        <f>SUM(E6:E14)</f>
        <v>0</v>
      </c>
      <c r="F15" s="1753">
        <f>SUM(F6:F14)</f>
        <v>0</v>
      </c>
      <c r="G15" s="552"/>
    </row>
    <row r="16" spans="1:7" s="202" customFormat="1" ht="15.75" customHeight="1" thickTop="1" x14ac:dyDescent="0.2">
      <c r="A16" s="2204" t="s">
        <v>1111</v>
      </c>
      <c r="B16" s="2205"/>
      <c r="C16" s="2201"/>
      <c r="D16" s="2202"/>
      <c r="E16" s="2202"/>
      <c r="F16" s="2203"/>
    </row>
    <row r="17" spans="1:11" ht="12.75" customHeight="1" thickBot="1" x14ac:dyDescent="0.25">
      <c r="A17" s="2223" t="s">
        <v>64</v>
      </c>
      <c r="B17" s="2224"/>
      <c r="C17" s="726"/>
      <c r="D17" s="585"/>
      <c r="E17" s="726"/>
      <c r="F17" s="1753">
        <f>SUM(C17+D17)-E17</f>
        <v>0</v>
      </c>
    </row>
    <row r="18" spans="1:11" ht="12.75" customHeight="1" thickTop="1" thickBot="1" x14ac:dyDescent="0.25">
      <c r="A18" s="2223" t="s">
        <v>6</v>
      </c>
      <c r="B18" s="2224"/>
      <c r="C18" s="726"/>
      <c r="D18" s="585"/>
      <c r="E18" s="726"/>
      <c r="F18" s="1753">
        <f>SUM(C18+D18)-E18</f>
        <v>0</v>
      </c>
    </row>
    <row r="19" spans="1:11" ht="12.75" customHeight="1" thickTop="1" thickBot="1" x14ac:dyDescent="0.25">
      <c r="A19" s="2223" t="s">
        <v>388</v>
      </c>
      <c r="B19" s="2224"/>
      <c r="C19" s="726"/>
      <c r="D19" s="585"/>
      <c r="E19" s="726"/>
      <c r="F19" s="1753">
        <f>SUM(C19+D19)-E19</f>
        <v>0</v>
      </c>
    </row>
    <row r="20" spans="1:11" ht="12.75" customHeight="1" thickTop="1" thickBot="1" x14ac:dyDescent="0.25">
      <c r="A20" s="2223" t="s">
        <v>448</v>
      </c>
      <c r="B20" s="2224"/>
      <c r="C20" s="726"/>
      <c r="D20" s="585"/>
      <c r="E20" s="726"/>
      <c r="F20" s="1753">
        <f>SUM(C20+D20)-E20</f>
        <v>0</v>
      </c>
    </row>
    <row r="21" spans="1:11" ht="14.25" thickTop="1" thickBot="1" x14ac:dyDescent="0.25">
      <c r="A21" s="2211" t="s">
        <v>632</v>
      </c>
      <c r="B21" s="2212"/>
      <c r="C21" s="1753">
        <f>SUM(C17:C20)</f>
        <v>0</v>
      </c>
      <c r="D21" s="1753">
        <f>SUM(D17:D20)</f>
        <v>0</v>
      </c>
      <c r="E21" s="1753">
        <f>SUM(E17:E20)</f>
        <v>0</v>
      </c>
      <c r="F21" s="1753">
        <f>SUM(F17:F20)</f>
        <v>0</v>
      </c>
      <c r="G21" s="552"/>
    </row>
    <row r="22" spans="1:11" ht="15.75" customHeight="1" thickTop="1" x14ac:dyDescent="0.2">
      <c r="A22" s="2215" t="s">
        <v>1112</v>
      </c>
      <c r="B22" s="2205"/>
      <c r="C22" s="2201"/>
      <c r="D22" s="2202"/>
      <c r="E22" s="2202"/>
      <c r="F22" s="2203"/>
    </row>
    <row r="23" spans="1:11" ht="13.5" thickBot="1" x14ac:dyDescent="0.25">
      <c r="A23" s="2208" t="s">
        <v>633</v>
      </c>
      <c r="B23" s="2209"/>
      <c r="C23" s="581"/>
      <c r="D23" s="581"/>
      <c r="E23" s="581"/>
      <c r="F23" s="1753">
        <f>SUM(C23+D23)-E23</f>
        <v>0</v>
      </c>
      <c r="G23" s="552"/>
    </row>
    <row r="24" spans="1:11" ht="15.75" customHeight="1" thickTop="1" x14ac:dyDescent="0.2">
      <c r="A24" s="2215" t="s">
        <v>1113</v>
      </c>
      <c r="B24" s="2205"/>
      <c r="C24" s="2201"/>
      <c r="D24" s="2202"/>
      <c r="E24" s="2202"/>
      <c r="F24" s="2203"/>
    </row>
    <row r="25" spans="1:11" ht="13.5" thickBot="1" x14ac:dyDescent="0.25">
      <c r="A25" s="2208" t="s">
        <v>634</v>
      </c>
      <c r="B25" s="2209"/>
      <c r="C25" s="581"/>
      <c r="D25" s="581"/>
      <c r="E25" s="581"/>
      <c r="F25" s="1753">
        <f>SUM(C25+D25)-E25</f>
        <v>0</v>
      </c>
      <c r="G25" s="552"/>
    </row>
    <row r="26" spans="1:11" ht="15.75" customHeight="1" thickTop="1" x14ac:dyDescent="0.2">
      <c r="A26" s="2210" t="s">
        <v>657</v>
      </c>
      <c r="B26" s="2205"/>
      <c r="C26" s="727"/>
      <c r="D26" s="727"/>
      <c r="E26" s="727"/>
      <c r="F26" s="728"/>
    </row>
    <row r="27" spans="1:11" ht="13.5" thickBot="1" x14ac:dyDescent="0.25">
      <c r="A27" s="2211" t="s">
        <v>1070</v>
      </c>
      <c r="B27" s="2212"/>
      <c r="C27" s="585"/>
      <c r="D27" s="585"/>
      <c r="E27" s="585"/>
      <c r="F27" s="1753">
        <f>SUM(C27+D27)-E27</f>
        <v>0</v>
      </c>
      <c r="G27" s="552"/>
    </row>
    <row r="28" spans="1:11" ht="7.5" customHeight="1" thickTop="1" x14ac:dyDescent="0.2">
      <c r="A28" s="593"/>
    </row>
    <row r="29" spans="1:11" ht="23.25" customHeight="1" x14ac:dyDescent="0.2">
      <c r="A29" s="2216" t="s">
        <v>582</v>
      </c>
      <c r="B29" s="2197"/>
      <c r="C29" s="729"/>
      <c r="D29" s="729"/>
      <c r="E29" s="729"/>
      <c r="F29" s="729"/>
      <c r="G29" s="729"/>
      <c r="H29" s="729"/>
      <c r="I29" s="729"/>
      <c r="J29" s="729"/>
    </row>
    <row r="30" spans="1:11" ht="33.75" x14ac:dyDescent="0.2">
      <c r="A30" s="1529" t="s">
        <v>1071</v>
      </c>
      <c r="B30" s="730" t="s">
        <v>1124</v>
      </c>
      <c r="C30" s="1882" t="s">
        <v>583</v>
      </c>
      <c r="D30" s="1882" t="s">
        <v>1673</v>
      </c>
      <c r="E30" s="1882" t="s">
        <v>1955</v>
      </c>
      <c r="F30" s="1882" t="s">
        <v>1956</v>
      </c>
      <c r="G30" s="1882" t="s">
        <v>1907</v>
      </c>
      <c r="H30" s="1882" t="s">
        <v>1957</v>
      </c>
      <c r="I30" s="1882" t="s">
        <v>1958</v>
      </c>
      <c r="J30" s="1883" t="s">
        <v>2</v>
      </c>
      <c r="K30" s="731"/>
    </row>
    <row r="31" spans="1:11" ht="12" customHeight="1" x14ac:dyDescent="0.2">
      <c r="A31" s="732" t="s">
        <v>2082</v>
      </c>
      <c r="B31" s="733">
        <v>40422</v>
      </c>
      <c r="C31" s="734">
        <v>3680000</v>
      </c>
      <c r="D31" s="735">
        <v>6</v>
      </c>
      <c r="E31" s="734">
        <v>345000</v>
      </c>
      <c r="F31" s="734"/>
      <c r="G31" s="734"/>
      <c r="H31" s="734"/>
      <c r="I31" s="1754">
        <f>((E31+F31)-H31)+G31</f>
        <v>345000</v>
      </c>
      <c r="J31" s="734">
        <v>345000</v>
      </c>
      <c r="K31" s="736"/>
    </row>
    <row r="32" spans="1:11" ht="12" customHeight="1" x14ac:dyDescent="0.2">
      <c r="A32" s="732" t="s">
        <v>2084</v>
      </c>
      <c r="B32" s="733">
        <v>42403</v>
      </c>
      <c r="C32" s="734">
        <v>6000000</v>
      </c>
      <c r="D32" s="735">
        <v>1</v>
      </c>
      <c r="E32" s="734">
        <v>6000000</v>
      </c>
      <c r="F32" s="734"/>
      <c r="G32" s="734"/>
      <c r="H32" s="734"/>
      <c r="I32" s="1754">
        <f>((E32+F32)-H32)+G32</f>
        <v>6000000</v>
      </c>
      <c r="J32" s="734">
        <v>6000000</v>
      </c>
      <c r="K32" s="736"/>
    </row>
    <row r="33" spans="1:11" ht="12" customHeight="1" x14ac:dyDescent="0.2">
      <c r="A33" s="732" t="s">
        <v>2083</v>
      </c>
      <c r="B33" s="733">
        <v>42403</v>
      </c>
      <c r="C33" s="734">
        <v>1105000</v>
      </c>
      <c r="D33" s="735">
        <v>3</v>
      </c>
      <c r="E33" s="734">
        <v>100000</v>
      </c>
      <c r="F33" s="734"/>
      <c r="G33" s="734"/>
      <c r="H33" s="734"/>
      <c r="I33" s="1754">
        <f t="shared" ref="I33:I48" si="1">((E33+F33)-H33)+G33</f>
        <v>100000</v>
      </c>
      <c r="J33" s="734">
        <v>100000</v>
      </c>
      <c r="K33" s="736"/>
    </row>
    <row r="34" spans="1:11" ht="12" customHeight="1" x14ac:dyDescent="0.2">
      <c r="A34" s="732" t="s">
        <v>2085</v>
      </c>
      <c r="B34" s="733">
        <v>42943</v>
      </c>
      <c r="C34" s="734">
        <v>19625000</v>
      </c>
      <c r="D34" s="735">
        <v>3</v>
      </c>
      <c r="E34" s="734">
        <v>19625000</v>
      </c>
      <c r="F34" s="734"/>
      <c r="G34" s="734"/>
      <c r="H34" s="734">
        <v>1500000</v>
      </c>
      <c r="I34" s="1754">
        <f t="shared" si="1"/>
        <v>18125000</v>
      </c>
      <c r="J34" s="734">
        <v>18035864</v>
      </c>
      <c r="K34" s="737"/>
    </row>
    <row r="35" spans="1:11" ht="12" customHeight="1" x14ac:dyDescent="0.2">
      <c r="A35" s="732" t="s">
        <v>2086</v>
      </c>
      <c r="B35" s="733">
        <v>43257</v>
      </c>
      <c r="C35" s="738">
        <v>8480000</v>
      </c>
      <c r="D35" s="735">
        <v>3</v>
      </c>
      <c r="E35" s="738">
        <v>8480000</v>
      </c>
      <c r="F35" s="738"/>
      <c r="G35" s="738"/>
      <c r="H35" s="738">
        <v>745000</v>
      </c>
      <c r="I35" s="1754">
        <f t="shared" si="1"/>
        <v>7735000</v>
      </c>
      <c r="J35" s="738">
        <v>7735000</v>
      </c>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38890000</v>
      </c>
      <c r="D49" s="745"/>
      <c r="E49" s="1754">
        <f t="shared" ref="E49:J49" si="2">SUM(E31:E48)</f>
        <v>34550000</v>
      </c>
      <c r="F49" s="1754">
        <f t="shared" si="2"/>
        <v>0</v>
      </c>
      <c r="G49" s="1754">
        <f t="shared" si="2"/>
        <v>0</v>
      </c>
      <c r="H49" s="1754">
        <f t="shared" si="2"/>
        <v>2245000</v>
      </c>
      <c r="I49" s="1754">
        <f t="shared" si="2"/>
        <v>32305000</v>
      </c>
      <c r="J49" s="1754">
        <f t="shared" si="2"/>
        <v>32215864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7" t="s">
        <v>584</v>
      </c>
      <c r="C52" s="2218"/>
      <c r="D52" s="2218"/>
      <c r="E52" s="749" t="s">
        <v>845</v>
      </c>
      <c r="F52" s="2219"/>
      <c r="G52" s="2220"/>
      <c r="H52" s="736"/>
      <c r="I52" s="736"/>
      <c r="J52" s="746"/>
    </row>
    <row r="53" spans="1:11" ht="11.25" customHeight="1" x14ac:dyDescent="0.2">
      <c r="A53" s="750" t="s">
        <v>913</v>
      </c>
      <c r="B53" s="751" t="s">
        <v>951</v>
      </c>
      <c r="C53" s="746"/>
      <c r="D53" s="737"/>
      <c r="E53" s="749" t="s">
        <v>497</v>
      </c>
      <c r="F53" s="2221"/>
      <c r="G53" s="2222"/>
      <c r="H53" s="736"/>
      <c r="I53" s="736"/>
      <c r="J53" s="746"/>
    </row>
    <row r="54" spans="1:11" ht="11.25" customHeight="1" x14ac:dyDescent="0.2">
      <c r="A54" s="752" t="s">
        <v>914</v>
      </c>
      <c r="B54" s="747" t="s">
        <v>952</v>
      </c>
      <c r="C54" s="746"/>
      <c r="D54" s="737"/>
      <c r="E54" s="749" t="s">
        <v>498</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19" colorId="8" zoomScaleNormal="100" workbookViewId="0">
      <selection activeCell="K15" sqref="K15"/>
    </sheetView>
  </sheetViews>
  <sheetFormatPr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856</v>
      </c>
      <c r="B1" s="2250"/>
      <c r="C1" s="2250"/>
      <c r="D1" s="2250"/>
      <c r="E1" s="2250"/>
      <c r="F1" s="2250"/>
      <c r="G1" s="2251"/>
      <c r="H1" s="1530"/>
      <c r="I1" s="760"/>
      <c r="J1" s="433"/>
    </row>
    <row r="2" spans="1:11" ht="26.25" x14ac:dyDescent="0.2">
      <c r="A2" s="2235" t="s">
        <v>1677</v>
      </c>
      <c r="B2" s="2236"/>
      <c r="C2" s="2236"/>
      <c r="D2" s="2236"/>
      <c r="E2" s="2237"/>
      <c r="F2" s="761" t="s">
        <v>904</v>
      </c>
      <c r="G2" s="762" t="s">
        <v>1674</v>
      </c>
      <c r="H2" s="762" t="s">
        <v>410</v>
      </c>
      <c r="I2" s="762" t="s">
        <v>1158</v>
      </c>
      <c r="J2" s="762" t="s">
        <v>1809</v>
      </c>
      <c r="K2" s="762" t="s">
        <v>138</v>
      </c>
    </row>
    <row r="3" spans="1:11" x14ac:dyDescent="0.2">
      <c r="A3" s="2238" t="s">
        <v>1959</v>
      </c>
      <c r="B3" s="2239"/>
      <c r="C3" s="2239"/>
      <c r="D3" s="2239"/>
      <c r="E3" s="2240"/>
      <c r="F3" s="763"/>
      <c r="G3" s="764"/>
      <c r="H3" s="764"/>
      <c r="I3" s="764"/>
      <c r="J3" s="765"/>
      <c r="K3" s="765"/>
    </row>
    <row r="4" spans="1:11" x14ac:dyDescent="0.2">
      <c r="A4" s="2241" t="s">
        <v>369</v>
      </c>
      <c r="B4" s="2242"/>
      <c r="C4" s="2242"/>
      <c r="D4" s="2242"/>
      <c r="E4" s="2218"/>
      <c r="F4" s="766"/>
      <c r="G4" s="767"/>
      <c r="H4" s="768"/>
      <c r="I4" s="767"/>
      <c r="J4" s="769"/>
      <c r="K4" s="769"/>
    </row>
    <row r="5" spans="1:11" x14ac:dyDescent="0.2">
      <c r="A5" s="2252" t="s">
        <v>1069</v>
      </c>
      <c r="B5" s="2232"/>
      <c r="C5" s="2232"/>
      <c r="D5" s="2232"/>
      <c r="E5" s="2253"/>
      <c r="F5" s="770" t="s">
        <v>848</v>
      </c>
      <c r="G5" s="771"/>
      <c r="H5" s="764">
        <v>312613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20045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32542</v>
      </c>
    </row>
    <row r="10" spans="1:11" x14ac:dyDescent="0.2">
      <c r="A10" s="2252" t="s">
        <v>1810</v>
      </c>
      <c r="B10" s="2232"/>
      <c r="C10" s="2232"/>
      <c r="D10" s="2232"/>
      <c r="E10" s="2254"/>
      <c r="F10" s="783" t="s">
        <v>862</v>
      </c>
      <c r="G10" s="782"/>
      <c r="H10" s="784"/>
      <c r="I10" s="764"/>
      <c r="J10" s="765"/>
      <c r="K10" s="765"/>
    </row>
    <row r="11" spans="1:11" x14ac:dyDescent="0.2">
      <c r="A11" s="2252" t="s">
        <v>160</v>
      </c>
      <c r="B11" s="2232"/>
      <c r="C11" s="2232"/>
      <c r="D11" s="2232"/>
      <c r="E11" s="2253"/>
      <c r="F11" s="770" t="s">
        <v>852</v>
      </c>
      <c r="G11" s="771"/>
      <c r="H11" s="764"/>
      <c r="I11" s="764"/>
      <c r="J11" s="765"/>
      <c r="K11" s="773"/>
    </row>
    <row r="12" spans="1:11" ht="13.5" thickBot="1" x14ac:dyDescent="0.25">
      <c r="A12" s="2246" t="s">
        <v>905</v>
      </c>
      <c r="B12" s="2247"/>
      <c r="C12" s="2247"/>
      <c r="D12" s="2247"/>
      <c r="E12" s="2248"/>
      <c r="F12" s="1755"/>
      <c r="G12" s="1756">
        <f>SUM(G5:G11)</f>
        <v>0</v>
      </c>
      <c r="H12" s="1756">
        <f>SUM(H5:H11)</f>
        <v>312613</v>
      </c>
      <c r="I12" s="1756">
        <f>SUM(I5:I11)</f>
        <v>0</v>
      </c>
      <c r="J12" s="1756">
        <f>SUM(J5:J11)</f>
        <v>0</v>
      </c>
      <c r="K12" s="1756">
        <f>SUM(K5:K11)</f>
        <v>52587</v>
      </c>
    </row>
    <row r="13" spans="1:11" ht="13.5" thickTop="1" x14ac:dyDescent="0.2">
      <c r="A13" s="2243" t="s">
        <v>370</v>
      </c>
      <c r="B13" s="2244"/>
      <c r="C13" s="2244"/>
      <c r="D13" s="2244"/>
      <c r="E13" s="2245"/>
      <c r="F13" s="785"/>
      <c r="G13" s="786"/>
      <c r="H13" s="787"/>
      <c r="I13" s="788"/>
      <c r="J13" s="788"/>
      <c r="K13" s="788"/>
    </row>
    <row r="14" spans="1:11" x14ac:dyDescent="0.2">
      <c r="A14" s="2258" t="s">
        <v>456</v>
      </c>
      <c r="B14" s="2258"/>
      <c r="C14" s="2258"/>
      <c r="D14" s="2258"/>
      <c r="E14" s="2259"/>
      <c r="F14" s="789" t="s">
        <v>854</v>
      </c>
      <c r="G14" s="782"/>
      <c r="H14" s="764">
        <v>312613</v>
      </c>
      <c r="I14" s="771"/>
      <c r="J14" s="773"/>
      <c r="K14" s="765">
        <v>52587</v>
      </c>
    </row>
    <row r="15" spans="1:11" x14ac:dyDescent="0.2">
      <c r="A15" s="2232" t="s">
        <v>4</v>
      </c>
      <c r="B15" s="2232"/>
      <c r="C15" s="2232"/>
      <c r="D15" s="2232"/>
      <c r="E15" s="2253"/>
      <c r="F15" s="789" t="s">
        <v>855</v>
      </c>
      <c r="G15" s="771"/>
      <c r="H15" s="764"/>
      <c r="I15" s="764"/>
      <c r="J15" s="765"/>
      <c r="K15" s="765"/>
    </row>
    <row r="16" spans="1:11" x14ac:dyDescent="0.2">
      <c r="A16" s="2232" t="s">
        <v>298</v>
      </c>
      <c r="B16" s="2232"/>
      <c r="C16" s="2232"/>
      <c r="D16" s="2232"/>
      <c r="E16" s="2253"/>
      <c r="F16" s="789" t="s">
        <v>923</v>
      </c>
      <c r="G16" s="772"/>
      <c r="H16" s="767"/>
      <c r="I16" s="767"/>
      <c r="J16" s="769"/>
      <c r="K16" s="769"/>
    </row>
    <row r="17" spans="1:11" x14ac:dyDescent="0.2">
      <c r="A17" s="2227" t="s">
        <v>935</v>
      </c>
      <c r="B17" s="2227"/>
      <c r="C17" s="2227"/>
      <c r="D17" s="2227"/>
      <c r="E17" s="222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32" t="s">
        <v>1806</v>
      </c>
      <c r="B19" s="2232"/>
      <c r="C19" s="2232"/>
      <c r="D19" s="2232"/>
      <c r="E19" s="2260"/>
      <c r="F19" s="789" t="s">
        <v>933</v>
      </c>
      <c r="G19" s="782"/>
      <c r="H19" s="782"/>
      <c r="I19" s="782"/>
      <c r="J19" s="765"/>
      <c r="K19" s="795"/>
    </row>
    <row r="20" spans="1:11" x14ac:dyDescent="0.2">
      <c r="A20" s="2229" t="s">
        <v>1811</v>
      </c>
      <c r="B20" s="2230"/>
      <c r="C20" s="2230"/>
      <c r="D20" s="2230"/>
      <c r="E20" s="2231"/>
      <c r="F20" s="789" t="s">
        <v>934</v>
      </c>
      <c r="G20" s="782"/>
      <c r="H20" s="782"/>
      <c r="I20" s="782"/>
      <c r="J20" s="765"/>
      <c r="K20" s="795"/>
    </row>
    <row r="21" spans="1:11" ht="13.5" thickBot="1" x14ac:dyDescent="0.25">
      <c r="A21" s="2226" t="s">
        <v>638</v>
      </c>
      <c r="B21" s="2226"/>
      <c r="C21" s="2226"/>
      <c r="D21" s="2226"/>
      <c r="E21" s="2226"/>
      <c r="F21" s="1757"/>
      <c r="G21" s="792"/>
      <c r="H21" s="796"/>
      <c r="I21" s="796"/>
      <c r="J21" s="1758">
        <f>SUM(J18:J20)</f>
        <v>0</v>
      </c>
      <c r="K21" s="793"/>
    </row>
    <row r="22" spans="1:11" ht="13.5" thickTop="1" x14ac:dyDescent="0.2">
      <c r="A22" s="2232" t="s">
        <v>1812</v>
      </c>
      <c r="B22" s="2232"/>
      <c r="C22" s="2232"/>
      <c r="D22" s="2232"/>
      <c r="E22" s="2253"/>
      <c r="F22" s="789" t="s">
        <v>862</v>
      </c>
      <c r="G22" s="782"/>
      <c r="H22" s="764"/>
      <c r="I22" s="764"/>
      <c r="J22" s="797"/>
      <c r="K22" s="765"/>
    </row>
    <row r="23" spans="1:11" ht="13.5" thickBot="1" x14ac:dyDescent="0.25">
      <c r="A23" s="2225" t="s">
        <v>906</v>
      </c>
      <c r="B23" s="2226"/>
      <c r="C23" s="2226"/>
      <c r="D23" s="2226"/>
      <c r="E23" s="2226"/>
      <c r="F23" s="1759"/>
      <c r="G23" s="1756">
        <f>SUM(G14:G16,G21,G22)</f>
        <v>0</v>
      </c>
      <c r="H23" s="1756">
        <f>SUM(H14:H16,H21,H22)</f>
        <v>312613</v>
      </c>
      <c r="I23" s="1756">
        <f>SUM(I14:I16,I21,I22)</f>
        <v>0</v>
      </c>
      <c r="J23" s="1756">
        <f>SUM(J14:J16,J21,J22)</f>
        <v>0</v>
      </c>
      <c r="K23" s="1756">
        <f>SUM(K14:K16,K21,K22)</f>
        <v>52587</v>
      </c>
    </row>
    <row r="24" spans="1:11" ht="14.25" thickTop="1" thickBot="1" x14ac:dyDescent="0.25">
      <c r="A24" s="2225" t="s">
        <v>1960</v>
      </c>
      <c r="B24" s="2226"/>
      <c r="C24" s="2226"/>
      <c r="D24" s="2226"/>
      <c r="E24" s="2226"/>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1906</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5"/>
      <c r="I31" s="2256"/>
      <c r="J31" s="2256"/>
      <c r="K31" s="2256"/>
    </row>
    <row r="32" spans="1:11" x14ac:dyDescent="0.2">
      <c r="A32" s="809"/>
      <c r="B32" s="237"/>
      <c r="C32" s="237"/>
      <c r="D32" s="237"/>
      <c r="E32" s="805"/>
      <c r="F32" s="811" t="s">
        <v>540</v>
      </c>
      <c r="G32" s="764"/>
      <c r="H32" s="2257"/>
      <c r="I32" s="2256"/>
      <c r="J32" s="2256"/>
      <c r="K32" s="2256"/>
    </row>
    <row r="33" spans="1:11" ht="1.5" customHeight="1" x14ac:dyDescent="0.2">
      <c r="A33" s="812" t="s">
        <v>1169</v>
      </c>
      <c r="B33" s="364"/>
      <c r="C33" s="364"/>
      <c r="D33" s="364"/>
      <c r="E33" s="364"/>
      <c r="F33" s="364"/>
      <c r="G33" s="813"/>
      <c r="H33" s="2257"/>
      <c r="I33" s="2256"/>
      <c r="J33" s="2256"/>
      <c r="K33" s="2256"/>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2"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4:E24"/>
    <mergeCell ref="A17:E17"/>
    <mergeCell ref="A20:E20"/>
    <mergeCell ref="A41:F41"/>
    <mergeCell ref="A2:E2"/>
    <mergeCell ref="A3:E3"/>
    <mergeCell ref="A4:E4"/>
    <mergeCell ref="A13:E13"/>
    <mergeCell ref="A18:E18"/>
    <mergeCell ref="A12:E12"/>
    <mergeCell ref="A21:E21"/>
    <mergeCell ref="A23:E23"/>
  </mergeCells>
  <phoneticPr fontId="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A4" sqref="A4"/>
    </sheetView>
  </sheetViews>
  <sheetFormatPr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1905</v>
      </c>
      <c r="B1" s="2264"/>
      <c r="C1" s="2265"/>
      <c r="D1" s="826"/>
      <c r="E1" s="827"/>
      <c r="F1" s="827"/>
      <c r="G1" s="828"/>
      <c r="H1" s="829"/>
      <c r="I1" s="830"/>
      <c r="J1" s="2261"/>
      <c r="K1" s="2262"/>
      <c r="L1" s="2262"/>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8" t="s">
        <v>892</v>
      </c>
      <c r="B3" s="1629">
        <v>210</v>
      </c>
      <c r="C3" s="835"/>
      <c r="D3" s="835"/>
      <c r="E3" s="835"/>
      <c r="F3" s="1758">
        <f>(C3+D3)-E3</f>
        <v>0</v>
      </c>
      <c r="G3" s="836"/>
      <c r="H3" s="835"/>
      <c r="I3" s="835"/>
      <c r="J3" s="835"/>
      <c r="K3" s="1767">
        <f>(H3+I3)-J3</f>
        <v>0</v>
      </c>
      <c r="L3" s="1767">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6186420</v>
      </c>
      <c r="D5" s="841"/>
      <c r="E5" s="841"/>
      <c r="F5" s="1758">
        <f>(C5+D5)-E5</f>
        <v>6186420</v>
      </c>
      <c r="G5" s="837"/>
      <c r="H5" s="842"/>
      <c r="I5" s="842"/>
      <c r="J5" s="842"/>
      <c r="K5" s="793"/>
      <c r="L5" s="1767">
        <f>F5-K5</f>
        <v>6186420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80090140</v>
      </c>
      <c r="D8" s="844">
        <v>333305</v>
      </c>
      <c r="E8" s="844"/>
      <c r="F8" s="1758">
        <f>(C8+D8)-E8</f>
        <v>80423445</v>
      </c>
      <c r="G8" s="843">
        <v>50</v>
      </c>
      <c r="H8" s="765">
        <v>26701357</v>
      </c>
      <c r="I8" s="765">
        <v>2091763</v>
      </c>
      <c r="J8" s="765"/>
      <c r="K8" s="1767">
        <f>(H8+I8)-J8</f>
        <v>28793120</v>
      </c>
      <c r="L8" s="1767">
        <f>F8-K8</f>
        <v>51630325</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5863196</v>
      </c>
      <c r="D10" s="846"/>
      <c r="E10" s="846"/>
      <c r="F10" s="1762">
        <f>(C10+D10)-E10</f>
        <v>5863196</v>
      </c>
      <c r="G10" s="843">
        <v>20</v>
      </c>
      <c r="H10" s="847">
        <v>4337185</v>
      </c>
      <c r="I10" s="847">
        <v>266750</v>
      </c>
      <c r="J10" s="847"/>
      <c r="K10" s="1767">
        <f>(H10+I10)-J10</f>
        <v>4603935</v>
      </c>
      <c r="L10" s="1767">
        <f>F10-K10</f>
        <v>1259261</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3920501</v>
      </c>
      <c r="D12" s="844">
        <f>148228+7126</f>
        <v>155354</v>
      </c>
      <c r="E12" s="844">
        <v>43638</v>
      </c>
      <c r="F12" s="1758">
        <f>(C12+D12)-E12</f>
        <v>4032217</v>
      </c>
      <c r="G12" s="843">
        <v>10</v>
      </c>
      <c r="H12" s="765">
        <v>3361552</v>
      </c>
      <c r="I12" s="765">
        <f>151472+21424</f>
        <v>172896</v>
      </c>
      <c r="J12" s="765">
        <v>43638</v>
      </c>
      <c r="K12" s="1767">
        <f>(H12+I12)-J12</f>
        <v>3490810</v>
      </c>
      <c r="L12" s="1767">
        <f>F12-K12</f>
        <v>541407</v>
      </c>
    </row>
    <row r="13" spans="1:14" ht="14.25" thickTop="1" thickBot="1" x14ac:dyDescent="0.25">
      <c r="A13" s="848" t="s">
        <v>1122</v>
      </c>
      <c r="B13" s="840">
        <v>252</v>
      </c>
      <c r="C13" s="844"/>
      <c r="D13" s="844"/>
      <c r="E13" s="844"/>
      <c r="F13" s="1758">
        <f>(C13+D13)-E13</f>
        <v>0</v>
      </c>
      <c r="G13" s="843">
        <v>5</v>
      </c>
      <c r="H13" s="765"/>
      <c r="I13" s="765"/>
      <c r="J13" s="765"/>
      <c r="K13" s="1767">
        <f>(H13+I13)-J13</f>
        <v>0</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0" t="s">
        <v>528</v>
      </c>
      <c r="B15" s="1629">
        <v>260</v>
      </c>
      <c r="C15" s="844"/>
      <c r="D15" s="844">
        <v>259589</v>
      </c>
      <c r="E15" s="844"/>
      <c r="F15" s="1758">
        <f>(C15+D15)-E15</f>
        <v>259589</v>
      </c>
      <c r="G15" s="849" t="s">
        <v>862</v>
      </c>
      <c r="H15" s="781"/>
      <c r="I15" s="781"/>
      <c r="J15" s="781"/>
      <c r="K15" s="781"/>
      <c r="L15" s="1767">
        <f>F15-K15</f>
        <v>259589</v>
      </c>
    </row>
    <row r="16" spans="1:14" ht="15" customHeight="1" thickTop="1" thickBot="1" x14ac:dyDescent="0.25">
      <c r="A16" s="1763" t="s">
        <v>643</v>
      </c>
      <c r="B16" s="1764">
        <v>200</v>
      </c>
      <c r="C16" s="1758">
        <f>SUM(C3,C5:C6,C8:C10,C12:C15)</f>
        <v>96060257</v>
      </c>
      <c r="D16" s="1758">
        <f>SUM(D3,D5:D6,D8:D10,D12:D15)</f>
        <v>748248</v>
      </c>
      <c r="E16" s="1758">
        <f>SUM(E3,E5:E6,E8:E10,E12:E15)</f>
        <v>43638</v>
      </c>
      <c r="F16" s="1758">
        <f>SUM(F3,F5:F6,F8:F10,F12:F15)</f>
        <v>96764867</v>
      </c>
      <c r="G16" s="843"/>
      <c r="H16" s="1758">
        <f>SUM(H3,H6,H8:H10,H12:H14,)</f>
        <v>34400094</v>
      </c>
      <c r="I16" s="1758">
        <f>SUM(I3,I6,I8:I10,I12:I14,)</f>
        <v>2531409</v>
      </c>
      <c r="J16" s="1758">
        <f>SUM(J3,J6,J8:J10,J12:J14,)</f>
        <v>43638</v>
      </c>
      <c r="K16" s="1758">
        <f>(H16+I16)-J16</f>
        <v>36887865</v>
      </c>
      <c r="L16" s="1758">
        <f>F16-K16</f>
        <v>59877002</v>
      </c>
    </row>
    <row r="17" spans="1:12" ht="15" customHeight="1" thickTop="1" thickBot="1" x14ac:dyDescent="0.25">
      <c r="A17" s="1632" t="s">
        <v>291</v>
      </c>
      <c r="B17" s="1629">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2531409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6" activePane="bottomLeft" state="frozen"/>
      <selection activeCell="A47" sqref="A47"/>
      <selection pane="bottomLeft" activeCell="H78" sqref="H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9" t="s">
        <v>1970</v>
      </c>
      <c r="B1" s="2270"/>
      <c r="C1" s="2270"/>
      <c r="D1" s="2270"/>
      <c r="E1" s="2270"/>
      <c r="F1" s="2271"/>
      <c r="G1" s="855"/>
    </row>
    <row r="2" spans="1:7" ht="15" customHeight="1" thickBot="1" x14ac:dyDescent="0.25">
      <c r="A2" s="2272" t="s">
        <v>477</v>
      </c>
      <c r="B2" s="2273"/>
      <c r="C2" s="2273"/>
      <c r="D2" s="2273"/>
      <c r="E2" s="2273"/>
      <c r="F2" s="227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21887492</v>
      </c>
      <c r="G8" s="865"/>
    </row>
    <row r="9" spans="1:7" x14ac:dyDescent="0.2">
      <c r="A9" s="869" t="s">
        <v>460</v>
      </c>
      <c r="B9" s="870" t="s">
        <v>1873</v>
      </c>
      <c r="C9" s="871"/>
      <c r="D9" s="869" t="s">
        <v>501</v>
      </c>
      <c r="E9" s="868"/>
      <c r="F9" s="1906">
        <f>'Expenditures 15-22'!K151</f>
        <v>3100041</v>
      </c>
      <c r="G9" s="872"/>
    </row>
    <row r="10" spans="1:7" x14ac:dyDescent="0.2">
      <c r="A10" s="869" t="s">
        <v>499</v>
      </c>
      <c r="B10" s="870" t="s">
        <v>1874</v>
      </c>
      <c r="C10" s="871"/>
      <c r="D10" s="869" t="s">
        <v>501</v>
      </c>
      <c r="E10" s="868"/>
      <c r="F10" s="1906">
        <f>'Expenditures 15-22'!K174</f>
        <v>3538030</v>
      </c>
      <c r="G10" s="872"/>
    </row>
    <row r="11" spans="1:7" x14ac:dyDescent="0.2">
      <c r="A11" s="869" t="s">
        <v>461</v>
      </c>
      <c r="B11" s="870" t="s">
        <v>1875</v>
      </c>
      <c r="C11" s="871"/>
      <c r="D11" s="869" t="s">
        <v>501</v>
      </c>
      <c r="E11" s="868"/>
      <c r="F11" s="1906">
        <f>'Expenditures 15-22'!K210</f>
        <v>2103231</v>
      </c>
      <c r="G11" s="872"/>
    </row>
    <row r="12" spans="1:7" x14ac:dyDescent="0.2">
      <c r="A12" s="869" t="s">
        <v>462</v>
      </c>
      <c r="B12" s="870" t="s">
        <v>1876</v>
      </c>
      <c r="C12" s="871"/>
      <c r="D12" s="869" t="s">
        <v>501</v>
      </c>
      <c r="E12" s="868"/>
      <c r="F12" s="1906">
        <f>'Expenditures 15-22'!K295</f>
        <v>695101</v>
      </c>
      <c r="G12" s="872"/>
    </row>
    <row r="13" spans="1:7" x14ac:dyDescent="0.2">
      <c r="A13" s="869" t="s">
        <v>106</v>
      </c>
      <c r="B13" s="870" t="s">
        <v>1877</v>
      </c>
      <c r="C13" s="871"/>
      <c r="D13" s="869" t="s">
        <v>501</v>
      </c>
      <c r="E13" s="868"/>
      <c r="F13" s="1906">
        <f>'Expenditures 15-22'!K342</f>
        <v>209813</v>
      </c>
      <c r="G13" s="873"/>
    </row>
    <row r="14" spans="1:7" ht="12" customHeight="1" thickBot="1" x14ac:dyDescent="0.25">
      <c r="A14" s="1768"/>
      <c r="B14" s="1769"/>
      <c r="C14" s="1770"/>
      <c r="D14" s="1771" t="s">
        <v>501</v>
      </c>
      <c r="E14" s="1772" t="s">
        <v>958</v>
      </c>
      <c r="F14" s="1773">
        <f>SUM(F8:F13)</f>
        <v>31533708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1">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1997</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298441</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259740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59063</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137</v>
      </c>
      <c r="G52" s="865"/>
    </row>
    <row r="53" spans="1:7" x14ac:dyDescent="0.2">
      <c r="A53" s="869" t="s">
        <v>459</v>
      </c>
      <c r="B53" s="869" t="s">
        <v>1475</v>
      </c>
      <c r="C53" s="889">
        <f>'Expenditures 15-22'!B102</f>
        <v>4000</v>
      </c>
      <c r="D53" s="888" t="str">
        <f>'Expenditures 15-22'!A102</f>
        <v>Total Payments to Other Govt Units</v>
      </c>
      <c r="E53" s="868"/>
      <c r="F53" s="1910">
        <f>'Expenditures 15-22'!K102</f>
        <v>470385</v>
      </c>
      <c r="G53" s="865"/>
    </row>
    <row r="54" spans="1:7" x14ac:dyDescent="0.2">
      <c r="A54" s="869" t="s">
        <v>459</v>
      </c>
      <c r="B54" s="869" t="s">
        <v>1476</v>
      </c>
      <c r="C54" s="889" t="s">
        <v>982</v>
      </c>
      <c r="D54" s="885" t="s">
        <v>1095</v>
      </c>
      <c r="E54" s="868"/>
      <c r="F54" s="1910">
        <f>'Expenditures 15-22'!G114</f>
        <v>305264</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0">
        <f>'Expenditures 15-22'!K139</f>
        <v>188604</v>
      </c>
      <c r="G57" s="865"/>
    </row>
    <row r="58" spans="1:7" x14ac:dyDescent="0.2">
      <c r="A58" s="869" t="s">
        <v>460</v>
      </c>
      <c r="B58" s="869" t="s">
        <v>1879</v>
      </c>
      <c r="C58" s="886" t="s">
        <v>982</v>
      </c>
      <c r="D58" s="885" t="s">
        <v>1095</v>
      </c>
      <c r="E58" s="868"/>
      <c r="F58" s="1912">
        <f>'Expenditures 15-22'!G151</f>
        <v>178935</v>
      </c>
      <c r="G58" s="865"/>
    </row>
    <row r="59" spans="1:7" x14ac:dyDescent="0.2">
      <c r="A59" s="893" t="s">
        <v>460</v>
      </c>
      <c r="B59" s="856" t="s">
        <v>1880</v>
      </c>
      <c r="C59" s="894" t="s">
        <v>982</v>
      </c>
      <c r="D59" s="856" t="s">
        <v>291</v>
      </c>
      <c r="F59" s="1913">
        <f>'Expenditures 15-22'!I151</f>
        <v>0</v>
      </c>
      <c r="G59" s="865"/>
    </row>
    <row r="60" spans="1:7" x14ac:dyDescent="0.2">
      <c r="A60" s="893" t="s">
        <v>499</v>
      </c>
      <c r="B60" s="856" t="s">
        <v>1881</v>
      </c>
      <c r="C60" s="894">
        <v>4000</v>
      </c>
      <c r="D60" s="856" t="s">
        <v>312</v>
      </c>
      <c r="F60" s="1911">
        <f>'Expenditures 15-22'!K160</f>
        <v>0</v>
      </c>
      <c r="G60" s="865"/>
    </row>
    <row r="61" spans="1:7" x14ac:dyDescent="0.2">
      <c r="A61" s="895" t="s">
        <v>499</v>
      </c>
      <c r="B61" s="895" t="s">
        <v>1882</v>
      </c>
      <c r="C61" s="896" t="str">
        <f>'Expenditures 15-22'!B170</f>
        <v>5300</v>
      </c>
      <c r="D61" s="897" t="s">
        <v>311</v>
      </c>
      <c r="E61" s="879"/>
      <c r="F61" s="1910">
        <f>'Expenditures 15-22'!K170</f>
        <v>2245000</v>
      </c>
      <c r="G61" s="865"/>
    </row>
    <row r="62" spans="1:7" x14ac:dyDescent="0.2">
      <c r="A62" s="869" t="s">
        <v>461</v>
      </c>
      <c r="B62" s="869" t="s">
        <v>1883</v>
      </c>
      <c r="C62" s="886">
        <f>'Expenditures 15-22'!B185</f>
        <v>3000</v>
      </c>
      <c r="D62" s="876" t="s">
        <v>449</v>
      </c>
      <c r="E62" s="868"/>
      <c r="F62" s="1910">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1885</v>
      </c>
      <c r="C64" s="896" t="str">
        <f>'Expenditures 15-22'!B206</f>
        <v>5300</v>
      </c>
      <c r="D64" s="892" t="s">
        <v>311</v>
      </c>
      <c r="E64" s="868"/>
      <c r="F64" s="1910">
        <f>'Expenditures 15-22'!K206</f>
        <v>0</v>
      </c>
      <c r="G64" s="865"/>
    </row>
    <row r="65" spans="1:8" x14ac:dyDescent="0.2">
      <c r="A65" s="869" t="s">
        <v>461</v>
      </c>
      <c r="B65" s="869" t="s">
        <v>1886</v>
      </c>
      <c r="C65" s="886" t="s">
        <v>982</v>
      </c>
      <c r="D65" s="885" t="s">
        <v>1095</v>
      </c>
      <c r="E65" s="868"/>
      <c r="F65" s="1910">
        <f>'Expenditures 15-22'!G210</f>
        <v>33179</v>
      </c>
      <c r="G65" s="865"/>
    </row>
    <row r="66" spans="1:8" x14ac:dyDescent="0.2">
      <c r="A66" s="869" t="s">
        <v>461</v>
      </c>
      <c r="B66" s="869" t="s">
        <v>1887</v>
      </c>
      <c r="C66" s="886" t="s">
        <v>982</v>
      </c>
      <c r="D66" s="885" t="s">
        <v>291</v>
      </c>
      <c r="E66" s="868"/>
      <c r="F66" s="1910">
        <f>'Expenditures 15-22'!I210</f>
        <v>0</v>
      </c>
      <c r="G66" s="865"/>
    </row>
    <row r="67" spans="1:8" x14ac:dyDescent="0.2">
      <c r="A67" s="869" t="s">
        <v>462</v>
      </c>
      <c r="B67" s="869" t="s">
        <v>1888</v>
      </c>
      <c r="C67" s="886" t="str">
        <f>'Expenditures 15-22'!B216</f>
        <v>1125</v>
      </c>
      <c r="D67" s="892" t="str">
        <f>'Expenditures 15-22'!A216</f>
        <v>Pre-K Programs</v>
      </c>
      <c r="E67" s="868"/>
      <c r="F67" s="1910">
        <f>'Expenditures 15-22'!K216</f>
        <v>28900</v>
      </c>
      <c r="G67" s="865"/>
    </row>
    <row r="68" spans="1:8" x14ac:dyDescent="0.2">
      <c r="A68" s="869" t="s">
        <v>462</v>
      </c>
      <c r="B68" s="869" t="s">
        <v>1479</v>
      </c>
      <c r="C68" s="886" t="str">
        <f>'Expenditures 15-22'!B218</f>
        <v>1225</v>
      </c>
      <c r="D68" s="892" t="str">
        <f>'Expenditures 15-22'!A218</f>
        <v>Special Education Programs - Pre-K</v>
      </c>
      <c r="E68" s="868"/>
      <c r="F68" s="1910">
        <f>'Expenditures 15-22'!K218</f>
        <v>14744</v>
      </c>
      <c r="G68" s="865"/>
    </row>
    <row r="69" spans="1:8" x14ac:dyDescent="0.2">
      <c r="A69" s="869" t="s">
        <v>462</v>
      </c>
      <c r="B69" s="869" t="s">
        <v>1889</v>
      </c>
      <c r="C69" s="886" t="str">
        <f>'Expenditures 15-22'!B220</f>
        <v>1275</v>
      </c>
      <c r="D69" s="892" t="str">
        <f>'Expenditures 15-22'!A220</f>
        <v>Remedial and Supplemental Programs - Pre-K</v>
      </c>
      <c r="E69" s="868"/>
      <c r="F69" s="1910">
        <f>'Expenditures 15-22'!K220</f>
        <v>14314</v>
      </c>
      <c r="G69" s="865"/>
    </row>
    <row r="70" spans="1:8" x14ac:dyDescent="0.2">
      <c r="A70" s="869" t="s">
        <v>462</v>
      </c>
      <c r="B70" s="869" t="s">
        <v>1890</v>
      </c>
      <c r="C70" s="886">
        <f>'Expenditures 15-22'!B221</f>
        <v>1300</v>
      </c>
      <c r="D70" s="887" t="str">
        <f>'Expenditures 15-22'!A221</f>
        <v>Adult/Continuing Education Programs</v>
      </c>
      <c r="E70" s="868"/>
      <c r="F70" s="1910">
        <f>'Expenditures 15-22'!K221</f>
        <v>0</v>
      </c>
      <c r="G70" s="865"/>
    </row>
    <row r="71" spans="1:8" x14ac:dyDescent="0.2">
      <c r="A71" s="869" t="s">
        <v>462</v>
      </c>
      <c r="B71" s="869" t="s">
        <v>1891</v>
      </c>
      <c r="C71" s="886">
        <f>'Expenditures 15-22'!B224</f>
        <v>1600</v>
      </c>
      <c r="D71" s="887" t="str">
        <f>'Expenditures 15-22'!A224</f>
        <v>Summer School Programs</v>
      </c>
      <c r="E71" s="868"/>
      <c r="F71" s="1910">
        <f>'Expenditures 15-22'!K224</f>
        <v>1403</v>
      </c>
      <c r="G71" s="865"/>
    </row>
    <row r="72" spans="1:8" x14ac:dyDescent="0.2">
      <c r="A72" s="869" t="s">
        <v>462</v>
      </c>
      <c r="B72" s="869" t="s">
        <v>1892</v>
      </c>
      <c r="C72" s="886">
        <f>'Expenditures 15-22'!B280</f>
        <v>3000</v>
      </c>
      <c r="D72" s="876" t="s">
        <v>449</v>
      </c>
      <c r="E72" s="868"/>
      <c r="F72" s="1910">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1894</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1895</v>
      </c>
      <c r="E76" s="1772" t="s">
        <v>958</v>
      </c>
      <c r="F76" s="1776">
        <f>SUM(F18:F74)</f>
        <v>4098109</v>
      </c>
      <c r="G76" s="865"/>
    </row>
    <row r="77" spans="1:8" s="893" customFormat="1" ht="12" customHeight="1" thickTop="1" thickBot="1" x14ac:dyDescent="0.25">
      <c r="A77" s="1777"/>
      <c r="B77" s="1774"/>
      <c r="C77" s="1770"/>
      <c r="D77" s="1775" t="s">
        <v>1896</v>
      </c>
      <c r="E77" s="1772"/>
      <c r="F77" s="1778">
        <f>(F14-F76)</f>
        <v>27435599</v>
      </c>
      <c r="G77" s="869"/>
    </row>
    <row r="78" spans="1:8" s="893" customFormat="1" ht="12" customHeight="1" thickTop="1" x14ac:dyDescent="0.2">
      <c r="A78" s="1779"/>
      <c r="B78" s="1774"/>
      <c r="C78" s="1770"/>
      <c r="D78" s="1775" t="s">
        <v>2057</v>
      </c>
      <c r="E78" s="1772"/>
      <c r="F78" s="898">
        <v>2075.13</v>
      </c>
      <c r="G78" s="899"/>
      <c r="H78" s="869"/>
    </row>
    <row r="79" spans="1:8" s="893" customFormat="1" ht="12" customHeight="1" thickBot="1" x14ac:dyDescent="0.25">
      <c r="A79" s="1780"/>
      <c r="B79" s="1774"/>
      <c r="C79" s="1770"/>
      <c r="D79" s="1775" t="s">
        <v>1897</v>
      </c>
      <c r="E79" s="1772" t="s">
        <v>958</v>
      </c>
      <c r="F79" s="1781">
        <f>IF(F78&gt;0,F77/F78," Complete Line 78")</f>
        <v>13221.14710885583</v>
      </c>
      <c r="G79" s="869"/>
    </row>
    <row r="80" spans="1:8" s="893" customFormat="1" ht="8.25" customHeight="1" thickTop="1" x14ac:dyDescent="0.2">
      <c r="A80" s="900"/>
      <c r="B80" s="869"/>
      <c r="C80" s="871"/>
      <c r="D80" s="901"/>
      <c r="E80" s="868"/>
      <c r="F80" s="902"/>
      <c r="G80" s="869"/>
    </row>
    <row r="81" spans="1:7" s="893" customFormat="1" ht="12" thickBot="1" x14ac:dyDescent="0.25">
      <c r="A81" s="2266" t="s">
        <v>1105</v>
      </c>
      <c r="B81" s="2267"/>
      <c r="C81" s="2267"/>
      <c r="D81" s="2267"/>
      <c r="E81" s="2267"/>
      <c r="F81" s="226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7260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546548</v>
      </c>
      <c r="G94" s="912"/>
    </row>
    <row r="95" spans="1:7" x14ac:dyDescent="0.2">
      <c r="A95" s="908" t="s">
        <v>140</v>
      </c>
      <c r="B95" s="908" t="s">
        <v>175</v>
      </c>
      <c r="C95" s="910">
        <v>1700</v>
      </c>
      <c r="D95" s="918" t="str">
        <f>'Revenues 9-14'!A82</f>
        <v>Total District/School Activity Income</v>
      </c>
      <c r="E95" s="906"/>
      <c r="F95" s="1787">
        <f>SUM('Revenues 9-14'!C82,'Revenues 9-14'!D82)</f>
        <v>79199</v>
      </c>
      <c r="G95" s="912"/>
    </row>
    <row r="96" spans="1:7" x14ac:dyDescent="0.2">
      <c r="A96" s="908" t="s">
        <v>459</v>
      </c>
      <c r="B96" s="908" t="s">
        <v>176</v>
      </c>
      <c r="C96" s="910">
        <f>'Revenues 9-14'!B84</f>
        <v>1811</v>
      </c>
      <c r="D96" s="911" t="str">
        <f>'Revenues 9-14'!A84</f>
        <v>Rentals - Regular Textbooks</v>
      </c>
      <c r="E96" s="906"/>
      <c r="F96" s="1787">
        <f>'Revenues 9-14'!C84</f>
        <v>92103</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26429</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30000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1998</v>
      </c>
      <c r="C105" s="913">
        <v>3100</v>
      </c>
      <c r="D105" s="919" t="str">
        <f>'Revenues 9-14'!A132</f>
        <v>Total Special Education</v>
      </c>
      <c r="E105" s="906"/>
      <c r="F105" s="1787">
        <f>SUM('Revenues 9-14'!C132:D132,'Revenues 9-14'!F132)</f>
        <v>120608</v>
      </c>
      <c r="G105" s="912"/>
    </row>
    <row r="106" spans="1:7" x14ac:dyDescent="0.2">
      <c r="A106" s="908" t="s">
        <v>673</v>
      </c>
      <c r="B106" s="908" t="s">
        <v>1999</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2000</v>
      </c>
      <c r="C107" s="920">
        <v>3300</v>
      </c>
      <c r="D107" s="911" t="str">
        <f>'Revenues 9-14'!A145</f>
        <v>Total Bilingual Ed</v>
      </c>
      <c r="E107" s="906"/>
      <c r="F107" s="1787">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7">
        <f>'Revenues 9-14'!C146</f>
        <v>4389</v>
      </c>
      <c r="G108" s="912"/>
    </row>
    <row r="109" spans="1:7" x14ac:dyDescent="0.2">
      <c r="A109" s="908" t="s">
        <v>673</v>
      </c>
      <c r="B109" s="908" t="s">
        <v>2002</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7">
        <f>SUM('Revenues 9-14'!C148,'Revenues 9-14'!D148)</f>
        <v>32542</v>
      </c>
      <c r="G110" s="912"/>
    </row>
    <row r="111" spans="1:7" x14ac:dyDescent="0.2">
      <c r="A111" s="908" t="s">
        <v>668</v>
      </c>
      <c r="B111" s="908" t="s">
        <v>2004</v>
      </c>
      <c r="C111" s="922">
        <v>3500</v>
      </c>
      <c r="D111" s="911" t="str">
        <f>'Revenues 9-14'!A155</f>
        <v>Total Transportation</v>
      </c>
      <c r="E111" s="906"/>
      <c r="F111" s="1787">
        <f>SUM('Revenues 9-14'!C155,'Revenues 9-14'!D155,'Revenues 9-14'!F155,'Revenues 9-14'!G155)</f>
        <v>817065</v>
      </c>
      <c r="G111" s="912"/>
    </row>
    <row r="112" spans="1:7" x14ac:dyDescent="0.2">
      <c r="A112" s="908" t="s">
        <v>459</v>
      </c>
      <c r="B112" s="908" t="s">
        <v>2005</v>
      </c>
      <c r="C112" s="920">
        <f>'Revenues 9-14'!B156</f>
        <v>3610</v>
      </c>
      <c r="D112" s="911" t="str">
        <f>'Revenues 9-14'!A156</f>
        <v>Learning Improvement - Change Grants</v>
      </c>
      <c r="E112" s="906"/>
      <c r="F112" s="1787">
        <f>'Revenues 9-14'!C156</f>
        <v>0</v>
      </c>
      <c r="G112" s="912"/>
    </row>
    <row r="113" spans="1:7" x14ac:dyDescent="0.2">
      <c r="A113" s="908" t="s">
        <v>668</v>
      </c>
      <c r="B113" s="908" t="s">
        <v>2006</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4">
        <f>SUM('Revenues 9-14'!C163:G163)</f>
        <v>0</v>
      </c>
      <c r="G118" s="912"/>
    </row>
    <row r="119" spans="1:7" x14ac:dyDescent="0.2">
      <c r="A119" s="923" t="s">
        <v>504</v>
      </c>
      <c r="B119" s="923" t="s">
        <v>2012</v>
      </c>
      <c r="C119" s="924">
        <f>'Revenues 9-14'!B164</f>
        <v>3815</v>
      </c>
      <c r="D119" s="925" t="str">
        <f>'Revenues 9-14'!A164</f>
        <v>State Charter Schools</v>
      </c>
      <c r="E119" s="906"/>
      <c r="F119" s="1904">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7">
        <f>'Revenues 9-14'!D167</f>
        <v>0</v>
      </c>
      <c r="G120" s="930"/>
    </row>
    <row r="121" spans="1:7" x14ac:dyDescent="0.2">
      <c r="A121" s="927" t="s">
        <v>500</v>
      </c>
      <c r="B121" s="927" t="s">
        <v>2014</v>
      </c>
      <c r="C121" s="928">
        <f>'Revenues 9-14'!B168</f>
        <v>3999</v>
      </c>
      <c r="D121" s="929" t="s">
        <v>543</v>
      </c>
      <c r="E121" s="931"/>
      <c r="F121" s="1787">
        <f>SUM('Revenues 9-14'!C168:G168,'Revenues 9-14'!J168)</f>
        <v>80315</v>
      </c>
      <c r="G121" s="930"/>
    </row>
    <row r="122" spans="1:7" x14ac:dyDescent="0.2">
      <c r="A122" s="927" t="s">
        <v>459</v>
      </c>
      <c r="B122" s="927" t="s">
        <v>2015</v>
      </c>
      <c r="C122" s="932">
        <f>'Revenues 9-14'!B177</f>
        <v>4045</v>
      </c>
      <c r="D122" s="929" t="str">
        <f>'Revenues 9-14'!A177 &amp; " (Subtract)"</f>
        <v>Head Start (Subtract)</v>
      </c>
      <c r="E122" s="906"/>
      <c r="F122" s="1787">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2017</v>
      </c>
      <c r="C124" s="932">
        <v>4100</v>
      </c>
      <c r="D124" s="933" t="str">
        <f>'Revenues 9-14'!A188</f>
        <v>Total Title V</v>
      </c>
      <c r="E124" s="906"/>
      <c r="F124" s="1787">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7">
        <f>SUM('Revenues 9-14'!C198,'Revenues 9-14'!G198)</f>
        <v>293507</v>
      </c>
      <c r="G125" s="930"/>
    </row>
    <row r="126" spans="1:7" x14ac:dyDescent="0.2">
      <c r="A126" s="927" t="s">
        <v>668</v>
      </c>
      <c r="B126" s="927" t="s">
        <v>2019</v>
      </c>
      <c r="C126" s="932">
        <v>4300</v>
      </c>
      <c r="D126" s="933" t="str">
        <f>'Revenues 9-14'!A204</f>
        <v>Total Title I</v>
      </c>
      <c r="E126" s="906"/>
      <c r="F126" s="1787">
        <f>SUM('Revenues 9-14'!C204,'Revenues 9-14'!D204,'Revenues 9-14'!F204,'Revenues 9-14'!G204)</f>
        <v>316112</v>
      </c>
      <c r="G126" s="930"/>
    </row>
    <row r="127" spans="1:7" x14ac:dyDescent="0.2">
      <c r="A127" s="927" t="s">
        <v>668</v>
      </c>
      <c r="B127" s="927" t="s">
        <v>2020</v>
      </c>
      <c r="C127" s="932">
        <v>4400</v>
      </c>
      <c r="D127" s="933" t="str">
        <f>'Revenues 9-14'!A209</f>
        <v>Total Title IV</v>
      </c>
      <c r="E127" s="906"/>
      <c r="F127" s="1787">
        <f>SUM('Revenues 9-14'!C209,'Revenues 9-14'!D209,'Revenues 9-14'!F209,'Revenues 9-14'!G209)</f>
        <v>19867</v>
      </c>
      <c r="G127" s="930"/>
    </row>
    <row r="128" spans="1:7" x14ac:dyDescent="0.2">
      <c r="A128" s="927" t="s">
        <v>668</v>
      </c>
      <c r="B128" s="927" t="s">
        <v>2021</v>
      </c>
      <c r="C128" s="932">
        <f>'Revenues 9-14'!B213</f>
        <v>4620</v>
      </c>
      <c r="D128" s="933" t="str">
        <f>'Revenues 9-14'!A213</f>
        <v>Fed - Spec Education - IDEA - Flow Through</v>
      </c>
      <c r="E128" s="906"/>
      <c r="F128" s="1787">
        <f>SUM('Revenues 9-14'!C213:D213,'Revenues 9-14'!F213:G213)</f>
        <v>390953</v>
      </c>
      <c r="G128" s="930"/>
    </row>
    <row r="129" spans="1:7" x14ac:dyDescent="0.2">
      <c r="A129" s="927" t="s">
        <v>668</v>
      </c>
      <c r="B129" s="927" t="s">
        <v>2022</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2024</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7">
        <v>0</v>
      </c>
      <c r="G138" s="905"/>
    </row>
    <row r="139" spans="1:7" s="867" customFormat="1" hidden="1" x14ac:dyDescent="0.2">
      <c r="A139" s="934" t="s">
        <v>206</v>
      </c>
      <c r="B139" s="934" t="s">
        <v>2031</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2039</v>
      </c>
      <c r="C157" s="940" t="s">
        <v>841</v>
      </c>
      <c r="D157" s="941" t="s">
        <v>777</v>
      </c>
      <c r="E157" s="942"/>
      <c r="F157" s="1787">
        <f>SUM(F133:F156)</f>
        <v>0</v>
      </c>
      <c r="G157" s="905"/>
    </row>
    <row r="158" spans="1:7" s="867" customFormat="1" x14ac:dyDescent="0.2">
      <c r="A158" s="938" t="s">
        <v>459</v>
      </c>
      <c r="B158" s="939" t="s">
        <v>2040</v>
      </c>
      <c r="C158" s="940" t="s">
        <v>1427</v>
      </c>
      <c r="D158" s="941" t="s">
        <v>1428</v>
      </c>
      <c r="E158" s="942"/>
      <c r="F158" s="1787">
        <f>SUM('Revenues 9-14'!C253)</f>
        <v>0</v>
      </c>
      <c r="G158" s="905"/>
    </row>
    <row r="159" spans="1:7" s="867" customFormat="1" x14ac:dyDescent="0.2">
      <c r="A159" s="938" t="s">
        <v>500</v>
      </c>
      <c r="B159" s="939" t="s">
        <v>2041</v>
      </c>
      <c r="C159" s="940" t="s">
        <v>1466</v>
      </c>
      <c r="D159" s="941" t="s">
        <v>1467</v>
      </c>
      <c r="E159" s="942"/>
      <c r="F159" s="1787">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4">
        <f>SUM('Revenues 9-14'!C259,'Revenues 9-14'!D259,'Revenues 9-14'!F259,'Revenues 9-14'!G259)</f>
        <v>482</v>
      </c>
      <c r="G164" s="930"/>
    </row>
    <row r="165" spans="1:7" x14ac:dyDescent="0.2">
      <c r="A165" s="927" t="s">
        <v>668</v>
      </c>
      <c r="B165" s="927" t="s">
        <v>2047</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7">
        <f>SUM('Revenues 9-14'!C263:D263,'Revenues 9-14'!F263:G263)</f>
        <v>36536</v>
      </c>
      <c r="G168" s="947">
        <v>6320</v>
      </c>
    </row>
    <row r="169" spans="1:7" x14ac:dyDescent="0.2">
      <c r="A169" s="927" t="s">
        <v>668</v>
      </c>
      <c r="B169" s="927" t="s">
        <v>2049</v>
      </c>
      <c r="C169" s="932">
        <f>'Revenues 9-14'!B264</f>
        <v>4992</v>
      </c>
      <c r="D169" s="933" t="str">
        <f>'Revenues 9-14'!A264</f>
        <v>Medicaid Matching Funds - Fee-for-Service Program</v>
      </c>
      <c r="E169" s="906"/>
      <c r="F169" s="1787">
        <f>SUM('Revenues 9-14'!C264:D264,'Revenues 9-14'!F264:G264)</f>
        <v>141288</v>
      </c>
      <c r="G169" s="947"/>
    </row>
    <row r="170" spans="1:7" x14ac:dyDescent="0.2">
      <c r="A170" s="948" t="s">
        <v>668</v>
      </c>
      <c r="B170" s="944" t="s">
        <v>2050</v>
      </c>
      <c r="C170" s="945">
        <f>'Revenues 9-14'!B265</f>
        <v>4999</v>
      </c>
      <c r="D170" s="946" t="str">
        <f>'Revenues 9-14'!A265</f>
        <v>Other Restricted Revenue from Federal Sources (Describe &amp; Itemize)</v>
      </c>
      <c r="E170" s="906"/>
      <c r="F170" s="1787">
        <f>SUM('Revenues 9-14'!C265:D265,'Revenues 9-14'!F265:G265)</f>
        <v>92</v>
      </c>
      <c r="G170" s="927"/>
    </row>
    <row r="171" spans="1:7" x14ac:dyDescent="0.2">
      <c r="A171" s="1915" t="s">
        <v>5</v>
      </c>
      <c r="B171" s="1916" t="s">
        <v>1916</v>
      </c>
      <c r="C171" s="1917">
        <v>3100</v>
      </c>
      <c r="D171" s="1918" t="s">
        <v>1918</v>
      </c>
      <c r="E171" s="906"/>
      <c r="F171" s="1903"/>
      <c r="G171" s="927"/>
    </row>
    <row r="172" spans="1:7" x14ac:dyDescent="0.2">
      <c r="A172" s="1915" t="s">
        <v>664</v>
      </c>
      <c r="B172" s="1916" t="s">
        <v>1916</v>
      </c>
      <c r="C172" s="1917">
        <v>3300</v>
      </c>
      <c r="D172" s="1918" t="s">
        <v>1919</v>
      </c>
      <c r="E172" s="906"/>
      <c r="F172" s="1903"/>
      <c r="G172" s="927"/>
    </row>
    <row r="173" spans="1:7" ht="6" customHeight="1" x14ac:dyDescent="0.2">
      <c r="A173" s="927"/>
      <c r="B173" s="927"/>
      <c r="C173" s="949"/>
      <c r="D173" s="927"/>
      <c r="E173" s="906"/>
      <c r="F173" s="950"/>
      <c r="G173" s="947"/>
    </row>
    <row r="174" spans="1:7" x14ac:dyDescent="0.2">
      <c r="A174" s="1768"/>
      <c r="B174" s="1782"/>
      <c r="C174" s="1783"/>
      <c r="D174" s="1784" t="s">
        <v>2051</v>
      </c>
      <c r="E174" s="1785" t="s">
        <v>958</v>
      </c>
      <c r="F174" s="1786">
        <f>SUM(F84:F132,F157:F172)</f>
        <v>3035295</v>
      </c>
    </row>
    <row r="175" spans="1:7" ht="12" customHeight="1" x14ac:dyDescent="0.2">
      <c r="A175" s="1768"/>
      <c r="B175" s="1782"/>
      <c r="C175" s="1783"/>
      <c r="D175" s="1784" t="s">
        <v>2052</v>
      </c>
      <c r="E175" s="1785"/>
      <c r="F175" s="1787">
        <f>'PCTC-OEPP 27-28'!F77-F174</f>
        <v>24400304</v>
      </c>
    </row>
    <row r="176" spans="1:7" ht="12" customHeight="1" x14ac:dyDescent="0.2">
      <c r="A176" s="1768"/>
      <c r="B176" s="1782"/>
      <c r="C176" s="1783"/>
      <c r="D176" s="1784" t="s">
        <v>1814</v>
      </c>
      <c r="E176" s="1785"/>
      <c r="F176" s="1787">
        <f>'Cap Outlay Deprec 26'!I18</f>
        <v>2531409</v>
      </c>
    </row>
    <row r="177" spans="1:7" ht="12" customHeight="1" x14ac:dyDescent="0.2">
      <c r="A177" s="1768"/>
      <c r="B177" s="1782"/>
      <c r="C177" s="1783"/>
      <c r="D177" s="1784" t="s">
        <v>2053</v>
      </c>
      <c r="E177" s="1785"/>
      <c r="F177" s="1787">
        <f>F175+F176</f>
        <v>26931713</v>
      </c>
    </row>
    <row r="178" spans="1:7" ht="12" customHeight="1" x14ac:dyDescent="0.2">
      <c r="A178" s="1768"/>
      <c r="B178" s="1788"/>
      <c r="C178" s="1783"/>
      <c r="D178" s="1784" t="str">
        <f>D78</f>
        <v>9 Month ADA from District Average Daily Attendance/Prior General State Aid Inquiry 2018-2019</v>
      </c>
      <c r="E178" s="1785"/>
      <c r="F178" s="1789">
        <f>'PCTC-OEPP 27-28'!F78</f>
        <v>2075.13</v>
      </c>
      <c r="G178" s="930"/>
    </row>
    <row r="179" spans="1:7" ht="12" customHeight="1" thickBot="1" x14ac:dyDescent="0.25">
      <c r="A179" s="1768"/>
      <c r="B179" s="1788"/>
      <c r="C179" s="1783"/>
      <c r="D179" s="1784" t="s">
        <v>2054</v>
      </c>
      <c r="E179" s="1785" t="s">
        <v>1545</v>
      </c>
      <c r="F179" s="1790">
        <f>F177/F178</f>
        <v>12978.325695257647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9" customFormat="1" ht="12.2" customHeight="1" x14ac:dyDescent="0.2">
      <c r="A182" s="1919" t="s">
        <v>1989</v>
      </c>
      <c r="B182" s="1920"/>
      <c r="C182" s="1921"/>
      <c r="D182" s="1920"/>
      <c r="E182" s="1921"/>
      <c r="F182" s="1920"/>
      <c r="G182" s="1920"/>
    </row>
    <row r="183" spans="1:7" s="1919" customFormat="1" ht="12.2" customHeight="1" x14ac:dyDescent="0.2">
      <c r="A183" s="1922" t="s">
        <v>1991</v>
      </c>
      <c r="C183" s="1921"/>
      <c r="D183" s="1920"/>
      <c r="E183" s="1921"/>
      <c r="F183" s="1920"/>
      <c r="G183" s="1920"/>
    </row>
    <row r="184" spans="1:7" ht="12" customHeight="1" x14ac:dyDescent="0.2">
      <c r="C184" s="949"/>
      <c r="D184" s="930"/>
      <c r="E184" s="949"/>
      <c r="F184" s="930"/>
      <c r="G184" s="930"/>
    </row>
    <row r="185" spans="1:7" x14ac:dyDescent="0.2">
      <c r="A185" s="1923" t="s">
        <v>1921</v>
      </c>
      <c r="B185" s="192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A18" sqref="A18"/>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3"/>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80" t="s">
        <v>1815</v>
      </c>
      <c r="B4" s="2281"/>
      <c r="C4" s="2281"/>
      <c r="D4" s="2281"/>
      <c r="E4" s="2281"/>
      <c r="F4" s="2281"/>
      <c r="G4" s="2282"/>
    </row>
    <row r="5" spans="1:7" x14ac:dyDescent="0.25">
      <c r="A5" s="2283"/>
      <c r="B5" s="2284"/>
      <c r="C5" s="2284"/>
      <c r="D5" s="2284"/>
      <c r="E5" s="2284"/>
      <c r="F5" s="2284"/>
      <c r="G5" s="2285"/>
    </row>
    <row r="6" spans="1:7" ht="18.75" x14ac:dyDescent="0.25">
      <c r="A6" s="1534" t="s">
        <v>1816</v>
      </c>
      <c r="B6" s="1535"/>
      <c r="C6" s="1535"/>
      <c r="D6" s="1535"/>
      <c r="E6" s="1535"/>
      <c r="F6" s="1535"/>
      <c r="G6" s="1536"/>
    </row>
    <row r="7" spans="1:7" ht="30.75" customHeight="1" x14ac:dyDescent="0.25">
      <c r="A7" s="2286" t="s">
        <v>1928</v>
      </c>
      <c r="B7" s="2287"/>
      <c r="C7" s="2287"/>
      <c r="D7" s="2287"/>
      <c r="E7" s="2287"/>
      <c r="F7" s="2287"/>
      <c r="G7" s="2288"/>
    </row>
    <row r="8" spans="1:7" ht="15.75" customHeight="1" x14ac:dyDescent="0.25">
      <c r="A8" s="2289" t="s">
        <v>1903</v>
      </c>
      <c r="B8" s="2290"/>
      <c r="C8" s="2290"/>
      <c r="D8" s="2290"/>
      <c r="E8" s="2290"/>
      <c r="F8" s="2290"/>
      <c r="G8" s="2291"/>
    </row>
    <row r="9" spans="1:7" ht="35.25" customHeight="1" x14ac:dyDescent="0.25">
      <c r="A9" s="2286" t="s">
        <v>2060</v>
      </c>
      <c r="B9" s="2287"/>
      <c r="C9" s="2287"/>
      <c r="D9" s="2287"/>
      <c r="E9" s="2287"/>
      <c r="F9" s="2287"/>
      <c r="G9" s="2288"/>
    </row>
    <row r="10" spans="1:7" ht="15" customHeight="1" x14ac:dyDescent="0.25">
      <c r="A10" s="1537" t="s">
        <v>1817</v>
      </c>
      <c r="B10" s="1538"/>
      <c r="C10" s="1538"/>
      <c r="D10" s="1538"/>
      <c r="E10" s="1538"/>
      <c r="F10" s="1538"/>
      <c r="G10" s="1539"/>
    </row>
    <row r="11" spans="1:7" ht="17.25" customHeight="1" x14ac:dyDescent="0.25">
      <c r="A11" s="2286" t="s">
        <v>1930</v>
      </c>
      <c r="B11" s="2287"/>
      <c r="C11" s="2287"/>
      <c r="D11" s="2287"/>
      <c r="E11" s="2287"/>
      <c r="F11" s="2287"/>
      <c r="G11" s="2288"/>
    </row>
    <row r="12" spans="1:7" ht="15" customHeight="1" x14ac:dyDescent="0.25">
      <c r="A12" s="1537" t="s">
        <v>1822</v>
      </c>
      <c r="B12" s="1538"/>
      <c r="C12" s="1538"/>
      <c r="D12" s="1538"/>
      <c r="E12" s="1538"/>
      <c r="F12" s="1538"/>
      <c r="G12" s="1539"/>
    </row>
    <row r="13" spans="1:7" ht="32.25" customHeight="1" x14ac:dyDescent="0.25">
      <c r="A13" s="2277" t="s">
        <v>1971</v>
      </c>
      <c r="B13" s="2278"/>
      <c r="C13" s="2278"/>
      <c r="D13" s="2278"/>
      <c r="E13" s="2278"/>
      <c r="F13" s="2278"/>
      <c r="G13" s="2279"/>
    </row>
    <row r="14" spans="1:7" x14ac:dyDescent="0.25">
      <c r="A14" s="1659" t="s">
        <v>1830</v>
      </c>
      <c r="B14" s="1660"/>
      <c r="C14" s="1660"/>
      <c r="D14" s="1660"/>
      <c r="E14" s="1660"/>
      <c r="F14" s="1660"/>
      <c r="G14" s="1661"/>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2493">
        <f>IF(D16&lt;=25000,D16,IF(D16&gt;25000,25000,0))</f>
        <v>25000</v>
      </c>
      <c r="F16" s="249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2495">
        <f>IF(F16=0,"0",D16-F16)</f>
        <v>475000</v>
      </c>
    </row>
    <row r="17" spans="1:8" x14ac:dyDescent="0.25">
      <c r="A17" s="1933" t="s">
        <v>2087</v>
      </c>
      <c r="B17" s="1934" t="s">
        <v>2089</v>
      </c>
      <c r="C17" s="1935" t="s">
        <v>2088</v>
      </c>
      <c r="D17" s="1841">
        <v>1785</v>
      </c>
      <c r="E17" s="2494">
        <f>IF(D17&lt;=25000,D17,IF(D17&gt;25000,25000,0))</f>
        <v>1785</v>
      </c>
      <c r="F17" s="2496">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1785</v>
      </c>
      <c r="G17" s="2496">
        <f>IF(F17=0,0,D17-F17)</f>
        <v>0</v>
      </c>
      <c r="H17" s="1646"/>
    </row>
    <row r="18" spans="1:8" x14ac:dyDescent="0.25">
      <c r="A18" s="1933" t="s">
        <v>2090</v>
      </c>
      <c r="B18" s="1934" t="s">
        <v>2091</v>
      </c>
      <c r="C18" s="1935" t="s">
        <v>2092</v>
      </c>
      <c r="D18" s="1841">
        <v>4800</v>
      </c>
      <c r="E18" s="2494">
        <f t="shared" ref="E18:E140" si="1">IF(D18&lt;=25000,D18,IF(D18&gt;25000,25000,0))</f>
        <v>4800</v>
      </c>
      <c r="F18" s="2496">
        <f t="shared" si="0"/>
        <v>4800</v>
      </c>
      <c r="G18" s="2496">
        <f t="shared" ref="G18:G140" si="2">IF(F18=0,0,D18-F18)</f>
        <v>0</v>
      </c>
    </row>
    <row r="19" spans="1:8" x14ac:dyDescent="0.25">
      <c r="A19" s="1933" t="s">
        <v>2090</v>
      </c>
      <c r="B19" s="1934" t="s">
        <v>2091</v>
      </c>
      <c r="C19" s="1935" t="s">
        <v>2093</v>
      </c>
      <c r="D19" s="1841">
        <v>5973</v>
      </c>
      <c r="E19" s="2494">
        <f t="shared" si="1"/>
        <v>5973</v>
      </c>
      <c r="F19" s="2496">
        <f t="shared" si="0"/>
        <v>5973</v>
      </c>
      <c r="G19" s="2496">
        <f t="shared" si="2"/>
        <v>0</v>
      </c>
    </row>
    <row r="20" spans="1:8" x14ac:dyDescent="0.25">
      <c r="A20" s="1933" t="s">
        <v>2090</v>
      </c>
      <c r="B20" s="1934" t="s">
        <v>2091</v>
      </c>
      <c r="C20" s="1935" t="s">
        <v>2094</v>
      </c>
      <c r="D20" s="1841">
        <v>2398</v>
      </c>
      <c r="E20" s="2494">
        <f t="shared" si="1"/>
        <v>2398</v>
      </c>
      <c r="F20" s="2496">
        <f t="shared" si="0"/>
        <v>2398</v>
      </c>
      <c r="G20" s="2496">
        <f t="shared" si="2"/>
        <v>0</v>
      </c>
    </row>
    <row r="21" spans="1:8" ht="30" x14ac:dyDescent="0.25">
      <c r="A21" s="1939" t="s">
        <v>2156</v>
      </c>
      <c r="B21" s="1937" t="s">
        <v>2160</v>
      </c>
      <c r="C21" s="1938" t="s">
        <v>2157</v>
      </c>
      <c r="D21" s="1936">
        <v>7277.6</v>
      </c>
      <c r="E21" s="2494">
        <f t="shared" si="1"/>
        <v>7277.6</v>
      </c>
      <c r="F21" s="2496">
        <f t="shared" si="0"/>
        <v>7277.6</v>
      </c>
      <c r="G21" s="2496">
        <f t="shared" si="2"/>
        <v>0</v>
      </c>
    </row>
    <row r="22" spans="1:8" x14ac:dyDescent="0.25">
      <c r="A22" s="1943" t="s">
        <v>2158</v>
      </c>
      <c r="B22" s="1941" t="s">
        <v>2159</v>
      </c>
      <c r="C22" s="1942" t="s">
        <v>2099</v>
      </c>
      <c r="D22" s="1940">
        <v>2040823</v>
      </c>
      <c r="E22" s="2494">
        <f t="shared" si="1"/>
        <v>25000</v>
      </c>
      <c r="F22" s="2496">
        <f t="shared" si="0"/>
        <v>25000</v>
      </c>
      <c r="G22" s="2496">
        <f t="shared" si="2"/>
        <v>2015823</v>
      </c>
    </row>
    <row r="23" spans="1:8" ht="30" x14ac:dyDescent="0.25">
      <c r="A23" s="1956" t="s">
        <v>2156</v>
      </c>
      <c r="B23" s="1953" t="s">
        <v>2160</v>
      </c>
      <c r="C23" s="1955" t="s">
        <v>2161</v>
      </c>
      <c r="D23" s="1954">
        <v>1036</v>
      </c>
      <c r="E23" s="2494">
        <f t="shared" si="1"/>
        <v>1036</v>
      </c>
      <c r="F23" s="2496">
        <f t="shared" si="0"/>
        <v>1036</v>
      </c>
      <c r="G23" s="2496">
        <f t="shared" si="2"/>
        <v>0</v>
      </c>
    </row>
    <row r="24" spans="1:8" x14ac:dyDescent="0.25">
      <c r="A24" s="1651"/>
      <c r="B24" s="1930"/>
      <c r="C24" s="1654"/>
      <c r="D24" s="1841"/>
      <c r="E24" s="2494">
        <f t="shared" si="1"/>
        <v>0</v>
      </c>
      <c r="F24" s="2496">
        <f t="shared" si="0"/>
        <v>0</v>
      </c>
      <c r="G24" s="2496">
        <f t="shared" si="2"/>
        <v>0</v>
      </c>
    </row>
    <row r="25" spans="1:8" x14ac:dyDescent="0.25">
      <c r="A25" s="1651"/>
      <c r="B25" s="1930"/>
      <c r="C25" s="1654"/>
      <c r="D25" s="1841"/>
      <c r="E25" s="2494">
        <f t="shared" si="1"/>
        <v>0</v>
      </c>
      <c r="F25" s="2496">
        <f t="shared" si="0"/>
        <v>0</v>
      </c>
      <c r="G25" s="2496">
        <f t="shared" si="2"/>
        <v>0</v>
      </c>
    </row>
    <row r="26" spans="1:8" x14ac:dyDescent="0.25">
      <c r="A26" s="1651"/>
      <c r="B26" s="1930"/>
      <c r="C26" s="1652"/>
      <c r="D26" s="1841"/>
      <c r="E26" s="2494">
        <f t="shared" si="1"/>
        <v>0</v>
      </c>
      <c r="F26" s="2496">
        <f t="shared" si="0"/>
        <v>0</v>
      </c>
      <c r="G26" s="2496">
        <f t="shared" si="2"/>
        <v>0</v>
      </c>
    </row>
    <row r="27" spans="1:8" x14ac:dyDescent="0.25">
      <c r="A27" s="1651"/>
      <c r="B27" s="1930"/>
      <c r="C27" s="1652"/>
      <c r="D27" s="1841"/>
      <c r="E27" s="2494">
        <f t="shared" si="1"/>
        <v>0</v>
      </c>
      <c r="F27" s="2496">
        <f t="shared" si="0"/>
        <v>0</v>
      </c>
      <c r="G27" s="2496">
        <f t="shared" si="2"/>
        <v>0</v>
      </c>
    </row>
    <row r="28" spans="1:8" x14ac:dyDescent="0.25">
      <c r="A28" s="1651"/>
      <c r="B28" s="1930"/>
      <c r="C28" s="1652"/>
      <c r="D28" s="1841"/>
      <c r="E28" s="2494">
        <f t="shared" si="1"/>
        <v>0</v>
      </c>
      <c r="F28" s="2496">
        <f t="shared" si="0"/>
        <v>0</v>
      </c>
      <c r="G28" s="2496">
        <f t="shared" si="2"/>
        <v>0</v>
      </c>
    </row>
    <row r="29" spans="1:8" x14ac:dyDescent="0.25">
      <c r="A29" s="1651"/>
      <c r="B29" s="1930"/>
      <c r="C29" s="1652"/>
      <c r="D29" s="1841"/>
      <c r="E29" s="2494">
        <f t="shared" si="1"/>
        <v>0</v>
      </c>
      <c r="F29" s="2496">
        <f t="shared" si="0"/>
        <v>0</v>
      </c>
      <c r="G29" s="2496">
        <f t="shared" si="2"/>
        <v>0</v>
      </c>
    </row>
    <row r="30" spans="1:8" x14ac:dyDescent="0.25">
      <c r="A30" s="1651"/>
      <c r="B30" s="1930"/>
      <c r="C30" s="1652"/>
      <c r="D30" s="1841"/>
      <c r="E30" s="2494">
        <f t="shared" si="1"/>
        <v>0</v>
      </c>
      <c r="F30" s="2496">
        <f t="shared" si="0"/>
        <v>0</v>
      </c>
      <c r="G30" s="2496">
        <f t="shared" si="2"/>
        <v>0</v>
      </c>
    </row>
    <row r="31" spans="1:8" x14ac:dyDescent="0.25">
      <c r="A31" s="1651"/>
      <c r="B31" s="1930"/>
      <c r="C31" s="1652"/>
      <c r="D31" s="1841"/>
      <c r="E31" s="2494">
        <f t="shared" si="1"/>
        <v>0</v>
      </c>
      <c r="F31" s="2496">
        <f t="shared" si="0"/>
        <v>0</v>
      </c>
      <c r="G31" s="2496">
        <f t="shared" si="2"/>
        <v>0</v>
      </c>
    </row>
    <row r="32" spans="1:8" x14ac:dyDescent="0.25">
      <c r="A32" s="1651"/>
      <c r="B32" s="1930"/>
      <c r="C32" s="1652"/>
      <c r="D32" s="1841"/>
      <c r="E32" s="2494">
        <f t="shared" si="1"/>
        <v>0</v>
      </c>
      <c r="F32" s="2496">
        <f t="shared" si="0"/>
        <v>0</v>
      </c>
      <c r="G32" s="2496">
        <f t="shared" si="2"/>
        <v>0</v>
      </c>
    </row>
    <row r="33" spans="1:7" x14ac:dyDescent="0.25">
      <c r="A33" s="1651"/>
      <c r="B33" s="1930"/>
      <c r="C33" s="1652"/>
      <c r="D33" s="1841"/>
      <c r="E33" s="2494">
        <f t="shared" si="1"/>
        <v>0</v>
      </c>
      <c r="F33" s="2496">
        <f t="shared" si="0"/>
        <v>0</v>
      </c>
      <c r="G33" s="2496">
        <f t="shared" si="2"/>
        <v>0</v>
      </c>
    </row>
    <row r="34" spans="1:7" x14ac:dyDescent="0.25">
      <c r="A34" s="1651"/>
      <c r="B34" s="1930"/>
      <c r="C34" s="1652"/>
      <c r="D34" s="1841"/>
      <c r="E34" s="2494">
        <f t="shared" si="1"/>
        <v>0</v>
      </c>
      <c r="F34" s="2496">
        <f t="shared" si="0"/>
        <v>0</v>
      </c>
      <c r="G34" s="2496">
        <f t="shared" si="2"/>
        <v>0</v>
      </c>
    </row>
    <row r="35" spans="1:7" x14ac:dyDescent="0.25">
      <c r="A35" s="1651"/>
      <c r="B35" s="1930"/>
      <c r="C35" s="1652"/>
      <c r="D35" s="1841"/>
      <c r="E35" s="2494">
        <f t="shared" si="1"/>
        <v>0</v>
      </c>
      <c r="F35" s="2496">
        <f t="shared" si="0"/>
        <v>0</v>
      </c>
      <c r="G35" s="2496">
        <f t="shared" si="2"/>
        <v>0</v>
      </c>
    </row>
    <row r="36" spans="1:7" x14ac:dyDescent="0.25">
      <c r="A36" s="1651"/>
      <c r="B36" s="1930"/>
      <c r="C36" s="1652"/>
      <c r="D36" s="1841"/>
      <c r="E36" s="2494">
        <f t="shared" si="1"/>
        <v>0</v>
      </c>
      <c r="F36" s="2496">
        <f t="shared" si="0"/>
        <v>0</v>
      </c>
      <c r="G36" s="2496">
        <f t="shared" si="2"/>
        <v>0</v>
      </c>
    </row>
    <row r="37" spans="1:7" x14ac:dyDescent="0.25">
      <c r="A37" s="1651"/>
      <c r="B37" s="1930"/>
      <c r="C37" s="1652"/>
      <c r="D37" s="1841"/>
      <c r="E37" s="2494">
        <f t="shared" si="1"/>
        <v>0</v>
      </c>
      <c r="F37" s="2496">
        <f t="shared" si="0"/>
        <v>0</v>
      </c>
      <c r="G37" s="2496">
        <f t="shared" si="2"/>
        <v>0</v>
      </c>
    </row>
    <row r="38" spans="1:7" x14ac:dyDescent="0.25">
      <c r="A38" s="1651"/>
      <c r="B38" s="1931"/>
      <c r="C38" s="1652"/>
      <c r="D38" s="1841"/>
      <c r="E38" s="2494">
        <f t="shared" si="1"/>
        <v>0</v>
      </c>
      <c r="F38" s="2496">
        <f t="shared" si="0"/>
        <v>0</v>
      </c>
      <c r="G38" s="2496">
        <f t="shared" si="2"/>
        <v>0</v>
      </c>
    </row>
    <row r="39" spans="1:7" x14ac:dyDescent="0.25">
      <c r="A39" s="1651"/>
      <c r="B39" s="1931"/>
      <c r="C39" s="1652"/>
      <c r="D39" s="1841"/>
      <c r="E39" s="2494">
        <f t="shared" si="1"/>
        <v>0</v>
      </c>
      <c r="F39" s="2496">
        <f t="shared" si="0"/>
        <v>0</v>
      </c>
      <c r="G39" s="2496">
        <f t="shared" si="2"/>
        <v>0</v>
      </c>
    </row>
    <row r="40" spans="1:7" x14ac:dyDescent="0.25">
      <c r="A40" s="1651"/>
      <c r="B40" s="1931"/>
      <c r="C40" s="1652"/>
      <c r="D40" s="1841"/>
      <c r="E40" s="2494">
        <f t="shared" si="1"/>
        <v>0</v>
      </c>
      <c r="F40" s="2496">
        <f t="shared" si="0"/>
        <v>0</v>
      </c>
      <c r="G40" s="2496">
        <f t="shared" si="2"/>
        <v>0</v>
      </c>
    </row>
    <row r="41" spans="1:7" x14ac:dyDescent="0.25">
      <c r="A41" s="1651"/>
      <c r="B41" s="1931"/>
      <c r="C41" s="1652"/>
      <c r="D41" s="1841"/>
      <c r="E41" s="2494">
        <f t="shared" si="1"/>
        <v>0</v>
      </c>
      <c r="F41" s="2496">
        <f t="shared" si="0"/>
        <v>0</v>
      </c>
      <c r="G41" s="2496">
        <f t="shared" si="2"/>
        <v>0</v>
      </c>
    </row>
    <row r="42" spans="1:7" x14ac:dyDescent="0.25">
      <c r="A42" s="1651"/>
      <c r="B42" s="1931"/>
      <c r="C42" s="1652"/>
      <c r="D42" s="1841"/>
      <c r="E42" s="2494">
        <f t="shared" si="1"/>
        <v>0</v>
      </c>
      <c r="F42" s="2496">
        <f t="shared" si="0"/>
        <v>0</v>
      </c>
      <c r="G42" s="2496">
        <f t="shared" si="2"/>
        <v>0</v>
      </c>
    </row>
    <row r="43" spans="1:7" x14ac:dyDescent="0.25">
      <c r="A43" s="1651"/>
      <c r="B43" s="1931"/>
      <c r="C43" s="1652"/>
      <c r="D43" s="1841"/>
      <c r="E43" s="2494">
        <f t="shared" si="1"/>
        <v>0</v>
      </c>
      <c r="F43" s="2496">
        <f t="shared" si="0"/>
        <v>0</v>
      </c>
      <c r="G43" s="2496">
        <f t="shared" si="2"/>
        <v>0</v>
      </c>
    </row>
    <row r="44" spans="1:7" x14ac:dyDescent="0.25">
      <c r="A44" s="1651"/>
      <c r="B44" s="1931"/>
      <c r="C44" s="1652"/>
      <c r="D44" s="1841"/>
      <c r="E44" s="2494">
        <f t="shared" si="1"/>
        <v>0</v>
      </c>
      <c r="F44" s="2496">
        <f t="shared" si="0"/>
        <v>0</v>
      </c>
      <c r="G44" s="2496">
        <f t="shared" si="2"/>
        <v>0</v>
      </c>
    </row>
    <row r="45" spans="1:7" x14ac:dyDescent="0.25">
      <c r="A45" s="1651"/>
      <c r="B45" s="1931"/>
      <c r="C45" s="1652"/>
      <c r="D45" s="1841"/>
      <c r="E45" s="2494">
        <f t="shared" si="1"/>
        <v>0</v>
      </c>
      <c r="F45" s="2496">
        <f t="shared" si="0"/>
        <v>0</v>
      </c>
      <c r="G45" s="2496">
        <f t="shared" si="2"/>
        <v>0</v>
      </c>
    </row>
    <row r="46" spans="1:7" x14ac:dyDescent="0.25">
      <c r="A46" s="1651"/>
      <c r="B46" s="1665"/>
      <c r="C46" s="1652"/>
      <c r="D46" s="1841"/>
      <c r="E46" s="2494">
        <f t="shared" si="1"/>
        <v>0</v>
      </c>
      <c r="F46" s="2496">
        <f t="shared" si="0"/>
        <v>0</v>
      </c>
      <c r="G46" s="2496">
        <f t="shared" si="2"/>
        <v>0</v>
      </c>
    </row>
    <row r="47" spans="1:7" x14ac:dyDescent="0.25">
      <c r="A47" s="1651"/>
      <c r="B47" s="1665"/>
      <c r="C47" s="1652"/>
      <c r="D47" s="1841"/>
      <c r="E47" s="2494">
        <f t="shared" si="1"/>
        <v>0</v>
      </c>
      <c r="F47" s="2496">
        <f t="shared" si="0"/>
        <v>0</v>
      </c>
      <c r="G47" s="2496">
        <f t="shared" si="2"/>
        <v>0</v>
      </c>
    </row>
    <row r="48" spans="1:7" x14ac:dyDescent="0.25">
      <c r="A48" s="1651"/>
      <c r="B48" s="1665"/>
      <c r="C48" s="1652"/>
      <c r="D48" s="1841"/>
      <c r="E48" s="2494">
        <f t="shared" si="1"/>
        <v>0</v>
      </c>
      <c r="F48" s="2496">
        <f t="shared" si="0"/>
        <v>0</v>
      </c>
      <c r="G48" s="2496">
        <f t="shared" si="2"/>
        <v>0</v>
      </c>
    </row>
    <row r="49" spans="1:7" x14ac:dyDescent="0.25">
      <c r="A49" s="1651"/>
      <c r="B49" s="1665"/>
      <c r="C49" s="1652"/>
      <c r="D49" s="1841"/>
      <c r="E49" s="2494">
        <f t="shared" si="1"/>
        <v>0</v>
      </c>
      <c r="F49" s="2496">
        <f t="shared" si="0"/>
        <v>0</v>
      </c>
      <c r="G49" s="2496">
        <f t="shared" si="2"/>
        <v>0</v>
      </c>
    </row>
    <row r="50" spans="1:7" x14ac:dyDescent="0.25">
      <c r="A50" s="1651"/>
      <c r="B50" s="1665"/>
      <c r="C50" s="1652"/>
      <c r="D50" s="1841"/>
      <c r="E50" s="2494">
        <f t="shared" si="1"/>
        <v>0</v>
      </c>
      <c r="F50" s="2496">
        <f t="shared" si="0"/>
        <v>0</v>
      </c>
      <c r="G50" s="2496">
        <f t="shared" si="2"/>
        <v>0</v>
      </c>
    </row>
    <row r="51" spans="1:7" x14ac:dyDescent="0.25">
      <c r="A51" s="1651"/>
      <c r="B51" s="1665"/>
      <c r="C51" s="1652"/>
      <c r="D51" s="1841"/>
      <c r="E51" s="2494">
        <f t="shared" si="1"/>
        <v>0</v>
      </c>
      <c r="F51" s="2496">
        <f t="shared" si="0"/>
        <v>0</v>
      </c>
      <c r="G51" s="2496">
        <f t="shared" si="2"/>
        <v>0</v>
      </c>
    </row>
    <row r="52" spans="1:7" x14ac:dyDescent="0.25">
      <c r="A52" s="1651"/>
      <c r="B52" s="1665"/>
      <c r="C52" s="1652"/>
      <c r="D52" s="1841"/>
      <c r="E52" s="2494">
        <f t="shared" si="1"/>
        <v>0</v>
      </c>
      <c r="F52" s="2496">
        <f t="shared" si="0"/>
        <v>0</v>
      </c>
      <c r="G52" s="2496">
        <f t="shared" si="2"/>
        <v>0</v>
      </c>
    </row>
    <row r="53" spans="1:7" x14ac:dyDescent="0.25">
      <c r="A53" s="1651"/>
      <c r="B53" s="1665"/>
      <c r="C53" s="1652"/>
      <c r="D53" s="1841"/>
      <c r="E53" s="2494">
        <f t="shared" si="1"/>
        <v>0</v>
      </c>
      <c r="F53" s="2496">
        <f t="shared" si="0"/>
        <v>0</v>
      </c>
      <c r="G53" s="2496">
        <f t="shared" si="2"/>
        <v>0</v>
      </c>
    </row>
    <row r="54" spans="1:7" x14ac:dyDescent="0.25">
      <c r="A54" s="1651"/>
      <c r="B54" s="1665"/>
      <c r="C54" s="1652"/>
      <c r="D54" s="1841"/>
      <c r="E54" s="2494">
        <f t="shared" si="1"/>
        <v>0</v>
      </c>
      <c r="F54" s="2496">
        <f t="shared" si="0"/>
        <v>0</v>
      </c>
      <c r="G54" s="2496">
        <f t="shared" si="2"/>
        <v>0</v>
      </c>
    </row>
    <row r="55" spans="1:7" x14ac:dyDescent="0.25">
      <c r="A55" s="1651"/>
      <c r="B55" s="1665"/>
      <c r="C55" s="1652"/>
      <c r="D55" s="1841"/>
      <c r="E55" s="2494">
        <f t="shared" si="1"/>
        <v>0</v>
      </c>
      <c r="F55" s="2496">
        <f t="shared" si="0"/>
        <v>0</v>
      </c>
      <c r="G55" s="2496">
        <f t="shared" si="2"/>
        <v>0</v>
      </c>
    </row>
    <row r="56" spans="1:7" x14ac:dyDescent="0.25">
      <c r="A56" s="1651"/>
      <c r="B56" s="1665"/>
      <c r="C56" s="1652"/>
      <c r="D56" s="1841"/>
      <c r="E56" s="2494">
        <f t="shared" si="1"/>
        <v>0</v>
      </c>
      <c r="F56" s="2496">
        <f t="shared" si="0"/>
        <v>0</v>
      </c>
      <c r="G56" s="2496">
        <f t="shared" si="2"/>
        <v>0</v>
      </c>
    </row>
    <row r="57" spans="1:7" x14ac:dyDescent="0.25">
      <c r="A57" s="1651"/>
      <c r="B57" s="1665"/>
      <c r="C57" s="1652"/>
      <c r="D57" s="1841"/>
      <c r="E57" s="2494">
        <f t="shared" si="1"/>
        <v>0</v>
      </c>
      <c r="F57" s="2496">
        <f t="shared" si="0"/>
        <v>0</v>
      </c>
      <c r="G57" s="2496">
        <f t="shared" si="2"/>
        <v>0</v>
      </c>
    </row>
    <row r="58" spans="1:7" x14ac:dyDescent="0.25">
      <c r="A58" s="1651"/>
      <c r="B58" s="1665"/>
      <c r="C58" s="1652"/>
      <c r="D58" s="1841"/>
      <c r="E58" s="2494">
        <f t="shared" si="1"/>
        <v>0</v>
      </c>
      <c r="F58" s="2496">
        <f t="shared" si="0"/>
        <v>0</v>
      </c>
      <c r="G58" s="2496">
        <f t="shared" si="2"/>
        <v>0</v>
      </c>
    </row>
    <row r="59" spans="1:7" x14ac:dyDescent="0.25">
      <c r="A59" s="1651"/>
      <c r="B59" s="1665"/>
      <c r="C59" s="1652"/>
      <c r="D59" s="1841"/>
      <c r="E59" s="2494">
        <f t="shared" si="1"/>
        <v>0</v>
      </c>
      <c r="F59" s="2496">
        <f t="shared" si="0"/>
        <v>0</v>
      </c>
      <c r="G59" s="2496">
        <f t="shared" si="2"/>
        <v>0</v>
      </c>
    </row>
    <row r="60" spans="1:7" x14ac:dyDescent="0.25">
      <c r="A60" s="1651"/>
      <c r="B60" s="1665"/>
      <c r="C60" s="1652"/>
      <c r="D60" s="1841"/>
      <c r="E60" s="2494">
        <f t="shared" si="1"/>
        <v>0</v>
      </c>
      <c r="F60" s="2496">
        <f t="shared" si="0"/>
        <v>0</v>
      </c>
      <c r="G60" s="2496">
        <f t="shared" si="2"/>
        <v>0</v>
      </c>
    </row>
    <row r="61" spans="1:7" x14ac:dyDescent="0.25">
      <c r="A61" s="1651"/>
      <c r="B61" s="1665"/>
      <c r="C61" s="1652"/>
      <c r="D61" s="1841"/>
      <c r="E61" s="2494">
        <f t="shared" si="1"/>
        <v>0</v>
      </c>
      <c r="F61" s="2496">
        <f t="shared" si="0"/>
        <v>0</v>
      </c>
      <c r="G61" s="2496">
        <f t="shared" si="2"/>
        <v>0</v>
      </c>
    </row>
    <row r="62" spans="1:7" x14ac:dyDescent="0.25">
      <c r="A62" s="1651"/>
      <c r="B62" s="1665"/>
      <c r="C62" s="1652"/>
      <c r="D62" s="1841"/>
      <c r="E62" s="2494">
        <f t="shared" si="1"/>
        <v>0</v>
      </c>
      <c r="F62" s="2496">
        <f t="shared" si="0"/>
        <v>0</v>
      </c>
      <c r="G62" s="2496">
        <f t="shared" si="2"/>
        <v>0</v>
      </c>
    </row>
    <row r="63" spans="1:7" x14ac:dyDescent="0.25">
      <c r="A63" s="1651"/>
      <c r="B63" s="1665"/>
      <c r="C63" s="1652"/>
      <c r="D63" s="1841"/>
      <c r="E63" s="2494">
        <f t="shared" si="1"/>
        <v>0</v>
      </c>
      <c r="F63" s="2496">
        <f t="shared" si="0"/>
        <v>0</v>
      </c>
      <c r="G63" s="2496">
        <f t="shared" si="2"/>
        <v>0</v>
      </c>
    </row>
    <row r="64" spans="1:7" x14ac:dyDescent="0.25">
      <c r="A64" s="1653"/>
      <c r="B64" s="1665"/>
      <c r="C64" s="1654"/>
      <c r="D64" s="1841"/>
      <c r="E64" s="2494">
        <f t="shared" si="1"/>
        <v>0</v>
      </c>
      <c r="F64" s="2496">
        <f t="shared" si="0"/>
        <v>0</v>
      </c>
      <c r="G64" s="2496">
        <f t="shared" si="2"/>
        <v>0</v>
      </c>
    </row>
    <row r="65" spans="1:7" x14ac:dyDescent="0.25">
      <c r="A65" s="1651"/>
      <c r="B65" s="1665"/>
      <c r="C65" s="1652"/>
      <c r="D65" s="1841"/>
      <c r="E65" s="2494">
        <f t="shared" si="1"/>
        <v>0</v>
      </c>
      <c r="F65" s="2496">
        <f t="shared" si="0"/>
        <v>0</v>
      </c>
      <c r="G65" s="2496">
        <f t="shared" si="2"/>
        <v>0</v>
      </c>
    </row>
    <row r="66" spans="1:7" x14ac:dyDescent="0.25">
      <c r="A66" s="1651"/>
      <c r="B66" s="1665"/>
      <c r="C66" s="1652"/>
      <c r="D66" s="1841"/>
      <c r="E66" s="2494">
        <f t="shared" si="1"/>
        <v>0</v>
      </c>
      <c r="F66" s="2496">
        <f t="shared" si="0"/>
        <v>0</v>
      </c>
      <c r="G66" s="2496">
        <f t="shared" si="2"/>
        <v>0</v>
      </c>
    </row>
    <row r="67" spans="1:7" x14ac:dyDescent="0.25">
      <c r="A67" s="1651"/>
      <c r="B67" s="1665"/>
      <c r="C67" s="1652"/>
      <c r="D67" s="1841"/>
      <c r="E67" s="2494">
        <f t="shared" si="1"/>
        <v>0</v>
      </c>
      <c r="F67" s="2496">
        <f t="shared" si="0"/>
        <v>0</v>
      </c>
      <c r="G67" s="2496">
        <f t="shared" si="2"/>
        <v>0</v>
      </c>
    </row>
    <row r="68" spans="1:7" x14ac:dyDescent="0.25">
      <c r="A68" s="1651"/>
      <c r="B68" s="1665"/>
      <c r="C68" s="1652"/>
      <c r="D68" s="1841"/>
      <c r="E68" s="2494">
        <f t="shared" si="1"/>
        <v>0</v>
      </c>
      <c r="F68" s="2496">
        <f t="shared" si="0"/>
        <v>0</v>
      </c>
      <c r="G68" s="2496">
        <f t="shared" si="2"/>
        <v>0</v>
      </c>
    </row>
    <row r="69" spans="1:7" x14ac:dyDescent="0.25">
      <c r="A69" s="1651"/>
      <c r="B69" s="1665"/>
      <c r="C69" s="1652"/>
      <c r="D69" s="1841"/>
      <c r="E69" s="2494">
        <f t="shared" si="1"/>
        <v>0</v>
      </c>
      <c r="F69" s="2496">
        <f t="shared" si="0"/>
        <v>0</v>
      </c>
      <c r="G69" s="2496">
        <f t="shared" si="2"/>
        <v>0</v>
      </c>
    </row>
    <row r="70" spans="1:7" x14ac:dyDescent="0.25">
      <c r="A70" s="1651"/>
      <c r="B70" s="1665"/>
      <c r="C70" s="1652"/>
      <c r="D70" s="1841"/>
      <c r="E70" s="2494">
        <f t="shared" si="1"/>
        <v>0</v>
      </c>
      <c r="F70" s="2496">
        <f t="shared" si="0"/>
        <v>0</v>
      </c>
      <c r="G70" s="2496">
        <f t="shared" si="2"/>
        <v>0</v>
      </c>
    </row>
    <row r="71" spans="1:7" x14ac:dyDescent="0.25">
      <c r="A71" s="1651"/>
      <c r="B71" s="1665"/>
      <c r="C71" s="1652"/>
      <c r="D71" s="1841"/>
      <c r="E71" s="2494">
        <f t="shared" si="1"/>
        <v>0</v>
      </c>
      <c r="F71" s="2496">
        <f t="shared" si="0"/>
        <v>0</v>
      </c>
      <c r="G71" s="2496">
        <f t="shared" si="2"/>
        <v>0</v>
      </c>
    </row>
    <row r="72" spans="1:7" x14ac:dyDescent="0.25">
      <c r="A72" s="1651"/>
      <c r="B72" s="1665"/>
      <c r="C72" s="1652"/>
      <c r="D72" s="1841"/>
      <c r="E72" s="2494">
        <f t="shared" si="1"/>
        <v>0</v>
      </c>
      <c r="F72" s="2496">
        <f t="shared" si="0"/>
        <v>0</v>
      </c>
      <c r="G72" s="2496">
        <f t="shared" si="2"/>
        <v>0</v>
      </c>
    </row>
    <row r="73" spans="1:7" x14ac:dyDescent="0.25">
      <c r="A73" s="1651"/>
      <c r="B73" s="1665"/>
      <c r="C73" s="1652"/>
      <c r="D73" s="1841"/>
      <c r="E73" s="2494">
        <f t="shared" ref="E73:E84" si="3">IF(D73&lt;=25000,D73,IF(D73&gt;25000,25000,0))</f>
        <v>0</v>
      </c>
      <c r="F73" s="2496">
        <f t="shared" si="0"/>
        <v>0</v>
      </c>
      <c r="G73" s="2496">
        <f t="shared" ref="G73:G84" si="4">IF(F73=0,0,D73-F73)</f>
        <v>0</v>
      </c>
    </row>
    <row r="74" spans="1:7" x14ac:dyDescent="0.25">
      <c r="A74" s="1651"/>
      <c r="B74" s="1665"/>
      <c r="C74" s="1652"/>
      <c r="D74" s="1841"/>
      <c r="E74" s="2494">
        <f t="shared" si="3"/>
        <v>0</v>
      </c>
      <c r="F74" s="2496">
        <f t="shared" si="0"/>
        <v>0</v>
      </c>
      <c r="G74" s="2496">
        <f t="shared" si="4"/>
        <v>0</v>
      </c>
    </row>
    <row r="75" spans="1:7" x14ac:dyDescent="0.25">
      <c r="A75" s="1651"/>
      <c r="B75" s="1665"/>
      <c r="C75" s="1652"/>
      <c r="D75" s="1841"/>
      <c r="E75" s="2494">
        <f t="shared" si="3"/>
        <v>0</v>
      </c>
      <c r="F75" s="2496">
        <f t="shared" si="0"/>
        <v>0</v>
      </c>
      <c r="G75" s="2496">
        <f t="shared" si="4"/>
        <v>0</v>
      </c>
    </row>
    <row r="76" spans="1:7" x14ac:dyDescent="0.25">
      <c r="A76" s="1651"/>
      <c r="B76" s="1665"/>
      <c r="C76" s="1652"/>
      <c r="D76" s="1841"/>
      <c r="E76" s="2494">
        <f t="shared" si="3"/>
        <v>0</v>
      </c>
      <c r="F76" s="2496">
        <f t="shared" si="0"/>
        <v>0</v>
      </c>
      <c r="G76" s="2496">
        <f t="shared" si="4"/>
        <v>0</v>
      </c>
    </row>
    <row r="77" spans="1:7" x14ac:dyDescent="0.25">
      <c r="A77" s="1651"/>
      <c r="B77" s="1665"/>
      <c r="C77" s="1652"/>
      <c r="D77" s="1841"/>
      <c r="E77" s="2494">
        <f t="shared" si="3"/>
        <v>0</v>
      </c>
      <c r="F77" s="2496">
        <f t="shared" si="0"/>
        <v>0</v>
      </c>
      <c r="G77" s="2496">
        <f t="shared" si="4"/>
        <v>0</v>
      </c>
    </row>
    <row r="78" spans="1:7" x14ac:dyDescent="0.25">
      <c r="A78" s="1651"/>
      <c r="B78" s="1665"/>
      <c r="C78" s="1652"/>
      <c r="D78" s="1841"/>
      <c r="E78" s="2494">
        <f t="shared" si="3"/>
        <v>0</v>
      </c>
      <c r="F78" s="2496">
        <f t="shared" si="0"/>
        <v>0</v>
      </c>
      <c r="G78" s="2496">
        <f t="shared" si="4"/>
        <v>0</v>
      </c>
    </row>
    <row r="79" spans="1:7" x14ac:dyDescent="0.25">
      <c r="A79" s="1651"/>
      <c r="B79" s="1665"/>
      <c r="C79" s="1652"/>
      <c r="D79" s="1841"/>
      <c r="E79" s="2494">
        <f t="shared" si="3"/>
        <v>0</v>
      </c>
      <c r="F79" s="2496">
        <f t="shared" si="0"/>
        <v>0</v>
      </c>
      <c r="G79" s="2496">
        <f t="shared" si="4"/>
        <v>0</v>
      </c>
    </row>
    <row r="80" spans="1:7" x14ac:dyDescent="0.25">
      <c r="A80" s="1651"/>
      <c r="B80" s="1665"/>
      <c r="C80" s="1652"/>
      <c r="D80" s="1841"/>
      <c r="E80" s="2494">
        <f t="shared" si="3"/>
        <v>0</v>
      </c>
      <c r="F80" s="2496">
        <f t="shared" si="0"/>
        <v>0</v>
      </c>
      <c r="G80" s="2496">
        <f t="shared" si="4"/>
        <v>0</v>
      </c>
    </row>
    <row r="81" spans="1:7" x14ac:dyDescent="0.25">
      <c r="A81" s="1651"/>
      <c r="B81" s="1665"/>
      <c r="C81" s="1652"/>
      <c r="D81" s="1841"/>
      <c r="E81" s="2494">
        <f t="shared" si="3"/>
        <v>0</v>
      </c>
      <c r="F81" s="2496">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2496">
        <f t="shared" si="4"/>
        <v>0</v>
      </c>
    </row>
    <row r="82" spans="1:7" x14ac:dyDescent="0.25">
      <c r="A82" s="1651"/>
      <c r="B82" s="1665"/>
      <c r="C82" s="1652"/>
      <c r="D82" s="1841"/>
      <c r="E82" s="2494">
        <f t="shared" si="3"/>
        <v>0</v>
      </c>
      <c r="F82" s="2496">
        <f t="shared" si="5"/>
        <v>0</v>
      </c>
      <c r="G82" s="2496">
        <f t="shared" si="4"/>
        <v>0</v>
      </c>
    </row>
    <row r="83" spans="1:7" x14ac:dyDescent="0.25">
      <c r="A83" s="1651"/>
      <c r="B83" s="1665"/>
      <c r="C83" s="1652"/>
      <c r="D83" s="1841"/>
      <c r="E83" s="2494">
        <f t="shared" si="3"/>
        <v>0</v>
      </c>
      <c r="F83" s="2496">
        <f t="shared" si="5"/>
        <v>0</v>
      </c>
      <c r="G83" s="2496">
        <f t="shared" si="4"/>
        <v>0</v>
      </c>
    </row>
    <row r="84" spans="1:7" x14ac:dyDescent="0.25">
      <c r="A84" s="1651"/>
      <c r="B84" s="1665"/>
      <c r="C84" s="1652"/>
      <c r="D84" s="1841"/>
      <c r="E84" s="2494">
        <f t="shared" si="3"/>
        <v>0</v>
      </c>
      <c r="F84" s="2496">
        <f t="shared" si="5"/>
        <v>0</v>
      </c>
      <c r="G84" s="2496">
        <f t="shared" si="4"/>
        <v>0</v>
      </c>
    </row>
    <row r="85" spans="1:7" x14ac:dyDescent="0.25">
      <c r="A85" s="1651"/>
      <c r="B85" s="1665"/>
      <c r="C85" s="1652"/>
      <c r="D85" s="1841"/>
      <c r="E85" s="2494">
        <f t="shared" si="1"/>
        <v>0</v>
      </c>
      <c r="F85" s="2496">
        <f t="shared" si="5"/>
        <v>0</v>
      </c>
      <c r="G85" s="2496">
        <f t="shared" si="2"/>
        <v>0</v>
      </c>
    </row>
    <row r="86" spans="1:7" x14ac:dyDescent="0.25">
      <c r="A86" s="1651"/>
      <c r="B86" s="1665"/>
      <c r="C86" s="1652"/>
      <c r="D86" s="1841"/>
      <c r="E86" s="2494">
        <f t="shared" si="1"/>
        <v>0</v>
      </c>
      <c r="F86" s="2496">
        <f t="shared" si="5"/>
        <v>0</v>
      </c>
      <c r="G86" s="2496">
        <f t="shared" si="2"/>
        <v>0</v>
      </c>
    </row>
    <row r="87" spans="1:7" x14ac:dyDescent="0.25">
      <c r="A87" s="1651"/>
      <c r="B87" s="1665"/>
      <c r="C87" s="1652"/>
      <c r="D87" s="1841"/>
      <c r="E87" s="2494">
        <f t="shared" si="1"/>
        <v>0</v>
      </c>
      <c r="F87" s="2496">
        <f t="shared" si="5"/>
        <v>0</v>
      </c>
      <c r="G87" s="2496">
        <f t="shared" si="2"/>
        <v>0</v>
      </c>
    </row>
    <row r="88" spans="1:7" x14ac:dyDescent="0.25">
      <c r="A88" s="1651"/>
      <c r="B88" s="1665"/>
      <c r="C88" s="1652"/>
      <c r="D88" s="1841"/>
      <c r="E88" s="2494">
        <f t="shared" si="1"/>
        <v>0</v>
      </c>
      <c r="F88" s="2496">
        <f t="shared" si="5"/>
        <v>0</v>
      </c>
      <c r="G88" s="2496">
        <f t="shared" si="2"/>
        <v>0</v>
      </c>
    </row>
    <row r="89" spans="1:7" x14ac:dyDescent="0.25">
      <c r="A89" s="1651"/>
      <c r="B89" s="1665"/>
      <c r="C89" s="1652"/>
      <c r="D89" s="1841"/>
      <c r="E89" s="2494">
        <f t="shared" si="1"/>
        <v>0</v>
      </c>
      <c r="F89" s="2496">
        <f t="shared" si="5"/>
        <v>0</v>
      </c>
      <c r="G89" s="2496">
        <f t="shared" si="2"/>
        <v>0</v>
      </c>
    </row>
    <row r="90" spans="1:7" x14ac:dyDescent="0.25">
      <c r="A90" s="1651"/>
      <c r="B90" s="1665"/>
      <c r="C90" s="1652"/>
      <c r="D90" s="1841"/>
      <c r="E90" s="2494">
        <f t="shared" si="1"/>
        <v>0</v>
      </c>
      <c r="F90" s="2496">
        <f t="shared" si="5"/>
        <v>0</v>
      </c>
      <c r="G90" s="2496">
        <f t="shared" si="2"/>
        <v>0</v>
      </c>
    </row>
    <row r="91" spans="1:7" x14ac:dyDescent="0.25">
      <c r="A91" s="1651"/>
      <c r="B91" s="1665"/>
      <c r="C91" s="1652"/>
      <c r="D91" s="1841"/>
      <c r="E91" s="2494">
        <f t="shared" si="1"/>
        <v>0</v>
      </c>
      <c r="F91" s="2496">
        <f t="shared" si="5"/>
        <v>0</v>
      </c>
      <c r="G91" s="2496">
        <f t="shared" si="2"/>
        <v>0</v>
      </c>
    </row>
    <row r="92" spans="1:7" x14ac:dyDescent="0.25">
      <c r="A92" s="1651"/>
      <c r="B92" s="1665"/>
      <c r="C92" s="1652"/>
      <c r="D92" s="1841"/>
      <c r="E92" s="2494">
        <f t="shared" si="1"/>
        <v>0</v>
      </c>
      <c r="F92" s="2496">
        <f t="shared" si="5"/>
        <v>0</v>
      </c>
      <c r="G92" s="2496">
        <f t="shared" si="2"/>
        <v>0</v>
      </c>
    </row>
    <row r="93" spans="1:7" x14ac:dyDescent="0.25">
      <c r="A93" s="1651"/>
      <c r="B93" s="1665"/>
      <c r="C93" s="1652"/>
      <c r="D93" s="1841"/>
      <c r="E93" s="2494">
        <f>IF(D93&lt;=25000,D93,IF(D93&gt;25000,25000,0))</f>
        <v>0</v>
      </c>
      <c r="F93" s="2496">
        <f t="shared" si="5"/>
        <v>0</v>
      </c>
      <c r="G93" s="2496">
        <f>IF(F93=0,0,D93-F93)</f>
        <v>0</v>
      </c>
    </row>
    <row r="94" spans="1:7" x14ac:dyDescent="0.25">
      <c r="A94" s="1651"/>
      <c r="B94" s="1665"/>
      <c r="C94" s="1652"/>
      <c r="D94" s="1841"/>
      <c r="E94" s="2494">
        <f t="shared" si="1"/>
        <v>0</v>
      </c>
      <c r="F94" s="2496">
        <f t="shared" si="5"/>
        <v>0</v>
      </c>
      <c r="G94" s="2496">
        <f t="shared" si="2"/>
        <v>0</v>
      </c>
    </row>
    <row r="95" spans="1:7" x14ac:dyDescent="0.25">
      <c r="A95" s="1651"/>
      <c r="B95" s="1665"/>
      <c r="C95" s="1652"/>
      <c r="D95" s="1841"/>
      <c r="E95" s="2494">
        <f>IF(D95&lt;=25000,D95,IF(D95&gt;25000,25000,0))</f>
        <v>0</v>
      </c>
      <c r="F95" s="2496">
        <f t="shared" si="5"/>
        <v>0</v>
      </c>
      <c r="G95" s="2496">
        <f>IF(F95=0,0,D95-F95)</f>
        <v>0</v>
      </c>
    </row>
    <row r="96" spans="1:7" x14ac:dyDescent="0.25">
      <c r="A96" s="1651"/>
      <c r="B96" s="1665"/>
      <c r="C96" s="1652"/>
      <c r="D96" s="1841"/>
      <c r="E96" s="2494">
        <f>IF(D96&lt;=25000,D96,IF(D96&gt;25000,25000,0))</f>
        <v>0</v>
      </c>
      <c r="F96" s="2496">
        <f t="shared" si="5"/>
        <v>0</v>
      </c>
      <c r="G96" s="2496">
        <f>IF(F96=0,0,D96-F96)</f>
        <v>0</v>
      </c>
    </row>
    <row r="97" spans="1:7" x14ac:dyDescent="0.25">
      <c r="A97" s="1651"/>
      <c r="B97" s="1665"/>
      <c r="C97" s="1652"/>
      <c r="D97" s="1841"/>
      <c r="E97" s="2494">
        <f>IF(D97&lt;=25000,D97,IF(D97&gt;25000,25000,0))</f>
        <v>0</v>
      </c>
      <c r="F97" s="2496">
        <f t="shared" si="5"/>
        <v>0</v>
      </c>
      <c r="G97" s="2496">
        <f>IF(F97=0,0,D97-F97)</f>
        <v>0</v>
      </c>
    </row>
    <row r="98" spans="1:7" x14ac:dyDescent="0.25">
      <c r="A98" s="1651"/>
      <c r="B98" s="1665"/>
      <c r="C98" s="1652"/>
      <c r="D98" s="1841"/>
      <c r="E98" s="2494">
        <f>IF(D98&lt;=25000,D98,IF(D98&gt;25000,25000,0))</f>
        <v>0</v>
      </c>
      <c r="F98" s="2496">
        <f t="shared" si="5"/>
        <v>0</v>
      </c>
      <c r="G98" s="2496">
        <f>IF(F98=0,0,D98-F98)</f>
        <v>0</v>
      </c>
    </row>
    <row r="99" spans="1:7" x14ac:dyDescent="0.25">
      <c r="A99" s="1651"/>
      <c r="B99" s="1665"/>
      <c r="C99" s="1652"/>
      <c r="D99" s="1841"/>
      <c r="E99" s="2494">
        <f>IF(D99&lt;=25000,D99,IF(D99&gt;25000,25000,0))</f>
        <v>0</v>
      </c>
      <c r="F99" s="2496">
        <f t="shared" si="5"/>
        <v>0</v>
      </c>
      <c r="G99" s="2496">
        <f>IF(F99=0,0,D99-F99)</f>
        <v>0</v>
      </c>
    </row>
    <row r="100" spans="1:7" x14ac:dyDescent="0.25">
      <c r="A100" s="1651"/>
      <c r="B100" s="1665"/>
      <c r="C100" s="1652"/>
      <c r="D100" s="1841"/>
      <c r="E100" s="2494">
        <f t="shared" ref="E100:E112" si="6">IF(D100&lt;=25000,D100,IF(D100&gt;25000,25000,0))</f>
        <v>0</v>
      </c>
      <c r="F100" s="2496">
        <f t="shared" si="5"/>
        <v>0</v>
      </c>
      <c r="G100" s="2496">
        <f t="shared" ref="G100:G112" si="7">IF(F100=0,0,D100-F100)</f>
        <v>0</v>
      </c>
    </row>
    <row r="101" spans="1:7" x14ac:dyDescent="0.25">
      <c r="A101" s="1651"/>
      <c r="B101" s="1665"/>
      <c r="C101" s="1652"/>
      <c r="D101" s="1841"/>
      <c r="E101" s="2494">
        <f t="shared" si="6"/>
        <v>0</v>
      </c>
      <c r="F101" s="2496">
        <f t="shared" si="5"/>
        <v>0</v>
      </c>
      <c r="G101" s="2496">
        <f t="shared" si="7"/>
        <v>0</v>
      </c>
    </row>
    <row r="102" spans="1:7" x14ac:dyDescent="0.25">
      <c r="A102" s="1651"/>
      <c r="B102" s="1665"/>
      <c r="C102" s="1652"/>
      <c r="D102" s="1841"/>
      <c r="E102" s="2494">
        <f t="shared" si="6"/>
        <v>0</v>
      </c>
      <c r="F102" s="2496">
        <f t="shared" si="5"/>
        <v>0</v>
      </c>
      <c r="G102" s="2496">
        <f t="shared" si="7"/>
        <v>0</v>
      </c>
    </row>
    <row r="103" spans="1:7" x14ac:dyDescent="0.25">
      <c r="A103" s="1651"/>
      <c r="B103" s="1665"/>
      <c r="C103" s="1652"/>
      <c r="D103" s="1841"/>
      <c r="E103" s="2494">
        <f t="shared" si="6"/>
        <v>0</v>
      </c>
      <c r="F103" s="2496">
        <f t="shared" si="5"/>
        <v>0</v>
      </c>
      <c r="G103" s="2496">
        <f t="shared" si="7"/>
        <v>0</v>
      </c>
    </row>
    <row r="104" spans="1:7" x14ac:dyDescent="0.25">
      <c r="A104" s="1651"/>
      <c r="B104" s="1665"/>
      <c r="C104" s="1652"/>
      <c r="D104" s="1841"/>
      <c r="E104" s="2494">
        <f t="shared" si="6"/>
        <v>0</v>
      </c>
      <c r="F104" s="2496">
        <f t="shared" si="5"/>
        <v>0</v>
      </c>
      <c r="G104" s="2496">
        <f t="shared" si="7"/>
        <v>0</v>
      </c>
    </row>
    <row r="105" spans="1:7" x14ac:dyDescent="0.25">
      <c r="A105" s="1651"/>
      <c r="B105" s="1665"/>
      <c r="C105" s="1652"/>
      <c r="D105" s="1841"/>
      <c r="E105" s="2494">
        <f t="shared" si="6"/>
        <v>0</v>
      </c>
      <c r="F105" s="2496">
        <f t="shared" si="5"/>
        <v>0</v>
      </c>
      <c r="G105" s="2496">
        <f t="shared" si="7"/>
        <v>0</v>
      </c>
    </row>
    <row r="106" spans="1:7" x14ac:dyDescent="0.25">
      <c r="A106" s="1651"/>
      <c r="B106" s="1665"/>
      <c r="C106" s="1652"/>
      <c r="D106" s="1841"/>
      <c r="E106" s="2494">
        <f t="shared" si="6"/>
        <v>0</v>
      </c>
      <c r="F106" s="2496">
        <f t="shared" si="5"/>
        <v>0</v>
      </c>
      <c r="G106" s="2496">
        <f t="shared" si="7"/>
        <v>0</v>
      </c>
    </row>
    <row r="107" spans="1:7" x14ac:dyDescent="0.25">
      <c r="A107" s="1651"/>
      <c r="B107" s="1665"/>
      <c r="C107" s="1652"/>
      <c r="D107" s="1841"/>
      <c r="E107" s="2494">
        <f t="shared" si="6"/>
        <v>0</v>
      </c>
      <c r="F107" s="2496">
        <f t="shared" si="5"/>
        <v>0</v>
      </c>
      <c r="G107" s="2496">
        <f t="shared" si="7"/>
        <v>0</v>
      </c>
    </row>
    <row r="108" spans="1:7" x14ac:dyDescent="0.25">
      <c r="A108" s="1651"/>
      <c r="B108" s="1665"/>
      <c r="C108" s="1652"/>
      <c r="D108" s="1841"/>
      <c r="E108" s="2494">
        <f t="shared" si="6"/>
        <v>0</v>
      </c>
      <c r="F108" s="2496">
        <f t="shared" si="5"/>
        <v>0</v>
      </c>
      <c r="G108" s="2496">
        <f t="shared" si="7"/>
        <v>0</v>
      </c>
    </row>
    <row r="109" spans="1:7" x14ac:dyDescent="0.25">
      <c r="A109" s="1651"/>
      <c r="B109" s="1665"/>
      <c r="C109" s="1652"/>
      <c r="D109" s="1841"/>
      <c r="E109" s="2494">
        <f t="shared" si="6"/>
        <v>0</v>
      </c>
      <c r="F109" s="2496">
        <f t="shared" si="5"/>
        <v>0</v>
      </c>
      <c r="G109" s="2496">
        <f t="shared" si="7"/>
        <v>0</v>
      </c>
    </row>
    <row r="110" spans="1:7" x14ac:dyDescent="0.25">
      <c r="A110" s="1651"/>
      <c r="B110" s="1665"/>
      <c r="C110" s="1652"/>
      <c r="D110" s="1841"/>
      <c r="E110" s="2494">
        <f t="shared" si="6"/>
        <v>0</v>
      </c>
      <c r="F110" s="2496">
        <f t="shared" si="5"/>
        <v>0</v>
      </c>
      <c r="G110" s="2496">
        <f t="shared" si="7"/>
        <v>0</v>
      </c>
    </row>
    <row r="111" spans="1:7" x14ac:dyDescent="0.25">
      <c r="A111" s="1651"/>
      <c r="B111" s="1665"/>
      <c r="C111" s="1652"/>
      <c r="D111" s="1841"/>
      <c r="E111" s="2494">
        <f t="shared" si="6"/>
        <v>0</v>
      </c>
      <c r="F111" s="2496">
        <f t="shared" si="5"/>
        <v>0</v>
      </c>
      <c r="G111" s="2496">
        <f t="shared" si="7"/>
        <v>0</v>
      </c>
    </row>
    <row r="112" spans="1:7" x14ac:dyDescent="0.25">
      <c r="A112" s="1651"/>
      <c r="B112" s="1665"/>
      <c r="C112" s="1652"/>
      <c r="D112" s="1841"/>
      <c r="E112" s="2494">
        <f t="shared" si="6"/>
        <v>0</v>
      </c>
      <c r="F112" s="2496">
        <f t="shared" si="5"/>
        <v>0</v>
      </c>
      <c r="G112" s="2496">
        <f t="shared" si="7"/>
        <v>0</v>
      </c>
    </row>
    <row r="113" spans="1:7" x14ac:dyDescent="0.25">
      <c r="A113" s="1651"/>
      <c r="B113" s="1665"/>
      <c r="C113" s="1652"/>
      <c r="D113" s="1841"/>
      <c r="E113" s="2494">
        <f t="shared" ref="E113:E125" si="8">IF(D113&lt;=25000,D113,IF(D113&gt;25000,25000,0))</f>
        <v>0</v>
      </c>
      <c r="F113" s="2496">
        <f t="shared" si="5"/>
        <v>0</v>
      </c>
      <c r="G113" s="2496">
        <f t="shared" ref="G113:G125" si="9">IF(F113=0,0,D113-F113)</f>
        <v>0</v>
      </c>
    </row>
    <row r="114" spans="1:7" x14ac:dyDescent="0.25">
      <c r="A114" s="1651"/>
      <c r="B114" s="1665"/>
      <c r="C114" s="1652"/>
      <c r="D114" s="1841"/>
      <c r="E114" s="2494">
        <f t="shared" si="8"/>
        <v>0</v>
      </c>
      <c r="F114" s="2496">
        <f t="shared" si="5"/>
        <v>0</v>
      </c>
      <c r="G114" s="2496">
        <f t="shared" si="9"/>
        <v>0</v>
      </c>
    </row>
    <row r="115" spans="1:7" x14ac:dyDescent="0.25">
      <c r="A115" s="1651"/>
      <c r="B115" s="1665"/>
      <c r="C115" s="1652"/>
      <c r="D115" s="1841"/>
      <c r="E115" s="2494">
        <f t="shared" si="8"/>
        <v>0</v>
      </c>
      <c r="F115" s="2496">
        <f t="shared" si="5"/>
        <v>0</v>
      </c>
      <c r="G115" s="2496">
        <f t="shared" si="9"/>
        <v>0</v>
      </c>
    </row>
    <row r="116" spans="1:7" x14ac:dyDescent="0.25">
      <c r="A116" s="1651"/>
      <c r="B116" s="1665"/>
      <c r="C116" s="1652"/>
      <c r="D116" s="1841"/>
      <c r="E116" s="2494">
        <f t="shared" si="8"/>
        <v>0</v>
      </c>
      <c r="F116" s="2496">
        <f t="shared" si="5"/>
        <v>0</v>
      </c>
      <c r="G116" s="2496">
        <f t="shared" si="9"/>
        <v>0</v>
      </c>
    </row>
    <row r="117" spans="1:7" x14ac:dyDescent="0.25">
      <c r="A117" s="1651"/>
      <c r="B117" s="1665"/>
      <c r="C117" s="1652"/>
      <c r="D117" s="1841"/>
      <c r="E117" s="2494">
        <f t="shared" si="8"/>
        <v>0</v>
      </c>
      <c r="F117" s="2496">
        <f t="shared" si="5"/>
        <v>0</v>
      </c>
      <c r="G117" s="2496">
        <f t="shared" si="9"/>
        <v>0</v>
      </c>
    </row>
    <row r="118" spans="1:7" x14ac:dyDescent="0.25">
      <c r="A118" s="1651"/>
      <c r="B118" s="1665"/>
      <c r="C118" s="1652"/>
      <c r="D118" s="1841"/>
      <c r="E118" s="2494">
        <f t="shared" si="8"/>
        <v>0</v>
      </c>
      <c r="F118" s="2496">
        <f t="shared" si="5"/>
        <v>0</v>
      </c>
      <c r="G118" s="2496">
        <f t="shared" si="9"/>
        <v>0</v>
      </c>
    </row>
    <row r="119" spans="1:7" x14ac:dyDescent="0.25">
      <c r="A119" s="1651"/>
      <c r="B119" s="1665"/>
      <c r="C119" s="1652"/>
      <c r="D119" s="1841"/>
      <c r="E119" s="2494">
        <f t="shared" si="8"/>
        <v>0</v>
      </c>
      <c r="F119" s="2496">
        <f t="shared" si="5"/>
        <v>0</v>
      </c>
      <c r="G119" s="2496">
        <f t="shared" si="9"/>
        <v>0</v>
      </c>
    </row>
    <row r="120" spans="1:7" x14ac:dyDescent="0.25">
      <c r="A120" s="1651"/>
      <c r="B120" s="1665"/>
      <c r="C120" s="1652"/>
      <c r="D120" s="1841"/>
      <c r="E120" s="2494">
        <f t="shared" si="8"/>
        <v>0</v>
      </c>
      <c r="F120" s="2496">
        <f t="shared" si="5"/>
        <v>0</v>
      </c>
      <c r="G120" s="2496">
        <f t="shared" si="9"/>
        <v>0</v>
      </c>
    </row>
    <row r="121" spans="1:7" x14ac:dyDescent="0.25">
      <c r="A121" s="1651"/>
      <c r="B121" s="1665"/>
      <c r="C121" s="1652"/>
      <c r="D121" s="1841"/>
      <c r="E121" s="2494">
        <f t="shared" si="8"/>
        <v>0</v>
      </c>
      <c r="F121" s="2496">
        <f t="shared" si="5"/>
        <v>0</v>
      </c>
      <c r="G121" s="2496">
        <f t="shared" si="9"/>
        <v>0</v>
      </c>
    </row>
    <row r="122" spans="1:7" x14ac:dyDescent="0.25">
      <c r="A122" s="1651"/>
      <c r="B122" s="1665"/>
      <c r="C122" s="1652"/>
      <c r="D122" s="1841"/>
      <c r="E122" s="2494">
        <f t="shared" si="8"/>
        <v>0</v>
      </c>
      <c r="F122" s="2496">
        <f t="shared" si="5"/>
        <v>0</v>
      </c>
      <c r="G122" s="2496">
        <f t="shared" si="9"/>
        <v>0</v>
      </c>
    </row>
    <row r="123" spans="1:7" x14ac:dyDescent="0.25">
      <c r="A123" s="1651"/>
      <c r="B123" s="1665"/>
      <c r="C123" s="1652"/>
      <c r="D123" s="1841"/>
      <c r="E123" s="2494">
        <f t="shared" si="8"/>
        <v>0</v>
      </c>
      <c r="F123" s="2496">
        <f t="shared" si="5"/>
        <v>0</v>
      </c>
      <c r="G123" s="2496">
        <f t="shared" si="9"/>
        <v>0</v>
      </c>
    </row>
    <row r="124" spans="1:7" x14ac:dyDescent="0.25">
      <c r="A124" s="1651"/>
      <c r="B124" s="1665"/>
      <c r="C124" s="1652"/>
      <c r="D124" s="1841"/>
      <c r="E124" s="2494">
        <f t="shared" si="8"/>
        <v>0</v>
      </c>
      <c r="F124" s="2496">
        <f t="shared" si="5"/>
        <v>0</v>
      </c>
      <c r="G124" s="2496">
        <f t="shared" si="9"/>
        <v>0</v>
      </c>
    </row>
    <row r="125" spans="1:7" x14ac:dyDescent="0.25">
      <c r="A125" s="1651"/>
      <c r="B125" s="1665"/>
      <c r="C125" s="1652"/>
      <c r="D125" s="1841"/>
      <c r="E125" s="2494">
        <f t="shared" si="8"/>
        <v>0</v>
      </c>
      <c r="F125" s="2496">
        <f t="shared" si="5"/>
        <v>0</v>
      </c>
      <c r="G125" s="2496">
        <f t="shared" si="9"/>
        <v>0</v>
      </c>
    </row>
    <row r="126" spans="1:7" x14ac:dyDescent="0.25">
      <c r="A126" s="1651"/>
      <c r="B126" s="1665"/>
      <c r="C126" s="1652"/>
      <c r="D126" s="1841"/>
      <c r="E126" s="2494">
        <f t="shared" ref="E126:E134" si="10">IF(D126&lt;=25000,D126,IF(D126&gt;25000,25000,0))</f>
        <v>0</v>
      </c>
      <c r="F126" s="2496">
        <f t="shared" si="5"/>
        <v>0</v>
      </c>
      <c r="G126" s="2496">
        <f t="shared" ref="G126:G134" si="11">IF(F126=0,0,D126-F126)</f>
        <v>0</v>
      </c>
    </row>
    <row r="127" spans="1:7" x14ac:dyDescent="0.25">
      <c r="A127" s="1651"/>
      <c r="B127" s="1665"/>
      <c r="C127" s="1652"/>
      <c r="D127" s="1841"/>
      <c r="E127" s="2494">
        <f t="shared" si="10"/>
        <v>0</v>
      </c>
      <c r="F127" s="2496">
        <f t="shared" si="5"/>
        <v>0</v>
      </c>
      <c r="G127" s="2496">
        <f t="shared" si="11"/>
        <v>0</v>
      </c>
    </row>
    <row r="128" spans="1:7" x14ac:dyDescent="0.25">
      <c r="A128" s="1651"/>
      <c r="B128" s="1665"/>
      <c r="C128" s="1652"/>
      <c r="D128" s="1841"/>
      <c r="E128" s="2494">
        <f t="shared" si="10"/>
        <v>0</v>
      </c>
      <c r="F128" s="2496">
        <f t="shared" si="5"/>
        <v>0</v>
      </c>
      <c r="G128" s="2496">
        <f t="shared" si="11"/>
        <v>0</v>
      </c>
    </row>
    <row r="129" spans="1:7" x14ac:dyDescent="0.25">
      <c r="A129" s="1651"/>
      <c r="B129" s="1665"/>
      <c r="C129" s="1652"/>
      <c r="D129" s="1841"/>
      <c r="E129" s="2494">
        <f t="shared" si="10"/>
        <v>0</v>
      </c>
      <c r="F129" s="2496">
        <f t="shared" si="5"/>
        <v>0</v>
      </c>
      <c r="G129" s="2496">
        <f t="shared" si="11"/>
        <v>0</v>
      </c>
    </row>
    <row r="130" spans="1:7" x14ac:dyDescent="0.25">
      <c r="A130" s="1651"/>
      <c r="B130" s="1665"/>
      <c r="C130" s="1652"/>
      <c r="D130" s="1841"/>
      <c r="E130" s="2494">
        <f t="shared" si="10"/>
        <v>0</v>
      </c>
      <c r="F130" s="2496">
        <f t="shared" si="5"/>
        <v>0</v>
      </c>
      <c r="G130" s="2496">
        <f t="shared" si="11"/>
        <v>0</v>
      </c>
    </row>
    <row r="131" spans="1:7" x14ac:dyDescent="0.25">
      <c r="A131" s="1651"/>
      <c r="B131" s="1834"/>
      <c r="C131" s="1652"/>
      <c r="D131" s="1841"/>
      <c r="E131" s="2494">
        <f t="shared" si="10"/>
        <v>0</v>
      </c>
      <c r="F131" s="2496">
        <f t="shared" si="5"/>
        <v>0</v>
      </c>
      <c r="G131" s="2496">
        <f t="shared" si="11"/>
        <v>0</v>
      </c>
    </row>
    <row r="132" spans="1:7" x14ac:dyDescent="0.25">
      <c r="A132" s="1651"/>
      <c r="B132" s="1834"/>
      <c r="C132" s="1652"/>
      <c r="D132" s="1841"/>
      <c r="E132" s="2494">
        <f t="shared" si="10"/>
        <v>0</v>
      </c>
      <c r="F132" s="2496">
        <f t="shared" si="5"/>
        <v>0</v>
      </c>
      <c r="G132" s="2496">
        <f t="shared" si="11"/>
        <v>0</v>
      </c>
    </row>
    <row r="133" spans="1:7" x14ac:dyDescent="0.25">
      <c r="A133" s="1651"/>
      <c r="B133" s="1665"/>
      <c r="C133" s="1652"/>
      <c r="D133" s="1841"/>
      <c r="E133" s="2494">
        <f t="shared" si="10"/>
        <v>0</v>
      </c>
      <c r="F133" s="2496">
        <f t="shared" si="5"/>
        <v>0</v>
      </c>
      <c r="G133" s="2496">
        <f t="shared" si="11"/>
        <v>0</v>
      </c>
    </row>
    <row r="134" spans="1:7" x14ac:dyDescent="0.25">
      <c r="A134" s="1651"/>
      <c r="B134" s="1665"/>
      <c r="C134" s="1652"/>
      <c r="D134" s="1841"/>
      <c r="E134" s="2494">
        <f t="shared" si="10"/>
        <v>0</v>
      </c>
      <c r="F134" s="2496">
        <f t="shared" si="5"/>
        <v>0</v>
      </c>
      <c r="G134" s="2496">
        <f t="shared" si="11"/>
        <v>0</v>
      </c>
    </row>
    <row r="135" spans="1:7" x14ac:dyDescent="0.25">
      <c r="A135" s="1651"/>
      <c r="B135" s="1665"/>
      <c r="C135" s="1652"/>
      <c r="D135" s="1841"/>
      <c r="E135" s="2494">
        <f>IF(D135&lt;=25000,D135,IF(D135&gt;25000,25000,0))</f>
        <v>0</v>
      </c>
      <c r="F135" s="2496">
        <f t="shared" si="5"/>
        <v>0</v>
      </c>
      <c r="G135" s="2496">
        <f>IF(F135=0,0,D135-F135)</f>
        <v>0</v>
      </c>
    </row>
    <row r="136" spans="1:7" x14ac:dyDescent="0.25">
      <c r="A136" s="1651"/>
      <c r="B136" s="1665"/>
      <c r="C136" s="1652"/>
      <c r="D136" s="1841"/>
      <c r="E136" s="2494">
        <f>IF(D136&lt;=25000,D136,IF(D136&gt;25000,25000,0))</f>
        <v>0</v>
      </c>
      <c r="F136" s="2496">
        <f t="shared" si="5"/>
        <v>0</v>
      </c>
      <c r="G136" s="2496">
        <f>IF(F136=0,0,D136-F136)</f>
        <v>0</v>
      </c>
    </row>
    <row r="137" spans="1:7" x14ac:dyDescent="0.25">
      <c r="A137" s="1651"/>
      <c r="B137" s="1665"/>
      <c r="C137" s="1652"/>
      <c r="D137" s="1841"/>
      <c r="E137" s="2494">
        <f>IF(D137&lt;=25000,D137,IF(D137&gt;25000,25000,0))</f>
        <v>0</v>
      </c>
      <c r="F137" s="2496">
        <f t="shared" si="5"/>
        <v>0</v>
      </c>
      <c r="G137" s="2496">
        <f>IF(F137=0,0,D137-F137)</f>
        <v>0</v>
      </c>
    </row>
    <row r="138" spans="1:7" x14ac:dyDescent="0.25">
      <c r="A138" s="1651"/>
      <c r="B138" s="1665"/>
      <c r="C138" s="1652"/>
      <c r="D138" s="1841"/>
      <c r="E138" s="2494">
        <f>IF(D138&lt;=25000,D138,IF(D138&gt;25000,25000,0))</f>
        <v>0</v>
      </c>
      <c r="F138" s="2496">
        <f t="shared" si="5"/>
        <v>0</v>
      </c>
      <c r="G138" s="2496">
        <f>IF(F138=0,0,D138-F138)</f>
        <v>0</v>
      </c>
    </row>
    <row r="139" spans="1:7" x14ac:dyDescent="0.25">
      <c r="A139" s="1651"/>
      <c r="B139" s="1665"/>
      <c r="C139" s="1652"/>
      <c r="D139" s="1841"/>
      <c r="E139" s="2494">
        <f>IF(D139&lt;=25000,D139,IF(D139&gt;25000,25000,0))</f>
        <v>0</v>
      </c>
      <c r="F139" s="2496">
        <f t="shared" si="5"/>
        <v>0</v>
      </c>
      <c r="G139" s="2496">
        <f>IF(F139=0,0,D139-F139)</f>
        <v>0</v>
      </c>
    </row>
    <row r="140" spans="1:7" x14ac:dyDescent="0.25">
      <c r="A140" s="1651"/>
      <c r="B140" s="1664"/>
      <c r="C140" s="1652"/>
      <c r="D140" s="1841"/>
      <c r="E140" s="2494">
        <f t="shared" si="1"/>
        <v>0</v>
      </c>
      <c r="F140" s="2496">
        <f t="shared" si="5"/>
        <v>0</v>
      </c>
      <c r="G140" s="2496">
        <f t="shared" si="2"/>
        <v>0</v>
      </c>
    </row>
    <row r="141" spans="1:7" x14ac:dyDescent="0.25">
      <c r="A141" s="1793" t="s">
        <v>156</v>
      </c>
      <c r="B141" s="1794"/>
      <c r="C141" s="1795"/>
      <c r="D141" s="1791">
        <f>SUM(D17:D140)</f>
        <v>2064092.6</v>
      </c>
      <c r="E141" s="1540">
        <f>IF(D141&lt;=25000,D141,IF(D141&gt;25000,25000,0))</f>
        <v>25000</v>
      </c>
      <c r="F141" s="1929">
        <f>SUM(F17:F140)</f>
        <v>48269.599999999999</v>
      </c>
      <c r="G141" s="1792">
        <f>SUM(G17:G140)</f>
        <v>2015823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3" colorId="8" zoomScale="110" zoomScaleNormal="110" workbookViewId="0">
      <selection activeCell="E12" sqref="E12"/>
    </sheetView>
  </sheetViews>
  <sheetFormatPr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2" t="s">
        <v>1679</v>
      </c>
      <c r="B5" s="2293"/>
      <c r="C5" s="2293"/>
      <c r="D5" s="2293"/>
      <c r="E5" s="2293"/>
      <c r="F5" s="2293"/>
      <c r="G5" s="2294"/>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293507</v>
      </c>
      <c r="F10" s="974"/>
      <c r="G10" s="975"/>
      <c r="H10" s="162"/>
      <c r="I10" s="162"/>
    </row>
    <row r="11" spans="1:9" s="668" customFormat="1" ht="22.5" customHeight="1" x14ac:dyDescent="0.2">
      <c r="A11" s="2297" t="s">
        <v>1972</v>
      </c>
      <c r="B11" s="2298"/>
      <c r="C11" s="2298"/>
      <c r="D11" s="2299"/>
      <c r="E11" s="977">
        <v>53071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15687210</v>
      </c>
      <c r="F19" s="1796"/>
      <c r="G19" s="1798">
        <f>'Expenditures 15-22'!K33-SUM('Expenditures 15-22'!G33,'Expenditures 15-22'!I33)+'Expenditures 15-22'!D229</f>
        <v>15687210</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1441989</v>
      </c>
      <c r="F21" s="1799"/>
      <c r="G21" s="1802">
        <f>'Expenditures 15-22'!K42-SUM('Expenditures 15-22'!G42,'Expenditures 15-22'!I42)+'Expenditures 15-22'!K120-SUM('Expenditures 15-22'!G120,'Expenditures 15-22'!I120)+'Expenditures 15-22'!K180-SUM('Expenditures 15-22'!G180,'Expenditures 15-22'!I180)+'Expenditures 15-22'!D238</f>
        <v>1441989</v>
      </c>
      <c r="H21" s="987"/>
      <c r="I21" s="162"/>
    </row>
    <row r="22" spans="1:9" s="668" customFormat="1" ht="12" customHeight="1" x14ac:dyDescent="0.2">
      <c r="A22" s="994" t="s">
        <v>564</v>
      </c>
      <c r="B22" s="995"/>
      <c r="C22" s="993">
        <v>2200</v>
      </c>
      <c r="D22" s="1799"/>
      <c r="E22" s="1801">
        <f>'Expenditures 15-22'!K47-SUM('Expenditures 15-22'!G47,'Expenditures 15-22'!I47)+'Expenditures 15-22'!D243</f>
        <v>1457347</v>
      </c>
      <c r="F22" s="1799"/>
      <c r="G22" s="1802">
        <f>'Expenditures 15-22'!K47-SUM('Expenditures 15-22'!G47,'Expenditures 15-22'!I47)+'Expenditures 15-22'!D243</f>
        <v>1457347</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906102</v>
      </c>
      <c r="F23" s="1799"/>
      <c r="G23" s="1801">
        <f>'Expenditures 15-22'!K53-SUM('Expenditures 15-22'!G53,'Expenditures 15-22'!I53)+'Expenditures 15-22'!D257+'Expenditures 15-22'!K330-SUM('Expenditures 15-22'!G330,'Expenditures 15-22'!I330)</f>
        <v>906102</v>
      </c>
      <c r="H23" s="987"/>
      <c r="I23" s="162"/>
    </row>
    <row r="24" spans="1:9" s="668" customFormat="1" ht="12" customHeight="1" x14ac:dyDescent="0.2">
      <c r="A24" s="994" t="s">
        <v>566</v>
      </c>
      <c r="B24" s="995"/>
      <c r="C24" s="993">
        <v>2400</v>
      </c>
      <c r="D24" s="1799"/>
      <c r="E24" s="1801">
        <f>'Expenditures 15-22'!K57-SUM('Expenditures 15-22'!G57,'Expenditures 15-22'!I57)+'Expenditures 15-22'!D261</f>
        <v>1196894</v>
      </c>
      <c r="F24" s="1799"/>
      <c r="G24" s="1802">
        <f>'Expenditures 15-22'!K57-SUM('Expenditures 15-22'!G57,'Expenditures 15-22'!I57)+'Expenditures 15-22'!D261</f>
        <v>1196894</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105081</v>
      </c>
      <c r="E26" s="1801">
        <f>'Expenditures 15-22'!K122-SUM('Expenditures 15-22'!G122,'Expenditures 15-22'!I122)+E7</f>
        <v>0</v>
      </c>
      <c r="F26" s="1801">
        <f>'Expenditures 15-22'!K59-SUM('Expenditures 15-22'!G59,'Expenditures 15-22'!I59)+'Expenditures 15-22'!D263-E7</f>
        <v>105081</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180031</v>
      </c>
      <c r="E27" s="1801">
        <f>E8</f>
        <v>0</v>
      </c>
      <c r="F27" s="1801">
        <f>'Expenditures 15-22'!K60-SUM('Expenditures 15-22'!G60,'Expenditures 15-22'!I60)+'Expenditures 15-22'!D264-E8</f>
        <v>180031</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2839848</v>
      </c>
      <c r="F28" s="1803">
        <f>'Expenditures 15-22'!K61-SUM('Expenditures 15-22'!G61,'Expenditures 15-22'!I61)+'Expenditures 15-22'!K124-SUM('Expenditures 15-22'!G124,'Expenditures 15-22'!I124)+'Expenditures 15-22'!D266-E9</f>
        <v>2839848</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2090987</v>
      </c>
      <c r="F29" s="1799"/>
      <c r="G29" s="1802">
        <f>'Expenditures 15-22'!K62-SUM('Expenditures 15-22'!G62,'Expenditures 15-22'!I62)+'Expenditures 15-22'!K125-SUM('Expenditures 15-22'!G125,'Expenditures 15-22'!I125)+'Expenditures 15-22'!K182-SUM('Expenditures 15-22'!G182,'Expenditures 15-22'!I182)+'Expenditures 15-22'!D267</f>
        <v>2090987</v>
      </c>
      <c r="H29" s="985"/>
    </row>
    <row r="30" spans="1:9" ht="12" customHeight="1" x14ac:dyDescent="0.2">
      <c r="A30" s="994" t="s">
        <v>100</v>
      </c>
      <c r="B30" s="997"/>
      <c r="C30" s="993">
        <v>2560</v>
      </c>
      <c r="D30" s="1799"/>
      <c r="E30" s="1801">
        <f>'Expenditures 15-22'!K63-SUM('Expenditures 15-22'!G63,'Expenditures 15-22'!I63)+'Expenditures 15-22'!D268-E10</f>
        <v>540015</v>
      </c>
      <c r="F30" s="1799"/>
      <c r="G30" s="1801">
        <f>'Expenditures 15-22'!K63-SUM('Expenditures 15-22'!G63,'Expenditures 15-22'!I63)+'Expenditures 15-22'!D268-E10</f>
        <v>540015</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1419</v>
      </c>
      <c r="F35" s="1799"/>
      <c r="G35" s="1801">
        <f>'Expenditures 15-22'!K69-SUM('Expenditures 15-22'!G69,'Expenditures 15-22'!I69)+'Expenditures 15-22'!D274</f>
        <v>1419</v>
      </c>
    </row>
    <row r="36" spans="1:7" ht="12" customHeight="1" x14ac:dyDescent="0.2">
      <c r="A36" s="994" t="s">
        <v>403</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404</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137</v>
      </c>
      <c r="F39" s="1799"/>
      <c r="G39" s="1801">
        <f>'Expenditures 15-22'!K75-SUM('Expenditures 15-22'!G75,'Expenditures 15-22'!I75)+'Expenditures 15-22'!K130-SUM('Expenditures 15-22'!G130,'Expenditures 15-22'!I130)+'Expenditures 15-22'!K185-SUM('Expenditures 15-22'!G185,'Expenditures 15-22'!I185)+'Expenditures 15-22'!D280</f>
        <v>137</v>
      </c>
    </row>
    <row r="40" spans="1:7" ht="12" customHeight="1" x14ac:dyDescent="0.2">
      <c r="A40" s="990" t="s">
        <v>1820</v>
      </c>
      <c r="B40" s="991"/>
      <c r="C40" s="993"/>
      <c r="D40" s="1799"/>
      <c r="E40" s="1803">
        <f>-'Contracts Paid in CY 29'!G141</f>
        <v>-2015823</v>
      </c>
      <c r="F40" s="1799"/>
      <c r="G40" s="1803">
        <f>-'Contracts Paid in CY 29'!G141</f>
        <v>-2015823</v>
      </c>
    </row>
    <row r="41" spans="1:7" ht="12" customHeight="1" x14ac:dyDescent="0.2">
      <c r="A41" s="998" t="s">
        <v>156</v>
      </c>
      <c r="B41" s="999"/>
      <c r="C41" s="1000"/>
      <c r="D41" s="1803">
        <f>SUM(D19:D39)</f>
        <v>285112</v>
      </c>
      <c r="E41" s="1803">
        <f>SUM(E19:E40)</f>
        <v>24146125</v>
      </c>
      <c r="F41" s="1803">
        <f>SUM(F19:F39)</f>
        <v>3124960</v>
      </c>
      <c r="G41" s="1803">
        <f>SUM(G19:G40)</f>
        <v>21306277</v>
      </c>
    </row>
    <row r="42" spans="1:7" x14ac:dyDescent="0.2">
      <c r="A42" s="987"/>
      <c r="B42" s="162"/>
      <c r="C42" s="1001"/>
      <c r="D42" s="2295" t="s">
        <v>522</v>
      </c>
      <c r="E42" s="2296"/>
      <c r="F42" s="1002" t="s">
        <v>523</v>
      </c>
      <c r="G42" s="1003"/>
    </row>
    <row r="43" spans="1:7" ht="12" customHeight="1" x14ac:dyDescent="0.2">
      <c r="A43" s="987"/>
      <c r="B43" s="162"/>
      <c r="C43" s="1001"/>
      <c r="D43" s="1804" t="s">
        <v>473</v>
      </c>
      <c r="E43" s="1805">
        <f>D41</f>
        <v>285112</v>
      </c>
      <c r="F43" s="1804" t="s">
        <v>473</v>
      </c>
      <c r="G43" s="1805">
        <f>F41</f>
        <v>3124960</v>
      </c>
    </row>
    <row r="44" spans="1:7" ht="12" customHeight="1" x14ac:dyDescent="0.2">
      <c r="A44" s="987"/>
      <c r="B44" s="162"/>
      <c r="C44" s="1001"/>
      <c r="D44" s="1804" t="s">
        <v>474</v>
      </c>
      <c r="E44" s="1805">
        <f>E41</f>
        <v>24146125</v>
      </c>
      <c r="F44" s="1804" t="s">
        <v>474</v>
      </c>
      <c r="G44" s="1805">
        <f>G41</f>
        <v>21306277</v>
      </c>
    </row>
    <row r="45" spans="1:7" ht="12" customHeight="1" x14ac:dyDescent="0.2">
      <c r="A45" s="987"/>
      <c r="B45" s="162"/>
      <c r="C45" s="162"/>
      <c r="D45" s="1806" t="s">
        <v>1006</v>
      </c>
      <c r="E45" s="1807">
        <f>(E43/E44)</f>
        <v>1.1807774539392966E-2</v>
      </c>
      <c r="F45" s="1806" t="s">
        <v>1006</v>
      </c>
      <c r="G45" s="1807">
        <f>(G43/G44)</f>
        <v>0.14666851463538186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7" activePane="bottomLeft" state="frozen"/>
      <selection activeCell="A47" sqref="A47"/>
      <selection pane="bottomLeft" activeCell="D25" sqref="D25"/>
    </sheetView>
  </sheetViews>
  <sheetFormatPr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1379</v>
      </c>
      <c r="B1" s="2303"/>
      <c r="C1" s="2303"/>
      <c r="D1" s="2303"/>
      <c r="E1" s="2303"/>
      <c r="F1" s="2303"/>
    </row>
    <row r="2" spans="1:10" x14ac:dyDescent="0.2">
      <c r="A2" s="1884" t="s">
        <v>1908</v>
      </c>
      <c r="B2" s="1845"/>
      <c r="C2" s="1884"/>
      <c r="D2" s="1845"/>
      <c r="E2" s="1845"/>
      <c r="F2" s="1846"/>
    </row>
    <row r="3" spans="1:10" x14ac:dyDescent="0.2">
      <c r="A3" s="1884" t="s">
        <v>1973</v>
      </c>
      <c r="B3" s="1845"/>
      <c r="C3" s="1884"/>
      <c r="D3" s="1845"/>
      <c r="E3" s="1845"/>
      <c r="F3" s="1846"/>
    </row>
    <row r="4" spans="1:10" ht="3.75" customHeight="1" x14ac:dyDescent="0.2">
      <c r="A4" s="1845"/>
      <c r="B4" s="1845"/>
      <c r="C4" s="1845"/>
      <c r="D4" s="1845"/>
      <c r="E4" s="1845"/>
      <c r="F4" s="1846"/>
    </row>
    <row r="5" spans="1:10" ht="15" x14ac:dyDescent="0.25">
      <c r="A5" s="2304" t="s">
        <v>1546</v>
      </c>
      <c r="B5" s="2305"/>
      <c r="C5" s="2306"/>
      <c r="D5" s="2306"/>
      <c r="E5" s="2306"/>
      <c r="F5" s="2306"/>
    </row>
    <row r="6" spans="1:10" ht="12" customHeight="1" x14ac:dyDescent="0.25">
      <c r="A6" s="1847"/>
      <c r="B6" s="1848"/>
      <c r="C6" s="2307" t="str">
        <f>COVER!A17</f>
        <v>Coal City Community School District #1</v>
      </c>
      <c r="D6" s="2307"/>
      <c r="E6" s="2307"/>
      <c r="F6" s="1849"/>
    </row>
    <row r="7" spans="1:10" ht="11.25" customHeight="1" thickBot="1" x14ac:dyDescent="0.3">
      <c r="A7" s="1847"/>
      <c r="B7" s="1848"/>
      <c r="C7" s="2308" t="str">
        <f>COVER!A13</f>
        <v>24-032-0010-26</v>
      </c>
      <c r="D7" s="2308"/>
      <c r="E7" s="2308"/>
      <c r="F7" s="1849"/>
    </row>
    <row r="8" spans="1:10" ht="25.5" customHeight="1" thickBot="1" x14ac:dyDescent="0.25">
      <c r="A8" s="1890" t="s">
        <v>1904</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2070</v>
      </c>
      <c r="D15" s="1862" t="s">
        <v>2070</v>
      </c>
      <c r="E15" s="1865"/>
      <c r="F15" s="1864" t="s">
        <v>2095</v>
      </c>
      <c r="H15" s="1875">
        <f t="shared" si="0"/>
        <v>5</v>
      </c>
      <c r="I15" s="1875">
        <f t="shared" si="1"/>
        <v>5</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t="s">
        <v>2070</v>
      </c>
      <c r="D20" s="1862" t="s">
        <v>2070</v>
      </c>
      <c r="E20" s="1865"/>
      <c r="F20" s="1864" t="s">
        <v>2096</v>
      </c>
      <c r="H20" s="1875">
        <f t="shared" si="0"/>
        <v>5</v>
      </c>
      <c r="I20" s="1875">
        <f t="shared" si="1"/>
        <v>5</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c r="E26" s="1865"/>
      <c r="F26" s="1864" t="s">
        <v>2097</v>
      </c>
      <c r="H26" s="1875">
        <f t="shared" si="0"/>
        <v>5</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2098</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2099</v>
      </c>
      <c r="H30" s="1875">
        <f t="shared" si="0"/>
        <v>5</v>
      </c>
      <c r="I30" s="1875">
        <f t="shared" si="1"/>
        <v>5</v>
      </c>
      <c r="J30" s="1875">
        <f t="shared" si="2"/>
        <v>0</v>
      </c>
    </row>
    <row r="31" spans="1:12" ht="12" customHeight="1" x14ac:dyDescent="0.2">
      <c r="A31" s="1860" t="s">
        <v>1539</v>
      </c>
      <c r="B31" s="1861"/>
      <c r="C31" s="1862" t="s">
        <v>2070</v>
      </c>
      <c r="D31" s="1862" t="s">
        <v>2070</v>
      </c>
      <c r="E31" s="1865"/>
      <c r="F31" s="1864" t="s">
        <v>2100</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25</v>
      </c>
      <c r="J34" s="1875">
        <f>SUM(J11:J32)</f>
        <v>0</v>
      </c>
      <c r="K34" s="1875">
        <f>SUM(H34:J34)</f>
        <v>55</v>
      </c>
    </row>
    <row r="35" spans="1:11" ht="12" customHeight="1" x14ac:dyDescent="0.2">
      <c r="A35" s="1868" t="s">
        <v>1392</v>
      </c>
      <c r="B35" s="1869"/>
      <c r="C35" s="2309"/>
      <c r="D35" s="2309"/>
      <c r="E35" s="2309"/>
      <c r="F35" s="2310"/>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14"/>
      <c r="B38" s="2315"/>
      <c r="C38" s="2315"/>
      <c r="D38" s="2315"/>
      <c r="E38" s="2315"/>
      <c r="F38" s="2316"/>
    </row>
    <row r="39" spans="1:11" ht="4.5" hidden="1" customHeight="1" x14ac:dyDescent="0.2">
      <c r="A39" s="1870"/>
      <c r="B39" s="1870"/>
      <c r="C39" s="1870"/>
      <c r="D39" s="1870"/>
      <c r="E39" s="1870"/>
      <c r="F39" s="1870"/>
    </row>
    <row r="40" spans="1:11" s="1867" customFormat="1" ht="12" customHeight="1" x14ac:dyDescent="0.25">
      <c r="A40" s="1871" t="s">
        <v>1391</v>
      </c>
      <c r="B40" s="1872"/>
      <c r="C40" s="2317"/>
      <c r="D40" s="2317"/>
      <c r="E40" s="2317"/>
      <c r="F40" s="2318"/>
      <c r="H40" s="1876"/>
      <c r="I40" s="1876"/>
      <c r="J40" s="1876"/>
      <c r="K40" s="1876"/>
    </row>
    <row r="41" spans="1:11" s="1867" customFormat="1" ht="12" customHeight="1" x14ac:dyDescent="0.25">
      <c r="A41" s="2319"/>
      <c r="B41" s="2320"/>
      <c r="C41" s="2320"/>
      <c r="D41" s="2320"/>
      <c r="E41" s="2320"/>
      <c r="F41" s="2321"/>
      <c r="H41" s="1876"/>
      <c r="I41" s="1876"/>
      <c r="J41" s="1876"/>
      <c r="K41" s="1876"/>
    </row>
    <row r="42" spans="1:11" s="1867" customFormat="1" ht="12" customHeight="1" x14ac:dyDescent="0.25">
      <c r="A42" s="2319"/>
      <c r="B42" s="2320"/>
      <c r="C42" s="2320"/>
      <c r="D42" s="2320"/>
      <c r="E42" s="2320"/>
      <c r="F42" s="2321"/>
      <c r="H42" s="1876"/>
      <c r="I42" s="1876"/>
      <c r="J42" s="1876"/>
      <c r="K42" s="1876"/>
    </row>
    <row r="43" spans="1:11" s="1867" customFormat="1" ht="15" x14ac:dyDescent="0.25">
      <c r="A43" s="2311"/>
      <c r="B43" s="2312"/>
      <c r="C43" s="2312"/>
      <c r="D43" s="2312"/>
      <c r="E43" s="2312"/>
      <c r="F43" s="2313"/>
      <c r="H43" s="1876"/>
      <c r="I43" s="1876"/>
      <c r="J43" s="1876"/>
      <c r="K43" s="1876"/>
    </row>
    <row r="44" spans="1:11" s="1867" customFormat="1" ht="12" hidden="1" customHeight="1" x14ac:dyDescent="0.25">
      <c r="A44" s="2311"/>
      <c r="B44" s="2312"/>
      <c r="C44" s="2312"/>
      <c r="D44" s="2312"/>
      <c r="E44" s="2312"/>
      <c r="F44" s="231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7" colorId="8" zoomScale="110" zoomScaleNormal="110" workbookViewId="0">
      <selection activeCell="H16" sqref="H16"/>
    </sheetView>
  </sheetViews>
  <sheetFormatPr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1"/>
      <c r="C6" s="1641"/>
      <c r="D6" s="1641"/>
      <c r="E6" s="1642"/>
      <c r="F6" s="1015"/>
      <c r="G6" s="1009"/>
      <c r="H6" s="1016" t="s">
        <v>1028</v>
      </c>
      <c r="I6" s="2331" t="str">
        <f>COVER!A17</f>
        <v>Coal City Community School District #1</v>
      </c>
      <c r="J6" s="2332"/>
      <c r="Q6" s="1662"/>
    </row>
    <row r="7" spans="1:17" x14ac:dyDescent="0.2">
      <c r="A7" s="2333" t="s">
        <v>869</v>
      </c>
      <c r="B7" s="2334"/>
      <c r="C7" s="2334"/>
      <c r="D7" s="2334"/>
      <c r="E7" s="2335"/>
      <c r="F7" s="1017"/>
      <c r="G7" s="1009"/>
      <c r="H7" s="1016" t="s">
        <v>372</v>
      </c>
      <c r="I7" s="2336" t="str">
        <f>COVER!A13</f>
        <v>24-032-0010-26</v>
      </c>
      <c r="J7" s="233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2" t="s">
        <v>1974</v>
      </c>
      <c r="F9" s="1023"/>
      <c r="G9" s="1023"/>
      <c r="H9" s="1893"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301143</v>
      </c>
      <c r="F12" s="1039"/>
      <c r="G12" s="1808">
        <f t="shared" ref="G12:G18" si="0">SUM(E12:F12)</f>
        <v>301143</v>
      </c>
      <c r="H12" s="1040">
        <v>323303</v>
      </c>
      <c r="I12" s="1039"/>
      <c r="J12" s="1808">
        <f t="shared" ref="J12:J18" si="1">SUM(H12:I12)</f>
        <v>323303</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2560</v>
      </c>
      <c r="F14" s="1039"/>
      <c r="G14" s="1808">
        <f t="shared" si="0"/>
        <v>2560</v>
      </c>
      <c r="H14" s="1040">
        <v>3000</v>
      </c>
      <c r="I14" s="1039"/>
      <c r="J14" s="1808">
        <f t="shared" si="1"/>
        <v>3000</v>
      </c>
    </row>
    <row r="15" spans="1:17" ht="15" customHeight="1" x14ac:dyDescent="0.2">
      <c r="A15" s="1035">
        <v>4</v>
      </c>
      <c r="B15" s="1036" t="s">
        <v>1068</v>
      </c>
      <c r="C15" s="1037"/>
      <c r="D15" s="1038">
        <v>2510</v>
      </c>
      <c r="E15" s="1808">
        <f>'Expenditures 15-22'!K59</f>
        <v>103994</v>
      </c>
      <c r="F15" s="1808">
        <f>'Expenditures 15-22'!K122</f>
        <v>0</v>
      </c>
      <c r="G15" s="1808">
        <f t="shared" si="0"/>
        <v>103994</v>
      </c>
      <c r="H15" s="1040">
        <v>98100</v>
      </c>
      <c r="I15" s="1040"/>
      <c r="J15" s="1808">
        <f t="shared" si="1"/>
        <v>98100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c r="I17" s="1039"/>
      <c r="J17" s="1808">
        <f t="shared" si="1"/>
        <v>0</v>
      </c>
    </row>
    <row r="18" spans="1:10" ht="22.5" customHeight="1" x14ac:dyDescent="0.2">
      <c r="A18" s="1042">
        <v>7</v>
      </c>
      <c r="B18" s="2340" t="s">
        <v>7</v>
      </c>
      <c r="C18" s="2341"/>
      <c r="D18" s="2342"/>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407697</v>
      </c>
      <c r="F19" s="1810">
        <f t="shared" si="2"/>
        <v>0</v>
      </c>
      <c r="G19" s="1810">
        <f t="shared" si="2"/>
        <v>407697</v>
      </c>
      <c r="H19" s="1810">
        <f t="shared" si="2"/>
        <v>424403</v>
      </c>
      <c r="I19" s="1810">
        <f t="shared" si="2"/>
        <v>0</v>
      </c>
      <c r="J19" s="1810">
        <f t="shared" si="2"/>
        <v>424403</v>
      </c>
    </row>
    <row r="20" spans="1:10" ht="13.5" thickTop="1" x14ac:dyDescent="0.2">
      <c r="A20" s="1035">
        <v>9</v>
      </c>
      <c r="B20" s="2343" t="s">
        <v>1976</v>
      </c>
      <c r="C20" s="2343"/>
      <c r="D20" s="2344"/>
      <c r="E20" s="1046"/>
      <c r="F20" s="1046"/>
      <c r="G20" s="1046"/>
      <c r="H20" s="1046"/>
      <c r="I20" s="1046"/>
      <c r="J20" s="1811">
        <f>IF(AND(G19&gt;0,J19&gt;0),(((J19-G19)/G19)),"Enter Budget Data")</f>
        <v>4.0976509515645194E-2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25"/>
      <c r="D26" s="2325"/>
      <c r="E26" s="1050"/>
      <c r="F26" s="2324"/>
      <c r="G26" s="2324"/>
    </row>
    <row r="27" spans="1:10" x14ac:dyDescent="0.2">
      <c r="B27" s="1047"/>
      <c r="C27" s="1051" t="s">
        <v>1033</v>
      </c>
      <c r="D27" s="1052"/>
      <c r="E27" s="1053"/>
      <c r="F27" s="2345" t="s">
        <v>1509</v>
      </c>
      <c r="G27" s="2345"/>
    </row>
    <row r="28" spans="1:10" ht="28.5" customHeight="1" x14ac:dyDescent="0.2">
      <c r="B28" s="1047"/>
      <c r="C28" s="2323"/>
      <c r="D28" s="2323"/>
      <c r="E28" s="1054"/>
      <c r="F28" s="2323"/>
      <c r="G28" s="2323"/>
    </row>
    <row r="29" spans="1:10" x14ac:dyDescent="0.2">
      <c r="B29" s="1047"/>
      <c r="C29" s="1055" t="s">
        <v>1561</v>
      </c>
      <c r="E29" s="1056"/>
      <c r="F29" s="2322" t="s">
        <v>1510</v>
      </c>
      <c r="G29" s="232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1978</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5" sqref="B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2101</v>
      </c>
    </row>
    <row r="6" spans="1:2" x14ac:dyDescent="0.2">
      <c r="A6" s="1068">
        <v>2</v>
      </c>
      <c r="B6" s="329" t="s">
        <v>2102</v>
      </c>
    </row>
    <row r="7" spans="1:2" x14ac:dyDescent="0.2">
      <c r="A7" s="1068">
        <v>3</v>
      </c>
      <c r="B7" s="329" t="s">
        <v>2103</v>
      </c>
    </row>
    <row r="8" spans="1:2" x14ac:dyDescent="0.2">
      <c r="A8" s="1068">
        <v>4</v>
      </c>
      <c r="B8" s="329" t="s">
        <v>2104</v>
      </c>
    </row>
    <row r="9" spans="1:2" x14ac:dyDescent="0.2">
      <c r="A9" s="1068">
        <v>5</v>
      </c>
      <c r="B9" s="329" t="s">
        <v>2162</v>
      </c>
    </row>
    <row r="10" spans="1:2" x14ac:dyDescent="0.2">
      <c r="A10" s="1068">
        <v>6</v>
      </c>
      <c r="B10" s="329" t="s">
        <v>2163</v>
      </c>
    </row>
    <row r="11" spans="1:2" x14ac:dyDescent="0.2">
      <c r="A11" s="1068">
        <v>7</v>
      </c>
      <c r="B11" s="329" t="s">
        <v>2105</v>
      </c>
    </row>
    <row r="12" spans="1:2" x14ac:dyDescent="0.2">
      <c r="A12" s="1068">
        <v>8</v>
      </c>
      <c r="B12" s="329" t="s">
        <v>2106</v>
      </c>
    </row>
    <row r="13" spans="1:2" x14ac:dyDescent="0.2">
      <c r="A13" s="1946">
        <v>9</v>
      </c>
      <c r="B13" s="329" t="s">
        <v>2164</v>
      </c>
    </row>
    <row r="14" spans="1:2" x14ac:dyDescent="0.2">
      <c r="A14" s="1946">
        <v>10</v>
      </c>
      <c r="B14" s="329" t="s">
        <v>2165</v>
      </c>
    </row>
    <row r="15" spans="1:2" x14ac:dyDescent="0.2">
      <c r="A15" s="1068"/>
    </row>
    <row r="16" spans="1:2" x14ac:dyDescent="0.2">
      <c r="A16" s="1068"/>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Coal City Community School District #1</v>
      </c>
    </row>
    <row r="65" spans="2:2" x14ac:dyDescent="0.2">
      <c r="B65" s="1070" t="str">
        <f>COVER!A13</f>
        <v>24-032-0010-26</v>
      </c>
    </row>
  </sheetData>
  <phoneticPr fontId="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3" t="s">
        <v>1611</v>
      </c>
    </row>
    <row r="23" spans="1:5" x14ac:dyDescent="0.2">
      <c r="A23" s="168"/>
      <c r="B23" s="162" t="s">
        <v>1853</v>
      </c>
      <c r="D23" s="167" t="s">
        <v>637</v>
      </c>
      <c r="E23" s="1833"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4" t="s">
        <v>1065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691</v>
      </c>
      <c r="B40" s="2061"/>
      <c r="C40" s="2061"/>
      <c r="D40" s="2061"/>
      <c r="E40" s="2061"/>
    </row>
    <row r="41" spans="1:5" x14ac:dyDescent="0.2">
      <c r="A41" s="2062" t="s">
        <v>1608</v>
      </c>
      <c r="B41" s="2062"/>
      <c r="C41" s="2062"/>
      <c r="D41" s="2062"/>
      <c r="E41" s="2062"/>
    </row>
    <row r="42" spans="1:5" ht="12.75" customHeight="1" x14ac:dyDescent="0.2">
      <c r="A42" s="2063" t="s">
        <v>1022</v>
      </c>
      <c r="B42" s="2063"/>
      <c r="C42" s="2063"/>
      <c r="D42" s="2063"/>
      <c r="E42" s="206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5: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15" spans="2:6" x14ac:dyDescent="0.2">
      <c r="B15" s="1071"/>
      <c r="C15" s="1071"/>
      <c r="D15" s="1071"/>
      <c r="E15" s="1071"/>
      <c r="F15" s="1071"/>
    </row>
    <row r="17" spans="1:2" s="1945" customFormat="1" x14ac:dyDescent="0.2"/>
    <row r="18" spans="1:2" s="1945" customFormat="1" x14ac:dyDescent="0.2"/>
    <row r="19" spans="1:2" s="1945" customFormat="1" x14ac:dyDescent="0.2"/>
    <row r="20" spans="1:2" s="1945" customFormat="1" x14ac:dyDescent="0.2"/>
    <row r="21" spans="1:2" s="1945" customFormat="1" x14ac:dyDescent="0.2"/>
    <row r="22" spans="1:2" x14ac:dyDescent="0.2">
      <c r="A22" s="1072" t="s">
        <v>1493</v>
      </c>
    </row>
    <row r="24" spans="1:2" x14ac:dyDescent="0.2">
      <c r="A24" s="389" t="s">
        <v>857</v>
      </c>
    </row>
    <row r="25" spans="1:2" s="1071" customFormat="1" ht="45" customHeight="1" x14ac:dyDescent="0.2">
      <c r="A25" s="1073"/>
      <c r="B25" s="1073" t="s">
        <v>1684</v>
      </c>
    </row>
    <row r="26" spans="1:2" ht="6" customHeight="1" x14ac:dyDescent="0.2"/>
    <row r="27" spans="1:2" ht="24.75" customHeight="1" x14ac:dyDescent="0.2">
      <c r="A27" s="2346" t="s">
        <v>1685</v>
      </c>
      <c r="B27" s="2346"/>
    </row>
  </sheetData>
  <sheetProtection selectLockedCells="1"/>
  <mergeCells count="1">
    <mergeCell ref="A27:B27"/>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RowHeight="12.75" x14ac:dyDescent="0.2"/>
  <cols>
    <col min="1" max="1" width="33.85546875" style="316" customWidth="1"/>
    <col min="2" max="6" width="16.7109375" style="316" customWidth="1"/>
    <col min="7" max="16384" width="9.140625" style="316"/>
  </cols>
  <sheetData>
    <row r="1" spans="1:8" ht="48.75" customHeight="1" x14ac:dyDescent="0.2">
      <c r="A1" s="2347" t="s">
        <v>1690</v>
      </c>
      <c r="B1" s="2348"/>
      <c r="C1" s="2348"/>
      <c r="D1" s="2348"/>
      <c r="E1" s="2348"/>
      <c r="F1" s="2349"/>
    </row>
    <row r="2" spans="1:8" ht="45" customHeight="1" x14ac:dyDescent="0.2">
      <c r="A2" s="2357" t="s">
        <v>1982</v>
      </c>
      <c r="B2" s="2358"/>
      <c r="C2" s="2358"/>
      <c r="D2" s="2358"/>
      <c r="E2" s="2358"/>
      <c r="F2" s="2359"/>
      <c r="G2" s="1074"/>
      <c r="H2" s="1074"/>
    </row>
    <row r="3" spans="1:8" ht="57" customHeight="1" x14ac:dyDescent="0.2">
      <c r="A3" s="2360" t="s">
        <v>1686</v>
      </c>
      <c r="B3" s="2361"/>
      <c r="C3" s="2361"/>
      <c r="D3" s="2361"/>
      <c r="E3" s="2361"/>
      <c r="F3" s="2362"/>
      <c r="G3" s="1074"/>
      <c r="H3" s="1074"/>
    </row>
    <row r="4" spans="1:8" ht="14.25" customHeight="1" x14ac:dyDescent="0.2">
      <c r="A4" s="2366" t="s">
        <v>1983</v>
      </c>
      <c r="B4" s="2367"/>
      <c r="C4" s="2367"/>
      <c r="D4" s="2367"/>
      <c r="E4" s="2367"/>
      <c r="F4" s="2368"/>
      <c r="G4" s="1074"/>
      <c r="H4" s="1074"/>
    </row>
    <row r="5" spans="1:8" ht="14.25" customHeight="1" x14ac:dyDescent="0.2">
      <c r="A5" s="2369" t="s">
        <v>1979</v>
      </c>
      <c r="B5" s="2370"/>
      <c r="C5" s="2370"/>
      <c r="D5" s="2370"/>
      <c r="E5" s="2370"/>
      <c r="F5" s="2371"/>
      <c r="G5" s="1074"/>
      <c r="H5" s="1074"/>
    </row>
    <row r="6" spans="1:8" s="1075" customFormat="1" ht="41.25" customHeight="1" x14ac:dyDescent="0.2">
      <c r="A6" s="2363" t="s">
        <v>1691</v>
      </c>
      <c r="B6" s="2364"/>
      <c r="C6" s="2364"/>
      <c r="D6" s="2364"/>
      <c r="E6" s="2364"/>
      <c r="F6" s="236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22108991</v>
      </c>
      <c r="C8" s="1812">
        <f>'Acct Summary 7-8'!D8</f>
        <v>3380203</v>
      </c>
      <c r="D8" s="1812">
        <f>'Acct Summary 7-8'!F8</f>
        <v>2238392</v>
      </c>
      <c r="E8" s="1812">
        <f>'Acct Summary 7-8'!I8</f>
        <v>223969</v>
      </c>
      <c r="F8" s="1812">
        <f>SUM(B8:E8)</f>
        <v>27951555</v>
      </c>
    </row>
    <row r="9" spans="1:8" s="1079" customFormat="1" ht="14.25" customHeight="1" thickBot="1" x14ac:dyDescent="0.25">
      <c r="A9" s="1078" t="s">
        <v>1369</v>
      </c>
      <c r="B9" s="1813">
        <f>'Acct Summary 7-8'!C17</f>
        <v>21887492</v>
      </c>
      <c r="C9" s="1813">
        <f>'Acct Summary 7-8'!D17</f>
        <v>3100041</v>
      </c>
      <c r="D9" s="1813">
        <f>'Acct Summary 7-8'!F17</f>
        <v>2103231</v>
      </c>
      <c r="E9" s="1812"/>
      <c r="F9" s="1812">
        <f>SUM(B9:E9)</f>
        <v>27090764</v>
      </c>
    </row>
    <row r="10" spans="1:8" s="1079" customFormat="1" ht="14.25" thickTop="1" thickBot="1" x14ac:dyDescent="0.25">
      <c r="A10" s="1080" t="s">
        <v>1370</v>
      </c>
      <c r="B10" s="1814">
        <f>(B8-B9)</f>
        <v>221499</v>
      </c>
      <c r="C10" s="1814">
        <f>(C8-C9)</f>
        <v>280162</v>
      </c>
      <c r="D10" s="1814">
        <f>(D8-D9)</f>
        <v>135161</v>
      </c>
      <c r="E10" s="1813">
        <f>(E8-E9)</f>
        <v>223969</v>
      </c>
      <c r="F10" s="1815">
        <f>SUM(F8-F9)</f>
        <v>860791</v>
      </c>
    </row>
    <row r="11" spans="1:8" s="1079" customFormat="1" ht="14.25" thickTop="1" thickBot="1" x14ac:dyDescent="0.25">
      <c r="A11" s="1081" t="s">
        <v>1980</v>
      </c>
      <c r="B11" s="1816">
        <f>'Acct Summary 7-8'!C81</f>
        <v>12222866</v>
      </c>
      <c r="C11" s="1816">
        <f>'Acct Summary 7-8'!D81</f>
        <v>1490091</v>
      </c>
      <c r="D11" s="1816">
        <f>'Acct Summary 7-8'!F81</f>
        <v>2379361</v>
      </c>
      <c r="E11" s="1816">
        <f>'Acct Summary 7-8'!I81</f>
        <v>1102970</v>
      </c>
      <c r="F11" s="1817">
        <f>SUM(B11:E11)</f>
        <v>17195288</v>
      </c>
    </row>
    <row r="12" spans="1:8" ht="16.5" customHeight="1" thickTop="1" x14ac:dyDescent="0.2">
      <c r="A12" s="1082"/>
      <c r="B12" s="1083"/>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4"/>
      <c r="B13" s="1085"/>
      <c r="C13" s="2351"/>
      <c r="D13" s="2352"/>
      <c r="E13" s="2352"/>
      <c r="F13" s="2353"/>
      <c r="H13" s="1074"/>
    </row>
    <row r="14" spans="1:8" ht="19.5" customHeight="1" x14ac:dyDescent="0.2">
      <c r="A14" s="1084"/>
      <c r="B14" s="1085"/>
      <c r="C14" s="2351"/>
      <c r="D14" s="2352"/>
      <c r="E14" s="2352"/>
      <c r="F14" s="2353"/>
      <c r="H14" s="1074"/>
    </row>
    <row r="15" spans="1:8" ht="17.25" customHeight="1" x14ac:dyDescent="0.2">
      <c r="A15" s="1084"/>
      <c r="B15" s="1085"/>
      <c r="C15" s="2354"/>
      <c r="D15" s="2355"/>
      <c r="E15" s="2355"/>
      <c r="F15" s="2356"/>
      <c r="H15" s="1074"/>
    </row>
    <row r="16" spans="1:8" s="310" customFormat="1" ht="51.75" hidden="1" customHeight="1" x14ac:dyDescent="0.2">
      <c r="A16" s="2350" t="s">
        <v>1687</v>
      </c>
      <c r="B16" s="2350"/>
      <c r="C16" s="2350"/>
      <c r="D16" s="2350"/>
      <c r="E16" s="235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G8" sqref="G8"/>
    </sheetView>
  </sheetViews>
  <sheetFormatPr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72" t="s">
        <v>665</v>
      </c>
      <c r="B3" s="2373"/>
      <c r="C3" s="2373"/>
      <c r="D3" s="237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3" t="s">
        <v>1504</v>
      </c>
      <c r="D7" s="2384"/>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5" t="s">
        <v>1008</v>
      </c>
      <c r="B15" s="2376"/>
      <c r="C15" s="2376"/>
      <c r="D15" s="2377"/>
    </row>
    <row r="16" spans="1:4" s="668" customFormat="1" ht="24" customHeight="1" x14ac:dyDescent="0.2">
      <c r="A16" s="2378" t="s">
        <v>663</v>
      </c>
      <c r="B16" s="2379"/>
      <c r="C16" s="2379"/>
      <c r="D16" s="238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5" t="s">
        <v>1524</v>
      </c>
      <c r="D22" s="220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1" t="s">
        <v>784</v>
      </c>
      <c r="D56" s="238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1" t="s">
        <v>1696</v>
      </c>
      <c r="D70" s="238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24-032-0010-26</v>
      </c>
    </row>
    <row r="3" spans="1:2" x14ac:dyDescent="0.2">
      <c r="A3" t="s">
        <v>956</v>
      </c>
      <c r="B3" s="138" t="str">
        <f>COVER!A15</f>
        <v>Grundy</v>
      </c>
    </row>
    <row r="4" spans="1:2" x14ac:dyDescent="0.2">
      <c r="A4" t="s">
        <v>1007</v>
      </c>
      <c r="B4" s="138" t="str">
        <f>COVER!A17</f>
        <v>Coal City Community School District #1</v>
      </c>
    </row>
    <row r="5" spans="1:2" x14ac:dyDescent="0.2">
      <c r="A5" t="s">
        <v>704</v>
      </c>
      <c r="B5" s="138" t="str">
        <f>COVER!A38</f>
        <v>Dr. Kent Bugg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10971202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12539071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316205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316205</v>
      </c>
      <c r="C91" s="2" t="s">
        <v>573</v>
      </c>
      <c r="D91" s="2" t="str">
        <f t="shared" si="0"/>
        <v>Error?</v>
      </c>
    </row>
    <row r="92" spans="1:4" x14ac:dyDescent="0.2">
      <c r="A92" s="5">
        <v>31</v>
      </c>
      <c r="B92" s="138">
        <f>'Assets-Liab 5-6'!C39</f>
        <v>10904571</v>
      </c>
      <c r="D92" s="2" t="str">
        <f t="shared" si="0"/>
        <v>Error?</v>
      </c>
    </row>
    <row r="93" spans="1:4" x14ac:dyDescent="0.2">
      <c r="A93" s="5">
        <v>32</v>
      </c>
      <c r="B93" s="138">
        <f>'Assets-Liab 5-6'!C41</f>
        <v>12539071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1116950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1497523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7432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7432</v>
      </c>
      <c r="C122" s="2" t="s">
        <v>573</v>
      </c>
      <c r="D122" s="2" t="str">
        <f t="shared" si="0"/>
        <v>Error?</v>
      </c>
    </row>
    <row r="123" spans="1:4" x14ac:dyDescent="0.2">
      <c r="A123" s="5">
        <v>62</v>
      </c>
      <c r="B123" s="138">
        <f>'Assets-Liab 5-6'!D39</f>
        <v>1490091</v>
      </c>
      <c r="D123" s="2" t="str">
        <f t="shared" si="0"/>
        <v>Error?</v>
      </c>
    </row>
    <row r="124" spans="1:4" x14ac:dyDescent="0.2">
      <c r="A124" s="5">
        <v>63</v>
      </c>
      <c r="B124" s="138">
        <f>'Assets-Liab 5-6'!D41</f>
        <v>1497523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89136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89136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2500443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2500443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121082</v>
      </c>
      <c r="C169" s="2" t="s">
        <v>573</v>
      </c>
      <c r="D169" s="2" t="str">
        <f t="shared" si="1"/>
        <v>Error?</v>
      </c>
    </row>
    <row r="170" spans="1:4" x14ac:dyDescent="0.2">
      <c r="A170" s="5">
        <v>109</v>
      </c>
      <c r="B170" s="138">
        <f>'Assets-Liab 5-6'!F39</f>
        <v>2379361</v>
      </c>
      <c r="D170" s="2" t="str">
        <f t="shared" si="1"/>
        <v>Error?</v>
      </c>
    </row>
    <row r="171" spans="1:4" x14ac:dyDescent="0.2">
      <c r="A171" s="5">
        <v>110</v>
      </c>
      <c r="B171" s="138">
        <f>'Assets-Liab 5-6'!F41</f>
        <v>2500443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376773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376773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138412</v>
      </c>
      <c r="C188" s="2" t="s">
        <v>573</v>
      </c>
      <c r="D188" s="2" t="str">
        <f t="shared" si="1"/>
        <v>Error?</v>
      </c>
    </row>
    <row r="189" spans="1:4" x14ac:dyDescent="0.2">
      <c r="A189" s="5">
        <v>128</v>
      </c>
      <c r="B189" s="138">
        <f>'Assets-Liab 5-6'!G39</f>
        <v>-56300</v>
      </c>
      <c r="D189" s="2" t="str">
        <f t="shared" si="1"/>
        <v>Error?</v>
      </c>
    </row>
    <row r="190" spans="1:4" x14ac:dyDescent="0.2">
      <c r="A190" s="5">
        <v>129</v>
      </c>
      <c r="B190" s="138">
        <f>'Assets-Liab 5-6'!G41</f>
        <v>376773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636703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636703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6186420</v>
      </c>
      <c r="D273" s="2" t="str">
        <f t="shared" si="3"/>
        <v>Error?</v>
      </c>
    </row>
    <row r="274" spans="1:4" x14ac:dyDescent="0.2">
      <c r="A274" s="5">
        <v>213</v>
      </c>
      <c r="B274" s="138">
        <f>'Assets-Liab 5-6'!M17</f>
        <v>51630325</v>
      </c>
      <c r="D274" s="2" t="str">
        <f t="shared" si="3"/>
        <v>Error?</v>
      </c>
    </row>
    <row r="275" spans="1:4" x14ac:dyDescent="0.2">
      <c r="A275" s="5">
        <v>214</v>
      </c>
      <c r="B275" s="138">
        <f>'Assets-Liab 5-6'!M18</f>
        <v>1259261</v>
      </c>
      <c r="D275" s="2" t="str">
        <f t="shared" si="3"/>
        <v>Error?</v>
      </c>
    </row>
    <row r="276" spans="1:4" x14ac:dyDescent="0.2">
      <c r="A276" s="5">
        <v>215</v>
      </c>
      <c r="B276" s="138">
        <f>'Assets-Liab 5-6'!M19</f>
        <v>541407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59877002</v>
      </c>
      <c r="C279" s="2" t="s">
        <v>573</v>
      </c>
      <c r="D279" s="2" t="str">
        <f t="shared" si="3"/>
        <v>Error?</v>
      </c>
    </row>
    <row r="280" spans="1:4" x14ac:dyDescent="0.2">
      <c r="A280" s="5">
        <v>219</v>
      </c>
      <c r="B280" s="138">
        <f>'Assets-Liab 5-6'!M40</f>
        <v>59877002</v>
      </c>
      <c r="D280" s="2" t="str">
        <f t="shared" si="3"/>
        <v>Error?</v>
      </c>
    </row>
    <row r="281" spans="1:4" x14ac:dyDescent="0.2">
      <c r="A281" s="5">
        <v>220</v>
      </c>
      <c r="B281" s="138">
        <f>'Assets-Liab 5-6'!M41</f>
        <v>59877002</v>
      </c>
      <c r="C281" s="2" t="s">
        <v>573</v>
      </c>
      <c r="D281" s="2" t="str">
        <f t="shared" si="3"/>
        <v>Error?</v>
      </c>
    </row>
    <row r="282" spans="1:4" x14ac:dyDescent="0.2">
      <c r="A282" s="5">
        <v>221</v>
      </c>
      <c r="B282" s="138">
        <f>'Assets-Liab 5-6'!N21</f>
        <v>89136</v>
      </c>
      <c r="D282" s="2" t="str">
        <f t="shared" si="3"/>
        <v>Error?</v>
      </c>
    </row>
    <row r="283" spans="1:4" x14ac:dyDescent="0.2">
      <c r="A283" s="5">
        <v>222</v>
      </c>
      <c r="B283" s="138">
        <f>'Assets-Liab 5-6'!N22</f>
        <v>32215864</v>
      </c>
      <c r="D283" s="2" t="str">
        <f t="shared" si="3"/>
        <v>Error?</v>
      </c>
    </row>
    <row r="284" spans="1:4" x14ac:dyDescent="0.2">
      <c r="A284" s="5">
        <v>223</v>
      </c>
      <c r="B284" s="138">
        <f>'Assets-Liab 5-6'!N23</f>
        <v>32305000</v>
      </c>
      <c r="C284" s="2" t="s">
        <v>573</v>
      </c>
      <c r="D284" s="2" t="str">
        <f t="shared" si="3"/>
        <v>Error?</v>
      </c>
    </row>
    <row r="285" spans="1:4" x14ac:dyDescent="0.2">
      <c r="A285" s="5">
        <v>224</v>
      </c>
      <c r="B285" s="138">
        <f>'Assets-Liab 5-6'!N36</f>
        <v>32305000</v>
      </c>
      <c r="D285" s="2" t="str">
        <f t="shared" si="3"/>
        <v>Error?</v>
      </c>
    </row>
    <row r="286" spans="1:4" x14ac:dyDescent="0.2">
      <c r="A286" s="10">
        <v>225</v>
      </c>
      <c r="D286" s="2" t="str">
        <f t="shared" si="3"/>
        <v>OK</v>
      </c>
    </row>
    <row r="287" spans="1:4" x14ac:dyDescent="0.2">
      <c r="A287" s="5">
        <v>226</v>
      </c>
      <c r="B287" s="138">
        <f>'Assets-Liab 5-6'!N37</f>
        <v>32305000</v>
      </c>
      <c r="C287" s="2" t="s">
        <v>573</v>
      </c>
      <c r="D287" s="2" t="str">
        <f t="shared" si="3"/>
        <v>Error?</v>
      </c>
    </row>
    <row r="288" spans="1:4" x14ac:dyDescent="0.2">
      <c r="A288" s="5">
        <v>227</v>
      </c>
      <c r="B288" s="138">
        <f>'Assets-Liab 5-6'!N41</f>
        <v>32305000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8114472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327149</v>
      </c>
      <c r="D717" s="2" t="str">
        <f t="shared" si="10"/>
        <v>Error?</v>
      </c>
    </row>
    <row r="718" spans="1:4" x14ac:dyDescent="0.2">
      <c r="A718" s="5">
        <v>657</v>
      </c>
      <c r="B718" s="138">
        <f>'Expenditures 15-22'!C14</f>
        <v>586050</v>
      </c>
      <c r="D718" s="2" t="str">
        <f t="shared" si="10"/>
        <v>Error?</v>
      </c>
    </row>
    <row r="719" spans="1:4" x14ac:dyDescent="0.2">
      <c r="A719" s="5">
        <v>658</v>
      </c>
      <c r="B719" s="138">
        <f>'Expenditures 15-22'!C15</f>
        <v>44724</v>
      </c>
      <c r="D719" s="2" t="str">
        <f t="shared" si="10"/>
        <v>Error?</v>
      </c>
    </row>
    <row r="720" spans="1:4" x14ac:dyDescent="0.2">
      <c r="A720" s="5">
        <v>659</v>
      </c>
      <c r="B720" s="138">
        <f>'Expenditures 15-22'!C33</f>
        <v>11599865</v>
      </c>
      <c r="C720" s="2" t="s">
        <v>573</v>
      </c>
      <c r="D720" s="2" t="str">
        <f t="shared" si="10"/>
        <v>Error?</v>
      </c>
    </row>
    <row r="721" spans="1:4" x14ac:dyDescent="0.2">
      <c r="A721" s="5">
        <v>660</v>
      </c>
      <c r="B721" s="138">
        <f>'Expenditures 15-22'!C36</f>
        <v>291939</v>
      </c>
      <c r="D721" s="2" t="str">
        <f t="shared" si="10"/>
        <v>Error?</v>
      </c>
    </row>
    <row r="722" spans="1:4" x14ac:dyDescent="0.2">
      <c r="A722" s="5">
        <v>661</v>
      </c>
      <c r="B722" s="138">
        <f>'Expenditures 15-22'!C37</f>
        <v>200755</v>
      </c>
      <c r="D722" s="2" t="str">
        <f t="shared" si="10"/>
        <v>Error?</v>
      </c>
    </row>
    <row r="723" spans="1:4" x14ac:dyDescent="0.2">
      <c r="A723" s="5">
        <v>662</v>
      </c>
      <c r="B723" s="138">
        <f>'Expenditures 15-22'!C38</f>
        <v>103378</v>
      </c>
      <c r="D723" s="2" t="str">
        <f t="shared" si="10"/>
        <v>Error?</v>
      </c>
    </row>
    <row r="724" spans="1:4" x14ac:dyDescent="0.2">
      <c r="A724" s="5">
        <v>663</v>
      </c>
      <c r="B724" s="138">
        <f>'Expenditures 15-22'!C39</f>
        <v>134281</v>
      </c>
      <c r="D724" s="2" t="str">
        <f t="shared" si="10"/>
        <v>Error?</v>
      </c>
    </row>
    <row r="725" spans="1:4" x14ac:dyDescent="0.2">
      <c r="A725" s="5">
        <v>664</v>
      </c>
      <c r="B725" s="138">
        <f>'Expenditures 15-22'!C40</f>
        <v>237281</v>
      </c>
      <c r="D725" s="2" t="str">
        <f t="shared" si="10"/>
        <v>Error?</v>
      </c>
    </row>
    <row r="726" spans="1:4" x14ac:dyDescent="0.2">
      <c r="A726" s="5">
        <v>665</v>
      </c>
      <c r="B726" s="138">
        <f>'Expenditures 15-22'!C41</f>
        <v>99927</v>
      </c>
      <c r="D726" s="2" t="str">
        <f t="shared" si="10"/>
        <v>Error?</v>
      </c>
    </row>
    <row r="727" spans="1:4" x14ac:dyDescent="0.2">
      <c r="A727" s="5">
        <v>666</v>
      </c>
      <c r="B727" s="138">
        <f>'Expenditures 15-22'!C42</f>
        <v>1067561</v>
      </c>
      <c r="C727" s="2" t="s">
        <v>573</v>
      </c>
      <c r="D727" s="2" t="str">
        <f t="shared" si="10"/>
        <v>Error?</v>
      </c>
    </row>
    <row r="728" spans="1:4" x14ac:dyDescent="0.2">
      <c r="A728" s="5">
        <v>667</v>
      </c>
      <c r="B728" s="138">
        <f>'Expenditures 15-22'!C44</f>
        <v>213065</v>
      </c>
      <c r="D728" s="2" t="str">
        <f t="shared" si="10"/>
        <v>Error?</v>
      </c>
    </row>
    <row r="729" spans="1:4" x14ac:dyDescent="0.2">
      <c r="A729" s="5">
        <v>668</v>
      </c>
      <c r="B729" s="138">
        <f>'Expenditures 15-22'!C45</f>
        <v>370905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583970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234662</v>
      </c>
      <c r="D733" s="2" t="str">
        <f t="shared" si="10"/>
        <v>Error?</v>
      </c>
    </row>
    <row r="734" spans="1:4" x14ac:dyDescent="0.2">
      <c r="A734" s="5">
        <v>673</v>
      </c>
      <c r="B734" s="138">
        <f>'Expenditures 15-22'!C53</f>
        <v>234662</v>
      </c>
      <c r="C734" s="2" t="s">
        <v>573</v>
      </c>
      <c r="D734" s="2" t="str">
        <f t="shared" si="10"/>
        <v>Error?</v>
      </c>
    </row>
    <row r="735" spans="1:4" x14ac:dyDescent="0.2">
      <c r="A735" s="5">
        <v>674</v>
      </c>
      <c r="B735" s="138">
        <f>'Expenditures 15-22'!C55</f>
        <v>859001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859001</v>
      </c>
      <c r="C737" s="2" t="s">
        <v>573</v>
      </c>
      <c r="D737" s="2" t="str">
        <f t="shared" si="10"/>
        <v>Error?</v>
      </c>
    </row>
    <row r="738" spans="1:4" x14ac:dyDescent="0.2">
      <c r="A738" s="5">
        <v>677</v>
      </c>
      <c r="B738" s="138">
        <f>'Expenditures 15-22'!C59</f>
        <v>75000</v>
      </c>
      <c r="D738" s="2" t="str">
        <f t="shared" si="10"/>
        <v>Error?</v>
      </c>
    </row>
    <row r="739" spans="1:4" x14ac:dyDescent="0.2">
      <c r="A739" s="5">
        <v>678</v>
      </c>
      <c r="B739" s="138">
        <f>'Expenditures 15-22'!C60</f>
        <v>107520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349503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532023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3277217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14877082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1991149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64048</v>
      </c>
      <c r="D775" s="2" t="str">
        <f t="shared" si="11"/>
        <v>Error?</v>
      </c>
    </row>
    <row r="776" spans="1:4" x14ac:dyDescent="0.2">
      <c r="A776" s="5">
        <v>715</v>
      </c>
      <c r="B776" s="138">
        <f>'Expenditures 15-22'!D14</f>
        <v>126815</v>
      </c>
      <c r="D776" s="2" t="str">
        <f t="shared" si="11"/>
        <v>Error?</v>
      </c>
    </row>
    <row r="777" spans="1:4" x14ac:dyDescent="0.2">
      <c r="A777" s="5">
        <v>716</v>
      </c>
      <c r="B777" s="138">
        <f>'Expenditures 15-22'!D15</f>
        <v>6365</v>
      </c>
      <c r="D777" s="2" t="str">
        <f t="shared" si="11"/>
        <v>Error?</v>
      </c>
    </row>
    <row r="778" spans="1:4" x14ac:dyDescent="0.2">
      <c r="A778" s="5">
        <v>717</v>
      </c>
      <c r="B778" s="138">
        <f>'Expenditures 15-22'!D33</f>
        <v>2776771</v>
      </c>
      <c r="C778" s="2" t="s">
        <v>573</v>
      </c>
      <c r="D778" s="2" t="str">
        <f t="shared" si="11"/>
        <v>Error?</v>
      </c>
    </row>
    <row r="779" spans="1:4" x14ac:dyDescent="0.2">
      <c r="A779" s="5">
        <v>718</v>
      </c>
      <c r="B779" s="138">
        <f>'Expenditures 15-22'!D36</f>
        <v>69830</v>
      </c>
      <c r="D779" s="2" t="str">
        <f t="shared" si="11"/>
        <v>Error?</v>
      </c>
    </row>
    <row r="780" spans="1:4" x14ac:dyDescent="0.2">
      <c r="A780" s="5">
        <v>719</v>
      </c>
      <c r="B780" s="138">
        <f>'Expenditures 15-22'!D37</f>
        <v>60169</v>
      </c>
      <c r="D780" s="2" t="str">
        <f t="shared" si="11"/>
        <v>Error?</v>
      </c>
    </row>
    <row r="781" spans="1:4" x14ac:dyDescent="0.2">
      <c r="A781" s="5">
        <v>720</v>
      </c>
      <c r="B781" s="138">
        <f>'Expenditures 15-22'!D38</f>
        <v>22912</v>
      </c>
      <c r="D781" s="2" t="str">
        <f t="shared" si="11"/>
        <v>Error?</v>
      </c>
    </row>
    <row r="782" spans="1:4" x14ac:dyDescent="0.2">
      <c r="A782" s="5">
        <v>721</v>
      </c>
      <c r="B782" s="138">
        <f>'Expenditures 15-22'!D39</f>
        <v>30237</v>
      </c>
      <c r="D782" s="2" t="str">
        <f t="shared" si="11"/>
        <v>Error?</v>
      </c>
    </row>
    <row r="783" spans="1:4" x14ac:dyDescent="0.2">
      <c r="A783" s="5">
        <v>722</v>
      </c>
      <c r="B783" s="138">
        <f>'Expenditures 15-22'!D40</f>
        <v>35462</v>
      </c>
      <c r="D783" s="2" t="str">
        <f t="shared" si="11"/>
        <v>Error?</v>
      </c>
    </row>
    <row r="784" spans="1:4" x14ac:dyDescent="0.2">
      <c r="A784" s="5">
        <v>723</v>
      </c>
      <c r="B784" s="138">
        <f>'Expenditures 15-22'!D41</f>
        <v>22543</v>
      </c>
      <c r="D784" s="2" t="str">
        <f t="shared" si="11"/>
        <v>Error?</v>
      </c>
    </row>
    <row r="785" spans="1:4" x14ac:dyDescent="0.2">
      <c r="A785" s="5">
        <v>724</v>
      </c>
      <c r="B785" s="138">
        <f>'Expenditures 15-22'!D42</f>
        <v>241153</v>
      </c>
      <c r="C785" s="2" t="s">
        <v>573</v>
      </c>
      <c r="D785" s="2" t="str">
        <f t="shared" si="11"/>
        <v>Error?</v>
      </c>
    </row>
    <row r="786" spans="1:4" x14ac:dyDescent="0.2">
      <c r="A786" s="5">
        <v>725</v>
      </c>
      <c r="B786" s="138">
        <f>'Expenditures 15-22'!D44</f>
        <v>59918</v>
      </c>
      <c r="D786" s="2" t="str">
        <f t="shared" si="11"/>
        <v>Error?</v>
      </c>
    </row>
    <row r="787" spans="1:4" x14ac:dyDescent="0.2">
      <c r="A787" s="5">
        <v>726</v>
      </c>
      <c r="B787" s="138">
        <f>'Expenditures 15-22'!D45</f>
        <v>73065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132983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58311</v>
      </c>
      <c r="D791" s="2" t="str">
        <f t="shared" si="11"/>
        <v>Error?</v>
      </c>
    </row>
    <row r="792" spans="1:4" x14ac:dyDescent="0.2">
      <c r="A792" s="5">
        <v>731</v>
      </c>
      <c r="B792" s="138">
        <f>'Expenditures 15-22'!D53</f>
        <v>58311</v>
      </c>
      <c r="C792" s="2" t="s">
        <v>573</v>
      </c>
      <c r="D792" s="2" t="str">
        <f t="shared" si="11"/>
        <v>Error?</v>
      </c>
    </row>
    <row r="793" spans="1:4" x14ac:dyDescent="0.2">
      <c r="A793" s="5">
        <v>732</v>
      </c>
      <c r="B793" s="138">
        <f>'Expenditures 15-22'!D55</f>
        <v>256256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256256</v>
      </c>
      <c r="C795" s="2" t="s">
        <v>573</v>
      </c>
      <c r="D795" s="2" t="str">
        <f t="shared" si="11"/>
        <v>Error?</v>
      </c>
    </row>
    <row r="796" spans="1:4" x14ac:dyDescent="0.2">
      <c r="A796" s="5">
        <v>735</v>
      </c>
      <c r="B796" s="138">
        <f>'Expenditures 15-22'!D59</f>
        <v>22903</v>
      </c>
      <c r="D796" s="2" t="str">
        <f t="shared" si="11"/>
        <v>Error?</v>
      </c>
    </row>
    <row r="797" spans="1:4" x14ac:dyDescent="0.2">
      <c r="A797" s="5">
        <v>736</v>
      </c>
      <c r="B797" s="138">
        <f>'Expenditures 15-22'!D60</f>
        <v>20103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44189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87195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775898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3552669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72803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2263</v>
      </c>
      <c r="D833" s="2" t="str">
        <f t="shared" si="12"/>
        <v>Error?</v>
      </c>
    </row>
    <row r="834" spans="1:4" x14ac:dyDescent="0.2">
      <c r="A834" s="5">
        <v>773</v>
      </c>
      <c r="B834" s="138">
        <f>'Expenditures 15-22'!E14</f>
        <v>99212</v>
      </c>
      <c r="D834" s="2" t="str">
        <f t="shared" si="12"/>
        <v>Error?</v>
      </c>
    </row>
    <row r="835" spans="1:4" x14ac:dyDescent="0.2">
      <c r="A835" s="5">
        <v>774</v>
      </c>
      <c r="B835" s="138">
        <f>'Expenditures 15-22'!E15</f>
        <v>50</v>
      </c>
      <c r="D835" s="2" t="str">
        <f t="shared" si="12"/>
        <v>Error?</v>
      </c>
    </row>
    <row r="836" spans="1:4" x14ac:dyDescent="0.2">
      <c r="A836" s="5">
        <v>775</v>
      </c>
      <c r="B836" s="138">
        <f>'Expenditures 15-22'!E33</f>
        <v>233652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984</v>
      </c>
      <c r="D839" s="2" t="str">
        <f t="shared" si="12"/>
        <v>Error?</v>
      </c>
    </row>
    <row r="840" spans="1:4" x14ac:dyDescent="0.2">
      <c r="A840" s="5">
        <v>779</v>
      </c>
      <c r="B840" s="138">
        <f>'Expenditures 15-22'!E39</f>
        <v>156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81561</v>
      </c>
      <c r="D842" s="2" t="str">
        <f t="shared" si="12"/>
        <v>Error?</v>
      </c>
    </row>
    <row r="843" spans="1:4" x14ac:dyDescent="0.2">
      <c r="A843" s="5">
        <v>782</v>
      </c>
      <c r="B843" s="138">
        <f>'Expenditures 15-22'!E42</f>
        <v>82701</v>
      </c>
      <c r="C843" s="2" t="s">
        <v>573</v>
      </c>
      <c r="D843" s="2" t="str">
        <f t="shared" si="12"/>
        <v>Error?</v>
      </c>
    </row>
    <row r="844" spans="1:4" x14ac:dyDescent="0.2">
      <c r="A844" s="5">
        <v>783</v>
      </c>
      <c r="B844" s="138">
        <f>'Expenditures 15-22'!E44</f>
        <v>108671</v>
      </c>
      <c r="D844" s="2" t="str">
        <f t="shared" si="12"/>
        <v>Error?</v>
      </c>
    </row>
    <row r="845" spans="1:4" x14ac:dyDescent="0.2">
      <c r="A845" s="5">
        <v>784</v>
      </c>
      <c r="B845" s="138">
        <f>'Expenditures 15-22'!E45</f>
        <v>481018</v>
      </c>
      <c r="D845" s="2" t="str">
        <f t="shared" si="12"/>
        <v>Error?</v>
      </c>
    </row>
    <row r="846" spans="1:4" x14ac:dyDescent="0.2">
      <c r="A846" s="5">
        <v>785</v>
      </c>
      <c r="B846" s="138">
        <f>'Expenditures 15-22'!E46</f>
        <v>5739</v>
      </c>
      <c r="D846" s="2" t="str">
        <f t="shared" si="12"/>
        <v>Error?</v>
      </c>
    </row>
    <row r="847" spans="1:4" x14ac:dyDescent="0.2">
      <c r="A847" s="5">
        <v>786</v>
      </c>
      <c r="B847" s="138">
        <f>'Expenditures 15-22'!E47</f>
        <v>595428</v>
      </c>
      <c r="C847" s="2" t="s">
        <v>573</v>
      </c>
      <c r="D847" s="2" t="str">
        <f t="shared" si="12"/>
        <v>Error?</v>
      </c>
    </row>
    <row r="848" spans="1:4" x14ac:dyDescent="0.2">
      <c r="A848" s="5">
        <v>787</v>
      </c>
      <c r="B848" s="138">
        <f>'Expenditures 15-22'!E49</f>
        <v>349587</v>
      </c>
      <c r="D848" s="2" t="str">
        <f t="shared" si="12"/>
        <v>Error?</v>
      </c>
    </row>
    <row r="849" spans="1:4" x14ac:dyDescent="0.2">
      <c r="A849" s="5">
        <v>788</v>
      </c>
      <c r="B849" s="138">
        <f>'Expenditures 15-22'!E50</f>
        <v>5132</v>
      </c>
      <c r="D849" s="2" t="str">
        <f t="shared" si="12"/>
        <v>Error?</v>
      </c>
    </row>
    <row r="850" spans="1:4" x14ac:dyDescent="0.2">
      <c r="A850" s="5">
        <v>789</v>
      </c>
      <c r="B850" s="138">
        <f>'Expenditures 15-22'!E53</f>
        <v>354719</v>
      </c>
      <c r="C850" s="2" t="s">
        <v>573</v>
      </c>
      <c r="D850" s="2" t="str">
        <f t="shared" si="12"/>
        <v>Error?</v>
      </c>
    </row>
    <row r="851" spans="1:4" x14ac:dyDescent="0.2">
      <c r="A851" s="5">
        <v>790</v>
      </c>
      <c r="B851" s="138">
        <f>'Expenditures 15-22'!E55</f>
        <v>6535</v>
      </c>
      <c r="D851" s="2" t="str">
        <f t="shared" si="12"/>
        <v>Error?</v>
      </c>
    </row>
    <row r="852" spans="1:4" x14ac:dyDescent="0.2">
      <c r="A852" s="5">
        <v>791</v>
      </c>
      <c r="B852" s="138">
        <f>'Expenditures 15-22'!E56</f>
        <v>2560</v>
      </c>
      <c r="D852" s="2" t="str">
        <f t="shared" si="12"/>
        <v>Error?</v>
      </c>
    </row>
    <row r="853" spans="1:4" x14ac:dyDescent="0.2">
      <c r="A853" s="5">
        <v>792</v>
      </c>
      <c r="B853" s="138">
        <f>'Expenditures 15-22'!E57</f>
        <v>9095</v>
      </c>
      <c r="C853" s="2" t="s">
        <v>573</v>
      </c>
      <c r="D853" s="2" t="str">
        <f t="shared" si="12"/>
        <v>Error?</v>
      </c>
    </row>
    <row r="854" spans="1:4" x14ac:dyDescent="0.2">
      <c r="A854" s="5">
        <v>793</v>
      </c>
      <c r="B854" s="138">
        <f>'Expenditures 15-22'!E59</f>
        <v>4475</v>
      </c>
      <c r="D854" s="2" t="str">
        <f t="shared" si="12"/>
        <v>Error?</v>
      </c>
    </row>
    <row r="855" spans="1:4" x14ac:dyDescent="0.2">
      <c r="A855" s="5">
        <v>794</v>
      </c>
      <c r="B855" s="138">
        <f>'Expenditures 15-22'!E60</f>
        <v>4025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16464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24964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1419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1419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1068326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1370306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176209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15539</v>
      </c>
      <c r="D891" s="2" t="str">
        <f t="shared" si="12"/>
        <v>Error?</v>
      </c>
    </row>
    <row r="892" spans="1:4" x14ac:dyDescent="0.2">
      <c r="A892" s="5">
        <v>831</v>
      </c>
      <c r="B892" s="138">
        <f>'Expenditures 15-22'!F14</f>
        <v>66705</v>
      </c>
      <c r="D892" s="2" t="str">
        <f t="shared" si="12"/>
        <v>Error?</v>
      </c>
    </row>
    <row r="893" spans="1:4" x14ac:dyDescent="0.2">
      <c r="A893" s="5">
        <v>832</v>
      </c>
      <c r="B893" s="138">
        <f>'Expenditures 15-22'!F15</f>
        <v>7924</v>
      </c>
      <c r="D893" s="2" t="str">
        <f t="shared" si="12"/>
        <v>Error?</v>
      </c>
    </row>
    <row r="894" spans="1:4" x14ac:dyDescent="0.2">
      <c r="A894" s="5">
        <v>833</v>
      </c>
      <c r="B894" s="138">
        <f>'Expenditures 15-22'!F33</f>
        <v>418397</v>
      </c>
      <c r="C894" s="2" t="s">
        <v>573</v>
      </c>
      <c r="D894" s="2" t="str">
        <f t="shared" si="12"/>
        <v>Error?</v>
      </c>
    </row>
    <row r="895" spans="1:4" x14ac:dyDescent="0.2">
      <c r="A895" s="5">
        <v>834</v>
      </c>
      <c r="B895" s="138">
        <f>'Expenditures 15-22'!F36</f>
        <v>1629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2054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11266</v>
      </c>
      <c r="D900" s="2" t="str">
        <f t="shared" si="13"/>
        <v>Error?</v>
      </c>
    </row>
    <row r="901" spans="1:4" x14ac:dyDescent="0.2">
      <c r="A901" s="5">
        <v>840</v>
      </c>
      <c r="B901" s="138">
        <f>'Expenditures 15-22'!F42</f>
        <v>14949</v>
      </c>
      <c r="C901" s="2" t="s">
        <v>573</v>
      </c>
      <c r="D901" s="2" t="str">
        <f t="shared" si="13"/>
        <v>Error?</v>
      </c>
    </row>
    <row r="902" spans="1:4" x14ac:dyDescent="0.2">
      <c r="A902" s="5">
        <v>841</v>
      </c>
      <c r="B902" s="138">
        <f>'Expenditures 15-22'!F44</f>
        <v>990</v>
      </c>
      <c r="D902" s="2" t="str">
        <f t="shared" si="13"/>
        <v>Error?</v>
      </c>
    </row>
    <row r="903" spans="1:4" x14ac:dyDescent="0.2">
      <c r="A903" s="5">
        <v>842</v>
      </c>
      <c r="B903" s="138">
        <f>'Expenditures 15-22'!F45</f>
        <v>29390</v>
      </c>
      <c r="D903" s="2" t="str">
        <f t="shared" si="13"/>
        <v>Error?</v>
      </c>
    </row>
    <row r="904" spans="1:4" x14ac:dyDescent="0.2">
      <c r="A904" s="5">
        <v>843</v>
      </c>
      <c r="B904" s="138">
        <f>'Expenditures 15-22'!F46</f>
        <v>60590</v>
      </c>
      <c r="D904" s="2" t="str">
        <f t="shared" si="13"/>
        <v>Error?</v>
      </c>
    </row>
    <row r="905" spans="1:4" x14ac:dyDescent="0.2">
      <c r="A905" s="5">
        <v>844</v>
      </c>
      <c r="B905" s="138">
        <f>'Expenditures 15-22'!F47</f>
        <v>90970</v>
      </c>
      <c r="C905" s="2" t="s">
        <v>573</v>
      </c>
      <c r="D905" s="2" t="str">
        <f t="shared" si="13"/>
        <v>Error?</v>
      </c>
    </row>
    <row r="906" spans="1:4" x14ac:dyDescent="0.2">
      <c r="A906" s="5">
        <v>845</v>
      </c>
      <c r="B906" s="138">
        <f>'Expenditures 15-22'!F49</f>
        <v>8284</v>
      </c>
      <c r="D906" s="2" t="str">
        <f t="shared" si="13"/>
        <v>Error?</v>
      </c>
    </row>
    <row r="907" spans="1:4" x14ac:dyDescent="0.2">
      <c r="A907" s="5">
        <v>846</v>
      </c>
      <c r="B907" s="138">
        <f>'Expenditures 15-22'!F50</f>
        <v>1124</v>
      </c>
      <c r="D907" s="2" t="str">
        <f t="shared" si="13"/>
        <v>Error?</v>
      </c>
    </row>
    <row r="908" spans="1:4" x14ac:dyDescent="0.2">
      <c r="A908" s="5">
        <v>847</v>
      </c>
      <c r="B908" s="138">
        <f>'Expenditures 15-22'!F53</f>
        <v>9408</v>
      </c>
      <c r="C908" s="2" t="s">
        <v>573</v>
      </c>
      <c r="D908" s="2" t="str">
        <f t="shared" si="13"/>
        <v>Error?</v>
      </c>
    </row>
    <row r="909" spans="1:4" x14ac:dyDescent="0.2">
      <c r="A909" s="5">
        <v>848</v>
      </c>
      <c r="B909" s="138">
        <f>'Expenditures 15-22'!F55</f>
        <v>27079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27079</v>
      </c>
      <c r="C911" s="2" t="s">
        <v>573</v>
      </c>
      <c r="D911" s="2" t="str">
        <f t="shared" si="13"/>
        <v>Error?</v>
      </c>
    </row>
    <row r="912" spans="1:4" x14ac:dyDescent="0.2">
      <c r="A912" s="5">
        <v>851</v>
      </c>
      <c r="B912" s="138">
        <f>'Expenditures 15-22'!F59</f>
        <v>320</v>
      </c>
      <c r="D912" s="2" t="str">
        <f t="shared" si="13"/>
        <v>Error?</v>
      </c>
    </row>
    <row r="913" spans="1:4" x14ac:dyDescent="0.2">
      <c r="A913" s="5">
        <v>852</v>
      </c>
      <c r="B913" s="138">
        <f>'Expenditures 15-22'!F60</f>
        <v>23824</v>
      </c>
      <c r="D913" s="2" t="str">
        <f t="shared" si="13"/>
        <v>Error?</v>
      </c>
    </row>
    <row r="914" spans="1:4" x14ac:dyDescent="0.2">
      <c r="A914" s="5">
        <v>853</v>
      </c>
      <c r="B914" s="138">
        <f>'Expenditures 15-22'!F61</f>
        <v>3554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397546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425244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567650</v>
      </c>
      <c r="C929" s="2" t="s">
        <v>573</v>
      </c>
      <c r="D929" s="2" t="str">
        <f t="shared" si="13"/>
        <v>Error?</v>
      </c>
    </row>
    <row r="930" spans="1:4" x14ac:dyDescent="0.2">
      <c r="A930" s="5">
        <v>869</v>
      </c>
      <c r="B930" s="138">
        <f>'Expenditures 15-22'!F75</f>
        <v>137</v>
      </c>
      <c r="D930" s="2" t="str">
        <f t="shared" si="13"/>
        <v>Error?</v>
      </c>
    </row>
    <row r="931" spans="1:4" x14ac:dyDescent="0.2">
      <c r="A931" s="5">
        <v>870</v>
      </c>
      <c r="B931" s="138">
        <f>'Expenditures 15-22'!F114</f>
        <v>986184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42168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7020</v>
      </c>
      <c r="D949" s="2" t="str">
        <f t="shared" si="13"/>
        <v>Error?</v>
      </c>
    </row>
    <row r="950" spans="1:4" x14ac:dyDescent="0.2">
      <c r="A950" s="5">
        <v>889</v>
      </c>
      <c r="B950" s="138">
        <f>'Expenditures 15-22'!G14</f>
        <v>33171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150534</v>
      </c>
      <c r="C952" s="2" t="s">
        <v>573</v>
      </c>
      <c r="D952" s="2" t="str">
        <f t="shared" si="13"/>
        <v>Error?</v>
      </c>
    </row>
    <row r="953" spans="1:4" x14ac:dyDescent="0.2">
      <c r="A953" s="5">
        <v>892</v>
      </c>
      <c r="B953" s="138">
        <f>'Expenditures 15-22'!G36</f>
        <v>63</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63</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97151</v>
      </c>
      <c r="D961" s="2" t="str">
        <f t="shared" si="14"/>
        <v>Error?</v>
      </c>
    </row>
    <row r="962" spans="1:4" x14ac:dyDescent="0.2">
      <c r="A962" s="5">
        <v>901</v>
      </c>
      <c r="B962" s="138">
        <f>'Expenditures 15-22'!G46</f>
        <v>2412</v>
      </c>
      <c r="D962" s="2" t="str">
        <f t="shared" si="14"/>
        <v>Error?</v>
      </c>
    </row>
    <row r="963" spans="1:4" x14ac:dyDescent="0.2">
      <c r="A963" s="5">
        <v>902</v>
      </c>
      <c r="B963" s="138">
        <f>'Expenditures 15-22'!G47</f>
        <v>99563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2771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2771</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2904</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49429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52333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154730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305264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28758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357666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288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288</v>
      </c>
      <c r="C1021" s="2" t="s">
        <v>573</v>
      </c>
      <c r="D1021" s="2" t="str">
        <f t="shared" si="14"/>
        <v>Error?</v>
      </c>
    </row>
    <row r="1022" spans="1:4" x14ac:dyDescent="0.2">
      <c r="A1022" s="5">
        <v>961</v>
      </c>
      <c r="B1022" s="138">
        <f>'Expenditures 15-22'!H49</f>
        <v>24823</v>
      </c>
      <c r="D1022" s="2" t="str">
        <f t="shared" si="14"/>
        <v>Error?</v>
      </c>
    </row>
    <row r="1023" spans="1:4" x14ac:dyDescent="0.2">
      <c r="A1023" s="5">
        <v>962</v>
      </c>
      <c r="B1023" s="138">
        <f>'Expenditures 15-22'!H50</f>
        <v>1914</v>
      </c>
      <c r="D1023" s="2" t="str">
        <f t="shared" ref="D1023:D1086" si="15">IF(ISBLANK(B1023),"OK",IF(A1023-B1023=0,"OK","Error?"))</f>
        <v>Error?</v>
      </c>
    </row>
    <row r="1024" spans="1:4" x14ac:dyDescent="0.2">
      <c r="A1024" s="5">
        <v>963</v>
      </c>
      <c r="B1024" s="138">
        <f>'Expenditures 15-22'!H53</f>
        <v>26737</v>
      </c>
      <c r="C1024" s="2" t="s">
        <v>573</v>
      </c>
      <c r="D1024" s="2" t="str">
        <f t="shared" si="15"/>
        <v>Error?</v>
      </c>
    </row>
    <row r="1025" spans="1:4" x14ac:dyDescent="0.2">
      <c r="A1025" s="5">
        <v>964</v>
      </c>
      <c r="B1025" s="138">
        <f>'Expenditures 15-22'!H55</f>
        <v>1875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1875</v>
      </c>
      <c r="C1027" s="2" t="s">
        <v>573</v>
      </c>
      <c r="D1027" s="2" t="str">
        <f t="shared" si="15"/>
        <v>Error?</v>
      </c>
    </row>
    <row r="1028" spans="1:4" x14ac:dyDescent="0.2">
      <c r="A1028" s="5">
        <v>967</v>
      </c>
      <c r="B1028" s="138">
        <f>'Expenditures 15-22'!H59</f>
        <v>1296</v>
      </c>
      <c r="D1028" s="2" t="str">
        <f t="shared" si="15"/>
        <v>Error?</v>
      </c>
    </row>
    <row r="1029" spans="1:4" x14ac:dyDescent="0.2">
      <c r="A1029" s="5">
        <v>968</v>
      </c>
      <c r="B1029" s="138">
        <f>'Expenditures 15-22'!H60</f>
        <v>6068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7364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36264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402057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795987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10396801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416019</v>
      </c>
      <c r="C1105" s="2" t="s">
        <v>573</v>
      </c>
      <c r="D1105" s="2" t="str">
        <f t="shared" si="16"/>
        <v>Error?</v>
      </c>
    </row>
    <row r="1106" spans="1:4" x14ac:dyDescent="0.2">
      <c r="A1106" s="5">
        <v>1045</v>
      </c>
      <c r="B1106" s="138">
        <f>'Expenditures 15-22'!K14</f>
        <v>940711</v>
      </c>
      <c r="C1106" s="2" t="s">
        <v>573</v>
      </c>
      <c r="D1106" s="2" t="str">
        <f t="shared" si="16"/>
        <v>Error?</v>
      </c>
    </row>
    <row r="1107" spans="1:4" x14ac:dyDescent="0.2">
      <c r="A1107" s="5">
        <v>1046</v>
      </c>
      <c r="B1107" s="138">
        <f>'Expenditures 15-22'!K15</f>
        <v>59063</v>
      </c>
      <c r="C1107" s="2" t="s">
        <v>573</v>
      </c>
      <c r="D1107" s="2" t="str">
        <f t="shared" si="16"/>
        <v>Error?</v>
      </c>
    </row>
    <row r="1108" spans="1:4" x14ac:dyDescent="0.2">
      <c r="A1108" s="5">
        <v>1047</v>
      </c>
      <c r="B1108" s="138">
        <f>'Expenditures 15-22'!K33</f>
        <v>15536885</v>
      </c>
      <c r="C1108" s="2" t="s">
        <v>573</v>
      </c>
      <c r="D1108" s="2" t="str">
        <f t="shared" si="16"/>
        <v>Error?</v>
      </c>
    </row>
    <row r="1109" spans="1:4" x14ac:dyDescent="0.2">
      <c r="A1109" s="5">
        <v>1048</v>
      </c>
      <c r="B1109" s="138">
        <f>'Expenditures 15-22'!K36</f>
        <v>363461</v>
      </c>
      <c r="C1109" s="2" t="s">
        <v>573</v>
      </c>
      <c r="D1109" s="2" t="str">
        <f t="shared" si="16"/>
        <v>Error?</v>
      </c>
    </row>
    <row r="1110" spans="1:4" x14ac:dyDescent="0.2">
      <c r="A1110" s="5">
        <v>1049</v>
      </c>
      <c r="B1110" s="138">
        <f>'Expenditures 15-22'!K37</f>
        <v>260924</v>
      </c>
      <c r="C1110" s="2" t="s">
        <v>573</v>
      </c>
      <c r="D1110" s="2" t="str">
        <f t="shared" si="16"/>
        <v>Error?</v>
      </c>
    </row>
    <row r="1111" spans="1:4" x14ac:dyDescent="0.2">
      <c r="A1111" s="5">
        <v>1050</v>
      </c>
      <c r="B1111" s="138">
        <f>'Expenditures 15-22'!K38</f>
        <v>129328</v>
      </c>
      <c r="C1111" s="2" t="s">
        <v>573</v>
      </c>
      <c r="D1111" s="2" t="str">
        <f t="shared" si="16"/>
        <v>Error?</v>
      </c>
    </row>
    <row r="1112" spans="1:4" x14ac:dyDescent="0.2">
      <c r="A1112" s="5">
        <v>1051</v>
      </c>
      <c r="B1112" s="138">
        <f>'Expenditures 15-22'!K39</f>
        <v>164674</v>
      </c>
      <c r="C1112" s="2" t="s">
        <v>573</v>
      </c>
      <c r="D1112" s="2" t="str">
        <f t="shared" si="16"/>
        <v>Error?</v>
      </c>
    </row>
    <row r="1113" spans="1:4" x14ac:dyDescent="0.2">
      <c r="A1113" s="5">
        <v>1052</v>
      </c>
      <c r="B1113" s="138">
        <f>'Expenditures 15-22'!K40</f>
        <v>272743</v>
      </c>
      <c r="C1113" s="2" t="s">
        <v>573</v>
      </c>
      <c r="D1113" s="2" t="str">
        <f t="shared" si="16"/>
        <v>Error?</v>
      </c>
    </row>
    <row r="1114" spans="1:4" x14ac:dyDescent="0.2">
      <c r="A1114" s="5">
        <v>1053</v>
      </c>
      <c r="B1114" s="138">
        <f>'Expenditures 15-22'!K41</f>
        <v>215297</v>
      </c>
      <c r="C1114" s="2" t="s">
        <v>573</v>
      </c>
      <c r="D1114" s="2" t="str">
        <f t="shared" si="16"/>
        <v>Error?</v>
      </c>
    </row>
    <row r="1115" spans="1:4" x14ac:dyDescent="0.2">
      <c r="A1115" s="5">
        <v>1054</v>
      </c>
      <c r="B1115" s="138">
        <f>'Expenditures 15-22'!K42</f>
        <v>1406427</v>
      </c>
      <c r="C1115" s="2" t="s">
        <v>573</v>
      </c>
      <c r="D1115" s="2" t="str">
        <f t="shared" si="16"/>
        <v>Error?</v>
      </c>
    </row>
    <row r="1116" spans="1:4" x14ac:dyDescent="0.2">
      <c r="A1116" s="5">
        <v>1055</v>
      </c>
      <c r="B1116" s="138">
        <f>'Expenditures 15-22'!K44</f>
        <v>382932</v>
      </c>
      <c r="C1116" s="2" t="s">
        <v>573</v>
      </c>
      <c r="D1116" s="2" t="str">
        <f t="shared" si="16"/>
        <v>Error?</v>
      </c>
    </row>
    <row r="1117" spans="1:4" x14ac:dyDescent="0.2">
      <c r="A1117" s="5">
        <v>1056</v>
      </c>
      <c r="B1117" s="138">
        <f>'Expenditures 15-22'!K45</f>
        <v>1051529</v>
      </c>
      <c r="C1117" s="2" t="s">
        <v>573</v>
      </c>
      <c r="D1117" s="2" t="str">
        <f t="shared" si="16"/>
        <v>Error?</v>
      </c>
    </row>
    <row r="1118" spans="1:4" x14ac:dyDescent="0.2">
      <c r="A1118" s="5">
        <v>1057</v>
      </c>
      <c r="B1118" s="138">
        <f>'Expenditures 15-22'!K46</f>
        <v>68741</v>
      </c>
      <c r="C1118" s="2" t="s">
        <v>573</v>
      </c>
      <c r="D1118" s="2" t="str">
        <f t="shared" si="16"/>
        <v>Error?</v>
      </c>
    </row>
    <row r="1119" spans="1:4" x14ac:dyDescent="0.2">
      <c r="A1119" s="5">
        <v>1058</v>
      </c>
      <c r="B1119" s="138">
        <f>'Expenditures 15-22'!K47</f>
        <v>1503202</v>
      </c>
      <c r="C1119" s="2" t="s">
        <v>573</v>
      </c>
      <c r="D1119" s="2" t="str">
        <f t="shared" si="16"/>
        <v>Error?</v>
      </c>
    </row>
    <row r="1120" spans="1:4" x14ac:dyDescent="0.2">
      <c r="A1120" s="5">
        <v>1059</v>
      </c>
      <c r="B1120" s="138">
        <f>'Expenditures 15-22'!K49</f>
        <v>382694</v>
      </c>
      <c r="C1120" s="2" t="s">
        <v>573</v>
      </c>
      <c r="D1120" s="2" t="str">
        <f t="shared" si="16"/>
        <v>Error?</v>
      </c>
    </row>
    <row r="1121" spans="1:4" x14ac:dyDescent="0.2">
      <c r="A1121" s="5">
        <v>1060</v>
      </c>
      <c r="B1121" s="138">
        <f>'Expenditures 15-22'!K50</f>
        <v>301143</v>
      </c>
      <c r="C1121" s="2" t="s">
        <v>573</v>
      </c>
      <c r="D1121" s="2" t="str">
        <f t="shared" si="16"/>
        <v>Error?</v>
      </c>
    </row>
    <row r="1122" spans="1:4" x14ac:dyDescent="0.2">
      <c r="A1122" s="5">
        <v>1061</v>
      </c>
      <c r="B1122" s="138">
        <f>'Expenditures 15-22'!K53</f>
        <v>683837</v>
      </c>
      <c r="C1122" s="2" t="s">
        <v>573</v>
      </c>
      <c r="D1122" s="2" t="str">
        <f t="shared" si="16"/>
        <v>Error?</v>
      </c>
    </row>
    <row r="1123" spans="1:4" x14ac:dyDescent="0.2">
      <c r="A1123" s="5">
        <v>1062</v>
      </c>
      <c r="B1123" s="138">
        <f>'Expenditures 15-22'!K55</f>
        <v>1153517</v>
      </c>
      <c r="C1123" s="2" t="s">
        <v>573</v>
      </c>
      <c r="D1123" s="2" t="str">
        <f t="shared" si="16"/>
        <v>Error?</v>
      </c>
    </row>
    <row r="1124" spans="1:4" x14ac:dyDescent="0.2">
      <c r="A1124" s="5">
        <v>1063</v>
      </c>
      <c r="B1124" s="138">
        <f>'Expenditures 15-22'!K56</f>
        <v>2560</v>
      </c>
      <c r="C1124" s="2" t="s">
        <v>573</v>
      </c>
      <c r="D1124" s="2" t="str">
        <f t="shared" si="16"/>
        <v>Error?</v>
      </c>
    </row>
    <row r="1125" spans="1:4" x14ac:dyDescent="0.2">
      <c r="A1125" s="5">
        <v>1064</v>
      </c>
      <c r="B1125" s="138">
        <f>'Expenditures 15-22'!K57</f>
        <v>1156077</v>
      </c>
      <c r="C1125" s="2" t="s">
        <v>573</v>
      </c>
      <c r="D1125" s="2" t="str">
        <f t="shared" si="16"/>
        <v>Error?</v>
      </c>
    </row>
    <row r="1126" spans="1:4" x14ac:dyDescent="0.2">
      <c r="A1126" s="5">
        <v>1065</v>
      </c>
      <c r="B1126" s="138">
        <f>'Expenditures 15-22'!K59</f>
        <v>103994</v>
      </c>
      <c r="C1126" s="2" t="s">
        <v>573</v>
      </c>
      <c r="D1126" s="2" t="str">
        <f t="shared" si="16"/>
        <v>Error?</v>
      </c>
    </row>
    <row r="1127" spans="1:4" x14ac:dyDescent="0.2">
      <c r="A1127" s="5">
        <v>1066</v>
      </c>
      <c r="B1127" s="138">
        <f>'Expenditures 15-22'!K60</f>
        <v>164444</v>
      </c>
      <c r="C1127" s="2" t="s">
        <v>573</v>
      </c>
      <c r="D1127" s="2" t="str">
        <f t="shared" si="16"/>
        <v>Error?</v>
      </c>
    </row>
    <row r="1128" spans="1:4" x14ac:dyDescent="0.2">
      <c r="A1128" s="5">
        <v>1067</v>
      </c>
      <c r="B1128" s="138">
        <f>'Expenditures 15-22'!K61</f>
        <v>3554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857131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1129123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1419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1419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5880085</v>
      </c>
      <c r="C1143" s="2" t="s">
        <v>573</v>
      </c>
      <c r="D1143" s="2" t="str">
        <f t="shared" si="16"/>
        <v>Error?</v>
      </c>
    </row>
    <row r="1144" spans="1:4" x14ac:dyDescent="0.2">
      <c r="A1144" s="5">
        <v>1083</v>
      </c>
      <c r="B1144" s="138">
        <f>'Expenditures 15-22'!K75</f>
        <v>137</v>
      </c>
      <c r="C1144" s="2" t="s">
        <v>573</v>
      </c>
      <c r="D1144" s="2" t="str">
        <f t="shared" si="16"/>
        <v>Error?</v>
      </c>
    </row>
    <row r="1145" spans="1:4" x14ac:dyDescent="0.2">
      <c r="A1145" s="5">
        <v>1084</v>
      </c>
      <c r="B1145" s="138">
        <f>'Expenditures 15-22'!K102</f>
        <v>470385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21887492</v>
      </c>
      <c r="C1152" s="2" t="s">
        <v>573</v>
      </c>
      <c r="D1152" s="2" t="str">
        <f t="shared" si="17"/>
        <v>Error?</v>
      </c>
    </row>
    <row r="1153" spans="1:4" x14ac:dyDescent="0.2">
      <c r="A1153" s="5">
        <v>1092</v>
      </c>
      <c r="B1153" s="138">
        <f>'Expenditures 15-22'!K115</f>
        <v>221499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1117598</v>
      </c>
      <c r="D1221" s="2" t="str">
        <f t="shared" si="18"/>
        <v>Error?</v>
      </c>
    </row>
    <row r="1222" spans="1:4" x14ac:dyDescent="0.2">
      <c r="A1222" s="10">
        <v>1161</v>
      </c>
      <c r="D1222" s="2" t="str">
        <f t="shared" si="18"/>
        <v>OK</v>
      </c>
    </row>
    <row r="1223" spans="1:4" x14ac:dyDescent="0.2">
      <c r="A1223" s="5">
        <v>1162</v>
      </c>
      <c r="B1223" s="138">
        <f>'Expenditures 15-22'!C127</f>
        <v>1117598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1117598</v>
      </c>
      <c r="C1225" s="2" t="s">
        <v>573</v>
      </c>
      <c r="D1225" s="2" t="str">
        <f t="shared" si="18"/>
        <v>Error?</v>
      </c>
    </row>
    <row r="1226" spans="1:4" x14ac:dyDescent="0.2">
      <c r="A1226" s="5">
        <v>1165</v>
      </c>
      <c r="B1226" s="138">
        <f>'Expenditures 15-22'!C151</f>
        <v>1117598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233324</v>
      </c>
      <c r="D1229" s="2" t="str">
        <f t="shared" si="18"/>
        <v>Error?</v>
      </c>
    </row>
    <row r="1230" spans="1:4" x14ac:dyDescent="0.2">
      <c r="A1230" s="10">
        <v>1169</v>
      </c>
      <c r="D1230" s="2" t="str">
        <f t="shared" si="18"/>
        <v>OK</v>
      </c>
    </row>
    <row r="1231" spans="1:4" x14ac:dyDescent="0.2">
      <c r="A1231" s="5">
        <v>1170</v>
      </c>
      <c r="B1231" s="138">
        <f>'Expenditures 15-22'!D127</f>
        <v>233324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233324</v>
      </c>
      <c r="C1233" s="2" t="s">
        <v>573</v>
      </c>
      <c r="D1233" s="2" t="str">
        <f t="shared" si="18"/>
        <v>Error?</v>
      </c>
    </row>
    <row r="1234" spans="1:4" x14ac:dyDescent="0.2">
      <c r="A1234" s="5">
        <v>1173</v>
      </c>
      <c r="B1234" s="138">
        <f>'Expenditures 15-22'!D151</f>
        <v>233324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78744</v>
      </c>
      <c r="D1236" s="2" t="str">
        <f t="shared" si="18"/>
        <v>Error?</v>
      </c>
    </row>
    <row r="1237" spans="1:4" x14ac:dyDescent="0.2">
      <c r="A1237" s="5">
        <v>1176</v>
      </c>
      <c r="B1237" s="138">
        <f>'Expenditures 15-22'!E124</f>
        <v>395949</v>
      </c>
      <c r="D1237" s="2" t="str">
        <f t="shared" si="18"/>
        <v>Error?</v>
      </c>
    </row>
    <row r="1238" spans="1:4" x14ac:dyDescent="0.2">
      <c r="A1238" s="10">
        <v>1177</v>
      </c>
      <c r="D1238" s="2" t="str">
        <f t="shared" si="18"/>
        <v>OK</v>
      </c>
    </row>
    <row r="1239" spans="1:4" x14ac:dyDescent="0.2">
      <c r="A1239" s="5">
        <v>1178</v>
      </c>
      <c r="B1239" s="138">
        <f>'Expenditures 15-22'!E127</f>
        <v>474693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474693</v>
      </c>
      <c r="C1241" s="2" t="s">
        <v>573</v>
      </c>
      <c r="D1241" s="2" t="str">
        <f t="shared" si="18"/>
        <v>Error?</v>
      </c>
    </row>
    <row r="1242" spans="1:4" x14ac:dyDescent="0.2">
      <c r="A1242" s="5">
        <v>1181</v>
      </c>
      <c r="B1242" s="138">
        <f>'Expenditures 15-22'!E151</f>
        <v>663297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906854</v>
      </c>
      <c r="D1245" s="2" t="str">
        <f t="shared" si="18"/>
        <v>Error?</v>
      </c>
    </row>
    <row r="1246" spans="1:4" x14ac:dyDescent="0.2">
      <c r="A1246" s="10">
        <v>1185</v>
      </c>
      <c r="D1246" s="2" t="str">
        <f t="shared" si="18"/>
        <v>OK</v>
      </c>
    </row>
    <row r="1247" spans="1:4" x14ac:dyDescent="0.2">
      <c r="A1247" s="5">
        <v>1186</v>
      </c>
      <c r="B1247" s="138">
        <f>'Expenditures 15-22'!F127</f>
        <v>906854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906854</v>
      </c>
      <c r="C1249" s="2" t="s">
        <v>573</v>
      </c>
      <c r="D1249" s="2" t="str">
        <f t="shared" si="18"/>
        <v>Error?</v>
      </c>
    </row>
    <row r="1250" spans="1:4" x14ac:dyDescent="0.2">
      <c r="A1250" s="5">
        <v>1189</v>
      </c>
      <c r="B1250" s="138">
        <f>'Expenditures 15-22'!F151</f>
        <v>906854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178935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178935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178935</v>
      </c>
      <c r="C1258" s="2" t="s">
        <v>573</v>
      </c>
      <c r="D1258" s="2" t="str">
        <f t="shared" si="18"/>
        <v>Error?</v>
      </c>
    </row>
    <row r="1259" spans="1:4" x14ac:dyDescent="0.2">
      <c r="A1259" s="5">
        <v>1198</v>
      </c>
      <c r="B1259" s="138">
        <f>'Expenditures 15-22'!G151</f>
        <v>178935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v>
      </c>
      <c r="D1262" s="2" t="str">
        <f t="shared" si="18"/>
        <v>Error?</v>
      </c>
    </row>
    <row r="1263" spans="1:4" x14ac:dyDescent="0.2">
      <c r="A1263" s="10">
        <v>1202</v>
      </c>
      <c r="D1263" s="2" t="str">
        <f t="shared" si="18"/>
        <v>OK</v>
      </c>
    </row>
    <row r="1264" spans="1:4" x14ac:dyDescent="0.2">
      <c r="A1264" s="5">
        <v>1203</v>
      </c>
      <c r="B1264" s="138">
        <f>'Expenditures 15-22'!H127</f>
        <v>33</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33</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78744</v>
      </c>
      <c r="C1275" s="2" t="s">
        <v>573</v>
      </c>
      <c r="D1275" s="2" t="str">
        <f t="shared" si="18"/>
        <v>Error?</v>
      </c>
    </row>
    <row r="1276" spans="1:4" x14ac:dyDescent="0.2">
      <c r="A1276" s="5">
        <v>1215</v>
      </c>
      <c r="B1276" s="138">
        <f>'Expenditures 15-22'!K124</f>
        <v>2832693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2911437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2911437</v>
      </c>
      <c r="C1281" s="2" t="s">
        <v>573</v>
      </c>
      <c r="D1281" s="2" t="str">
        <f t="shared" si="19"/>
        <v>Error?</v>
      </c>
    </row>
    <row r="1282" spans="1:4" x14ac:dyDescent="0.2">
      <c r="A1282" s="5">
        <v>1221</v>
      </c>
      <c r="B1282" s="138">
        <f>'Expenditures 15-22'!K139</f>
        <v>188604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3100041</v>
      </c>
      <c r="C1288" s="2" t="s">
        <v>573</v>
      </c>
      <c r="D1288" s="2" t="str">
        <f t="shared" si="19"/>
        <v>Error?</v>
      </c>
    </row>
    <row r="1289" spans="1:4" x14ac:dyDescent="0.2">
      <c r="A1289" s="5">
        <v>1228</v>
      </c>
      <c r="B1289" s="138">
        <f>'Expenditures 15-22'!K152</f>
        <v>280162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1291130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2245000</v>
      </c>
      <c r="D1315" s="2" t="str">
        <f t="shared" si="19"/>
        <v>Error?</v>
      </c>
    </row>
    <row r="1316" spans="1:4" x14ac:dyDescent="0.2">
      <c r="A1316" s="5">
        <v>1255</v>
      </c>
      <c r="B1316" s="138">
        <f>'Expenditures 15-22'!H171</f>
        <v>1900</v>
      </c>
      <c r="D1316" s="2" t="str">
        <f t="shared" si="19"/>
        <v>Error?</v>
      </c>
    </row>
    <row r="1317" spans="1:4" x14ac:dyDescent="0.2">
      <c r="A1317" s="5">
        <v>1256</v>
      </c>
      <c r="B1317" s="138">
        <f>'Expenditures 15-22'!H172</f>
        <v>3538030</v>
      </c>
      <c r="C1317" s="2" t="s">
        <v>573</v>
      </c>
      <c r="D1317" s="2" t="str">
        <f t="shared" si="19"/>
        <v>Error?</v>
      </c>
    </row>
    <row r="1318" spans="1:4" x14ac:dyDescent="0.2">
      <c r="A1318" s="5">
        <v>1257</v>
      </c>
      <c r="B1318" s="138">
        <f>'Expenditures 15-22'!H174</f>
        <v>3538030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1291130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2245000</v>
      </c>
      <c r="C1329" s="2" t="s">
        <v>573</v>
      </c>
      <c r="D1329" s="2" t="str">
        <f t="shared" si="19"/>
        <v>Error?</v>
      </c>
    </row>
    <row r="1330" spans="1:4" x14ac:dyDescent="0.2">
      <c r="A1330" s="5">
        <v>1269</v>
      </c>
      <c r="B1330" s="138">
        <f>'Expenditures 15-22'!K171</f>
        <v>1900</v>
      </c>
      <c r="C1330" s="2" t="s">
        <v>573</v>
      </c>
      <c r="D1330" s="2" t="str">
        <f t="shared" si="19"/>
        <v>Error?</v>
      </c>
    </row>
    <row r="1331" spans="1:4" x14ac:dyDescent="0.2">
      <c r="A1331" s="5">
        <v>1270</v>
      </c>
      <c r="B1331" s="138">
        <f>'Expenditures 15-22'!K172</f>
        <v>3538030</v>
      </c>
      <c r="C1331" s="2" t="s">
        <v>573</v>
      </c>
      <c r="D1331" s="2" t="str">
        <f t="shared" si="19"/>
        <v>Error?</v>
      </c>
    </row>
    <row r="1332" spans="1:4" x14ac:dyDescent="0.2">
      <c r="A1332" s="5">
        <v>1271</v>
      </c>
      <c r="B1332" s="138">
        <f>'Expenditures 15-22'!K174</f>
        <v>3538030</v>
      </c>
      <c r="C1332" s="2" t="s">
        <v>573</v>
      </c>
      <c r="D1332" s="2" t="str">
        <f t="shared" si="19"/>
        <v>Error?</v>
      </c>
    </row>
    <row r="1333" spans="1:4" x14ac:dyDescent="0.2">
      <c r="A1333" s="5">
        <v>1272</v>
      </c>
      <c r="B1333" s="138">
        <f>'Expenditures 15-22'!K175</f>
        <v>-821</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2067929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2067929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2067929</v>
      </c>
      <c r="C1353" s="2" t="s">
        <v>573</v>
      </c>
      <c r="D1353" s="2" t="str">
        <f t="shared" si="20"/>
        <v>Error?</v>
      </c>
    </row>
    <row r="1354" spans="1:4" x14ac:dyDescent="0.2">
      <c r="A1354" s="5">
        <v>1293</v>
      </c>
      <c r="B1354" s="138">
        <f>'Expenditures 15-22'!F182</f>
        <v>2123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2123</v>
      </c>
      <c r="C1358" s="2" t="s">
        <v>573</v>
      </c>
      <c r="D1358" s="2" t="str">
        <f t="shared" si="20"/>
        <v>Error?</v>
      </c>
    </row>
    <row r="1359" spans="1:4" x14ac:dyDescent="0.2">
      <c r="A1359" s="5">
        <v>1298</v>
      </c>
      <c r="B1359" s="138">
        <f>'Expenditures 15-22'!F210</f>
        <v>2123</v>
      </c>
      <c r="C1359" s="2" t="s">
        <v>573</v>
      </c>
      <c r="D1359" s="2" t="str">
        <f t="shared" si="20"/>
        <v>Error?</v>
      </c>
    </row>
    <row r="1360" spans="1:4" x14ac:dyDescent="0.2">
      <c r="A1360" s="5">
        <v>1299</v>
      </c>
      <c r="B1360" s="138">
        <f>'Expenditures 15-22'!G182</f>
        <v>33179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33179</v>
      </c>
      <c r="C1364" s="2" t="s">
        <v>573</v>
      </c>
      <c r="D1364" s="2" t="str">
        <f t="shared" si="20"/>
        <v>Error?</v>
      </c>
    </row>
    <row r="1365" spans="1:4" x14ac:dyDescent="0.2">
      <c r="A1365" s="5">
        <v>1304</v>
      </c>
      <c r="B1365" s="138">
        <f>'Expenditures 15-22'!G210</f>
        <v>33179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2103231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2103231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2103231</v>
      </c>
      <c r="C1388" s="2" t="s">
        <v>573</v>
      </c>
      <c r="D1388" s="2" t="str">
        <f t="shared" si="20"/>
        <v>Error?</v>
      </c>
    </row>
    <row r="1389" spans="1:4" x14ac:dyDescent="0.2">
      <c r="A1389" s="5">
        <v>1328</v>
      </c>
      <c r="B1389" s="138">
        <f>'Expenditures 15-22'!K211</f>
        <v>135161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4639</v>
      </c>
      <c r="D1407" s="2" t="str">
        <f t="shared" ref="D1407:D1470" si="21">IF(ISBLANK(B1407),"OK",IF(A1407-B1407=0,"OK","Error?"))</f>
        <v>Error?</v>
      </c>
    </row>
    <row r="1408" spans="1:4" x14ac:dyDescent="0.2">
      <c r="A1408" s="5">
        <v>1347</v>
      </c>
      <c r="B1408" s="138">
        <f>'Expenditures 15-22'!D223</f>
        <v>14575</v>
      </c>
      <c r="D1408" s="2" t="str">
        <f t="shared" si="21"/>
        <v>Error?</v>
      </c>
    </row>
    <row r="1409" spans="1:4" x14ac:dyDescent="0.2">
      <c r="A1409" s="5">
        <v>1348</v>
      </c>
      <c r="B1409" s="138">
        <f>'Expenditures 15-22'!D224</f>
        <v>1403</v>
      </c>
      <c r="D1409" s="2" t="str">
        <f t="shared" si="21"/>
        <v>Error?</v>
      </c>
    </row>
    <row r="1410" spans="1:4" x14ac:dyDescent="0.2">
      <c r="A1410" s="5">
        <v>1349</v>
      </c>
      <c r="B1410" s="138">
        <f>'Expenditures 15-22'!D229</f>
        <v>300859</v>
      </c>
      <c r="C1410" s="2" t="s">
        <v>573</v>
      </c>
      <c r="D1410" s="2" t="str">
        <f t="shared" si="21"/>
        <v>Error?</v>
      </c>
    </row>
    <row r="1411" spans="1:4" x14ac:dyDescent="0.2">
      <c r="A1411" s="5">
        <v>1350</v>
      </c>
      <c r="B1411" s="138">
        <f>'Expenditures 15-22'!D232</f>
        <v>10658</v>
      </c>
      <c r="D1411" s="2" t="str">
        <f t="shared" si="21"/>
        <v>Error?</v>
      </c>
    </row>
    <row r="1412" spans="1:4" x14ac:dyDescent="0.2">
      <c r="A1412" s="5">
        <v>1351</v>
      </c>
      <c r="B1412" s="138">
        <f>'Expenditures 15-22'!D233</f>
        <v>2777</v>
      </c>
      <c r="D1412" s="2" t="str">
        <f t="shared" si="21"/>
        <v>Error?</v>
      </c>
    </row>
    <row r="1413" spans="1:4" x14ac:dyDescent="0.2">
      <c r="A1413" s="5">
        <v>1352</v>
      </c>
      <c r="B1413" s="138">
        <f>'Expenditures 15-22'!D234</f>
        <v>15711</v>
      </c>
      <c r="D1413" s="2" t="str">
        <f t="shared" si="21"/>
        <v>Error?</v>
      </c>
    </row>
    <row r="1414" spans="1:4" x14ac:dyDescent="0.2">
      <c r="A1414" s="5">
        <v>1353</v>
      </c>
      <c r="B1414" s="138">
        <f>'Expenditures 15-22'!D235</f>
        <v>1887</v>
      </c>
      <c r="D1414" s="2" t="str">
        <f t="shared" si="21"/>
        <v>Error?</v>
      </c>
    </row>
    <row r="1415" spans="1:4" x14ac:dyDescent="0.2">
      <c r="A1415" s="5">
        <v>1354</v>
      </c>
      <c r="B1415" s="138">
        <f>'Expenditures 15-22'!D236</f>
        <v>3422</v>
      </c>
      <c r="D1415" s="2" t="str">
        <f t="shared" si="21"/>
        <v>Error?</v>
      </c>
    </row>
    <row r="1416" spans="1:4" x14ac:dyDescent="0.2">
      <c r="A1416" s="5">
        <v>1355</v>
      </c>
      <c r="B1416" s="138">
        <f>'Expenditures 15-22'!D237</f>
        <v>1170</v>
      </c>
      <c r="D1416" s="2" t="str">
        <f t="shared" si="21"/>
        <v>Error?</v>
      </c>
    </row>
    <row r="1417" spans="1:4" x14ac:dyDescent="0.2">
      <c r="A1417" s="5">
        <v>1356</v>
      </c>
      <c r="B1417" s="138">
        <f>'Expenditures 15-22'!D238</f>
        <v>35625</v>
      </c>
      <c r="C1417" s="2" t="s">
        <v>573</v>
      </c>
      <c r="D1417" s="2" t="str">
        <f t="shared" si="21"/>
        <v>Error?</v>
      </c>
    </row>
    <row r="1418" spans="1:4" x14ac:dyDescent="0.2">
      <c r="A1418" s="5">
        <v>1357</v>
      </c>
      <c r="B1418" s="138">
        <f>'Expenditures 15-22'!D240</f>
        <v>9738</v>
      </c>
      <c r="D1418" s="2" t="str">
        <f t="shared" si="21"/>
        <v>Error?</v>
      </c>
    </row>
    <row r="1419" spans="1:4" x14ac:dyDescent="0.2">
      <c r="A1419" s="5">
        <v>1358</v>
      </c>
      <c r="B1419" s="138">
        <f>'Expenditures 15-22'!D241</f>
        <v>43970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53708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12452</v>
      </c>
      <c r="D1423" s="2" t="str">
        <f t="shared" si="21"/>
        <v>Error?</v>
      </c>
    </row>
    <row r="1424" spans="1:4" x14ac:dyDescent="0.2">
      <c r="A1424" s="5">
        <v>1363</v>
      </c>
      <c r="B1424" s="138">
        <f>'Expenditures 15-22'!D257</f>
        <v>12452</v>
      </c>
      <c r="C1424" s="2" t="s">
        <v>573</v>
      </c>
      <c r="D1424" s="2" t="str">
        <f t="shared" si="21"/>
        <v>Error?</v>
      </c>
    </row>
    <row r="1425" spans="1:4" x14ac:dyDescent="0.2">
      <c r="A1425" s="5">
        <v>1364</v>
      </c>
      <c r="B1425" s="138">
        <f>'Expenditures 15-22'!D259</f>
        <v>43588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43588</v>
      </c>
      <c r="C1427" s="2" t="s">
        <v>573</v>
      </c>
      <c r="D1427" s="2" t="str">
        <f t="shared" si="21"/>
        <v>Error?</v>
      </c>
    </row>
    <row r="1428" spans="1:4" x14ac:dyDescent="0.2">
      <c r="A1428" s="5">
        <v>1367</v>
      </c>
      <c r="B1428" s="138">
        <f>'Expenditures 15-22'!D263</f>
        <v>1087</v>
      </c>
      <c r="D1428" s="2" t="str">
        <f t="shared" si="21"/>
        <v>Error?</v>
      </c>
    </row>
    <row r="1429" spans="1:4" x14ac:dyDescent="0.2">
      <c r="A1429" s="5">
        <v>1368</v>
      </c>
      <c r="B1429" s="138">
        <f>'Expenditures 15-22'!D264</f>
        <v>18491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182536</v>
      </c>
      <c r="D1431" s="2" t="str">
        <f t="shared" si="21"/>
        <v>Error?</v>
      </c>
    </row>
    <row r="1432" spans="1:4" x14ac:dyDescent="0.2">
      <c r="A1432" s="5">
        <v>1371</v>
      </c>
      <c r="B1432" s="138">
        <f>'Expenditures 15-22'!D267</f>
        <v>20935</v>
      </c>
      <c r="D1432" s="2" t="str">
        <f t="shared" si="21"/>
        <v>Error?</v>
      </c>
    </row>
    <row r="1433" spans="1:4" x14ac:dyDescent="0.2">
      <c r="A1433" s="5">
        <v>1372</v>
      </c>
      <c r="B1433" s="138">
        <f>'Expenditures 15-22'!D268</f>
        <v>25820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248869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394242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695101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4639</v>
      </c>
      <c r="C1471" s="2" t="s">
        <v>573</v>
      </c>
      <c r="D1471" s="2" t="str">
        <f t="shared" ref="D1471:D1534" si="22">IF(ISBLANK(B1471),"OK",IF(A1471-B1471=0,"OK","Error?"))</f>
        <v>Error?</v>
      </c>
    </row>
    <row r="1472" spans="1:4" x14ac:dyDescent="0.2">
      <c r="A1472" s="5">
        <v>1411</v>
      </c>
      <c r="B1472" s="138">
        <f>'Expenditures 15-22'!K223</f>
        <v>14575</v>
      </c>
      <c r="C1472" s="2" t="s">
        <v>573</v>
      </c>
      <c r="D1472" s="2" t="str">
        <f t="shared" si="22"/>
        <v>Error?</v>
      </c>
    </row>
    <row r="1473" spans="1:4" x14ac:dyDescent="0.2">
      <c r="A1473" s="5">
        <v>1412</v>
      </c>
      <c r="B1473" s="138">
        <f>'Expenditures 15-22'!K224</f>
        <v>1403</v>
      </c>
      <c r="C1473" s="2" t="s">
        <v>573</v>
      </c>
      <c r="D1473" s="2" t="str">
        <f t="shared" si="22"/>
        <v>Error?</v>
      </c>
    </row>
    <row r="1474" spans="1:4" x14ac:dyDescent="0.2">
      <c r="A1474" s="5">
        <v>1413</v>
      </c>
      <c r="B1474" s="138">
        <f>'Expenditures 15-22'!K229</f>
        <v>300859</v>
      </c>
      <c r="C1474" s="2" t="s">
        <v>573</v>
      </c>
      <c r="D1474" s="2" t="str">
        <f t="shared" si="22"/>
        <v>Error?</v>
      </c>
    </row>
    <row r="1475" spans="1:4" x14ac:dyDescent="0.2">
      <c r="A1475" s="5">
        <v>1414</v>
      </c>
      <c r="B1475" s="138">
        <f>'Expenditures 15-22'!K232</f>
        <v>10658</v>
      </c>
      <c r="C1475" s="2" t="s">
        <v>573</v>
      </c>
      <c r="D1475" s="2" t="str">
        <f t="shared" si="22"/>
        <v>Error?</v>
      </c>
    </row>
    <row r="1476" spans="1:4" x14ac:dyDescent="0.2">
      <c r="A1476" s="5">
        <v>1415</v>
      </c>
      <c r="B1476" s="138">
        <f>'Expenditures 15-22'!K233</f>
        <v>2777</v>
      </c>
      <c r="C1476" s="2" t="s">
        <v>573</v>
      </c>
      <c r="D1476" s="2" t="str">
        <f t="shared" si="22"/>
        <v>Error?</v>
      </c>
    </row>
    <row r="1477" spans="1:4" x14ac:dyDescent="0.2">
      <c r="A1477" s="5">
        <v>1416</v>
      </c>
      <c r="B1477" s="138">
        <f>'Expenditures 15-22'!K234</f>
        <v>15711</v>
      </c>
      <c r="C1477" s="2" t="s">
        <v>573</v>
      </c>
      <c r="D1477" s="2" t="str">
        <f t="shared" si="22"/>
        <v>Error?</v>
      </c>
    </row>
    <row r="1478" spans="1:4" x14ac:dyDescent="0.2">
      <c r="A1478" s="5">
        <v>1417</v>
      </c>
      <c r="B1478" s="138">
        <f>'Expenditures 15-22'!K235</f>
        <v>1887</v>
      </c>
      <c r="C1478" s="2" t="s">
        <v>573</v>
      </c>
      <c r="D1478" s="2" t="str">
        <f t="shared" si="22"/>
        <v>Error?</v>
      </c>
    </row>
    <row r="1479" spans="1:4" x14ac:dyDescent="0.2">
      <c r="A1479" s="5">
        <v>1418</v>
      </c>
      <c r="B1479" s="138">
        <f>'Expenditures 15-22'!K236</f>
        <v>3422</v>
      </c>
      <c r="C1479" s="2" t="s">
        <v>573</v>
      </c>
      <c r="D1479" s="2" t="str">
        <f t="shared" si="22"/>
        <v>Error?</v>
      </c>
    </row>
    <row r="1480" spans="1:4" x14ac:dyDescent="0.2">
      <c r="A1480" s="5">
        <v>1419</v>
      </c>
      <c r="B1480" s="138">
        <f>'Expenditures 15-22'!K237</f>
        <v>1170</v>
      </c>
      <c r="C1480" s="2" t="s">
        <v>573</v>
      </c>
      <c r="D1480" s="2" t="str">
        <f t="shared" si="22"/>
        <v>Error?</v>
      </c>
    </row>
    <row r="1481" spans="1:4" x14ac:dyDescent="0.2">
      <c r="A1481" s="5">
        <v>1420</v>
      </c>
      <c r="B1481" s="138">
        <f>'Expenditures 15-22'!K238</f>
        <v>35625</v>
      </c>
      <c r="C1481" s="2" t="s">
        <v>573</v>
      </c>
      <c r="D1481" s="2" t="str">
        <f t="shared" si="22"/>
        <v>Error?</v>
      </c>
    </row>
    <row r="1482" spans="1:4" x14ac:dyDescent="0.2">
      <c r="A1482" s="5">
        <v>1421</v>
      </c>
      <c r="B1482" s="138">
        <f>'Expenditures 15-22'!K240</f>
        <v>9738</v>
      </c>
      <c r="C1482" s="2" t="s">
        <v>573</v>
      </c>
      <c r="D1482" s="2" t="str">
        <f t="shared" si="22"/>
        <v>Error?</v>
      </c>
    </row>
    <row r="1483" spans="1:4" x14ac:dyDescent="0.2">
      <c r="A1483" s="5">
        <v>1422</v>
      </c>
      <c r="B1483" s="138">
        <f>'Expenditures 15-22'!K241</f>
        <v>43970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53708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12452</v>
      </c>
      <c r="C1487" s="2" t="s">
        <v>573</v>
      </c>
      <c r="D1487" s="2" t="str">
        <f t="shared" si="22"/>
        <v>Error?</v>
      </c>
    </row>
    <row r="1488" spans="1:4" x14ac:dyDescent="0.2">
      <c r="A1488" s="5">
        <v>1427</v>
      </c>
      <c r="B1488" s="138">
        <f>'Expenditures 15-22'!K257</f>
        <v>12452</v>
      </c>
      <c r="C1488" s="2" t="s">
        <v>573</v>
      </c>
      <c r="D1488" s="2" t="str">
        <f t="shared" si="22"/>
        <v>Error?</v>
      </c>
    </row>
    <row r="1489" spans="1:4" x14ac:dyDescent="0.2">
      <c r="A1489" s="5">
        <v>1428</v>
      </c>
      <c r="B1489" s="138">
        <f>'Expenditures 15-22'!K259</f>
        <v>43588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43588</v>
      </c>
      <c r="C1491" s="2" t="s">
        <v>573</v>
      </c>
      <c r="D1491" s="2" t="str">
        <f t="shared" si="22"/>
        <v>Error?</v>
      </c>
    </row>
    <row r="1492" spans="1:4" x14ac:dyDescent="0.2">
      <c r="A1492" s="5">
        <v>1431</v>
      </c>
      <c r="B1492" s="138">
        <f>'Expenditures 15-22'!K263</f>
        <v>1087</v>
      </c>
      <c r="C1492" s="2" t="s">
        <v>573</v>
      </c>
      <c r="D1492" s="2" t="str">
        <f t="shared" si="22"/>
        <v>Error?</v>
      </c>
    </row>
    <row r="1493" spans="1:4" x14ac:dyDescent="0.2">
      <c r="A1493" s="5">
        <v>1432</v>
      </c>
      <c r="B1493" s="138">
        <f>'Expenditures 15-22'!K264</f>
        <v>18491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182536</v>
      </c>
      <c r="C1495" s="2" t="s">
        <v>573</v>
      </c>
      <c r="D1495" s="2" t="str">
        <f t="shared" si="22"/>
        <v>Error?</v>
      </c>
    </row>
    <row r="1496" spans="1:4" x14ac:dyDescent="0.2">
      <c r="A1496" s="5">
        <v>1435</v>
      </c>
      <c r="B1496" s="138">
        <f>'Expenditures 15-22'!K267</f>
        <v>20935</v>
      </c>
      <c r="C1496" s="2" t="s">
        <v>573</v>
      </c>
      <c r="D1496" s="2" t="str">
        <f t="shared" si="22"/>
        <v>Error?</v>
      </c>
    </row>
    <row r="1497" spans="1:4" x14ac:dyDescent="0.2">
      <c r="A1497" s="5">
        <v>1436</v>
      </c>
      <c r="B1497" s="138">
        <f>'Expenditures 15-22'!K268</f>
        <v>25820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248869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394242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695101</v>
      </c>
      <c r="C1517" s="2" t="s">
        <v>573</v>
      </c>
      <c r="D1517" s="2" t="str">
        <f t="shared" si="22"/>
        <v>Error?</v>
      </c>
    </row>
    <row r="1518" spans="1:4" x14ac:dyDescent="0.2">
      <c r="A1518" s="5">
        <v>1457</v>
      </c>
      <c r="B1518" s="138">
        <f>'Expenditures 15-22'!K296</f>
        <v>30274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69649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69649</v>
      </c>
      <c r="C1535" s="2" t="s">
        <v>573</v>
      </c>
      <c r="D1535" s="2" t="str">
        <f t="shared" ref="D1535:D1598" si="23">IF(ISBLANK(B1535),"OK",IF(A1535-B1535=0,"OK","Error?"))</f>
        <v>Error?</v>
      </c>
    </row>
    <row r="1536" spans="1:4" x14ac:dyDescent="0.2">
      <c r="A1536" s="5">
        <v>1475</v>
      </c>
      <c r="B1536" s="138">
        <f>'Expenditures 15-22'!E312</f>
        <v>69649</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329967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329967</v>
      </c>
      <c r="C1547" s="2" t="s">
        <v>573</v>
      </c>
      <c r="D1547" s="2" t="str">
        <f t="shared" si="23"/>
        <v>Error?</v>
      </c>
    </row>
    <row r="1548" spans="1:4" x14ac:dyDescent="0.2">
      <c r="A1548" s="5">
        <v>1487</v>
      </c>
      <c r="B1548" s="138">
        <f>'Expenditures 15-22'!G312</f>
        <v>329967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399616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399616</v>
      </c>
      <c r="C1559" s="2" t="s">
        <v>573</v>
      </c>
      <c r="D1559" s="2" t="str">
        <f t="shared" si="23"/>
        <v>Error?</v>
      </c>
    </row>
    <row r="1560" spans="1:4" x14ac:dyDescent="0.2">
      <c r="A1560" s="5">
        <v>1499</v>
      </c>
      <c r="B1560" s="138">
        <f>'Expenditures 15-22'!K312</f>
        <v>399616</v>
      </c>
      <c r="C1560" s="2" t="s">
        <v>573</v>
      </c>
      <c r="D1560" s="2" t="str">
        <f t="shared" si="23"/>
        <v>Error?</v>
      </c>
    </row>
    <row r="1561" spans="1:4" x14ac:dyDescent="0.2">
      <c r="A1561" s="5">
        <v>1500</v>
      </c>
      <c r="B1561" s="138">
        <f>'Expenditures 15-22'!K313</f>
        <v>-368169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12197025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12222866</v>
      </c>
      <c r="C1630" s="2" t="s">
        <v>573</v>
      </c>
      <c r="D1630" s="2" t="str">
        <f t="shared" si="24"/>
        <v>Error?</v>
      </c>
    </row>
    <row r="1631" spans="1:4" x14ac:dyDescent="0.2">
      <c r="A1631" s="5">
        <v>1570</v>
      </c>
      <c r="B1631" s="138">
        <f>'Acct Summary 7-8'!D79</f>
        <v>1209779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1490091</v>
      </c>
      <c r="C1644" s="2" t="s">
        <v>573</v>
      </c>
      <c r="D1644" s="2" t="str">
        <f t="shared" si="24"/>
        <v>Error?</v>
      </c>
    </row>
    <row r="1645" spans="1:4" x14ac:dyDescent="0.2">
      <c r="A1645" s="5">
        <v>1584</v>
      </c>
      <c r="B1645" s="138">
        <f>'Acct Summary 7-8'!E79</f>
        <v>89957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89136</v>
      </c>
      <c r="C1658" s="2" t="s">
        <v>573</v>
      </c>
      <c r="D1658" s="2" t="str">
        <f t="shared" si="24"/>
        <v>Error?</v>
      </c>
    </row>
    <row r="1659" spans="1:4" x14ac:dyDescent="0.2">
      <c r="A1659" s="5">
        <v>1598</v>
      </c>
      <c r="B1659" s="138">
        <f>'Acct Summary 7-8'!F79</f>
        <v>2244200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2379361</v>
      </c>
      <c r="C1672" s="2" t="s">
        <v>573</v>
      </c>
      <c r="D1672" s="2" t="str">
        <f t="shared" si="25"/>
        <v>Error?</v>
      </c>
    </row>
    <row r="1673" spans="1:4" x14ac:dyDescent="0.2">
      <c r="A1673" s="5">
        <v>1612</v>
      </c>
      <c r="B1673" s="138">
        <f>'Acct Summary 7-8'!G79</f>
        <v>208087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238361</v>
      </c>
      <c r="C1686" s="2" t="s">
        <v>573</v>
      </c>
      <c r="D1686" s="2" t="str">
        <f t="shared" si="25"/>
        <v>Error?</v>
      </c>
    </row>
    <row r="1687" spans="1:4" x14ac:dyDescent="0.2">
      <c r="A1687" s="5">
        <v>1626</v>
      </c>
      <c r="B1687" s="138">
        <f>'Acct Summary 7-8'!H79</f>
        <v>809214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636703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15617842</v>
      </c>
      <c r="C1744" s="2" t="s">
        <v>573</v>
      </c>
      <c r="D1744" s="2" t="str">
        <f t="shared" si="26"/>
        <v>Error?</v>
      </c>
    </row>
    <row r="1745" spans="1:5" x14ac:dyDescent="0.2">
      <c r="A1745" s="5">
        <v>1684</v>
      </c>
      <c r="B1745" s="138">
        <f>'Tax Sched 23'!B5</f>
        <v>3323064</v>
      </c>
      <c r="C1745" s="2" t="s">
        <v>573</v>
      </c>
      <c r="D1745" s="2" t="str">
        <f t="shared" si="26"/>
        <v>Error?</v>
      </c>
    </row>
    <row r="1746" spans="1:5" x14ac:dyDescent="0.2">
      <c r="A1746" s="5">
        <v>1685</v>
      </c>
      <c r="B1746" s="138">
        <f>'Tax Sched 23'!B6</f>
        <v>3537209</v>
      </c>
      <c r="C1746" s="2" t="s">
        <v>573</v>
      </c>
      <c r="D1746" s="2" t="str">
        <f t="shared" si="26"/>
        <v>Error?</v>
      </c>
    </row>
    <row r="1747" spans="1:5" x14ac:dyDescent="0.2">
      <c r="A1747" s="5">
        <v>1686</v>
      </c>
      <c r="B1747" s="138">
        <f>'Tax Sched 23'!B7</f>
        <v>1414067</v>
      </c>
      <c r="C1747" s="2" t="s">
        <v>573</v>
      </c>
      <c r="D1747" s="2" t="str">
        <f t="shared" si="26"/>
        <v>Error?</v>
      </c>
    </row>
    <row r="1748" spans="1:5" x14ac:dyDescent="0.2">
      <c r="A1748" s="5">
        <v>1687</v>
      </c>
      <c r="B1748" s="138">
        <f>'Tax Sched 23'!B8</f>
        <v>314264</v>
      </c>
      <c r="C1748" s="2" t="s">
        <v>573</v>
      </c>
      <c r="D1748" s="2" t="str">
        <f t="shared" si="26"/>
        <v>Error?</v>
      </c>
    </row>
    <row r="1749" spans="1:5" x14ac:dyDescent="0.2">
      <c r="A1749" s="5">
        <v>1688</v>
      </c>
      <c r="B1749" s="138">
        <f>'Tax Sched 23'!B10</f>
        <v>223969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223182</v>
      </c>
      <c r="C1752" s="2" t="s">
        <v>573</v>
      </c>
      <c r="D1752" s="2" t="str">
        <f t="shared" si="26"/>
        <v>Error?</v>
      </c>
    </row>
    <row r="1753" spans="1:5" x14ac:dyDescent="0.2">
      <c r="A1753" s="5">
        <v>1692</v>
      </c>
      <c r="B1753" s="138">
        <f>'Tax Sched 23'!B12</f>
        <v>39291</v>
      </c>
      <c r="C1753" s="2" t="s">
        <v>573</v>
      </c>
      <c r="D1753" s="2" t="str">
        <f t="shared" si="26"/>
        <v>Error?</v>
      </c>
    </row>
    <row r="1754" spans="1:5" x14ac:dyDescent="0.2">
      <c r="A1754" s="5">
        <v>1693</v>
      </c>
      <c r="B1754" s="138">
        <f>'Tax Sched 23'!B14</f>
        <v>312613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25594974</v>
      </c>
      <c r="C1759" s="2" t="s">
        <v>573</v>
      </c>
      <c r="D1759" s="2" t="str">
        <f t="shared" si="26"/>
        <v>Error?</v>
      </c>
    </row>
    <row r="1760" spans="1:5" x14ac:dyDescent="0.2">
      <c r="A1760" s="5">
        <v>1699</v>
      </c>
      <c r="B1760" s="138">
        <f>'Tax Sched 23'!D4</f>
        <v>15617842</v>
      </c>
      <c r="C1760" s="2" t="s">
        <v>573</v>
      </c>
      <c r="D1760" s="2" t="str">
        <f t="shared" si="26"/>
        <v>Error?</v>
      </c>
    </row>
    <row r="1761" spans="1:5" x14ac:dyDescent="0.2">
      <c r="A1761" s="5">
        <v>1700</v>
      </c>
      <c r="B1761" s="138">
        <f>'Tax Sched 23'!D5</f>
        <v>3323064</v>
      </c>
      <c r="C1761" s="2" t="s">
        <v>573</v>
      </c>
      <c r="D1761" s="2" t="str">
        <f t="shared" si="26"/>
        <v>Error?</v>
      </c>
    </row>
    <row r="1762" spans="1:5" s="8" customFormat="1" x14ac:dyDescent="0.2">
      <c r="A1762" s="5">
        <v>1701</v>
      </c>
      <c r="B1762" s="138">
        <f>'Tax Sched 23'!D6</f>
        <v>3537209</v>
      </c>
      <c r="C1762" s="2" t="s">
        <v>573</v>
      </c>
      <c r="D1762" s="2" t="str">
        <f t="shared" si="26"/>
        <v>Error?</v>
      </c>
      <c r="E1762" s="9"/>
    </row>
    <row r="1763" spans="1:5" x14ac:dyDescent="0.2">
      <c r="A1763" s="5">
        <v>1702</v>
      </c>
      <c r="B1763" s="138">
        <f>'Tax Sched 23'!D7</f>
        <v>1414067</v>
      </c>
      <c r="C1763" s="2" t="s">
        <v>573</v>
      </c>
      <c r="D1763" s="2" t="str">
        <f t="shared" si="26"/>
        <v>Error?</v>
      </c>
    </row>
    <row r="1764" spans="1:5" x14ac:dyDescent="0.2">
      <c r="A1764" s="5">
        <v>1703</v>
      </c>
      <c r="B1764" s="138">
        <f>'Tax Sched 23'!D8</f>
        <v>314264</v>
      </c>
      <c r="C1764" s="2" t="s">
        <v>573</v>
      </c>
      <c r="D1764" s="2" t="str">
        <f t="shared" si="26"/>
        <v>Error?</v>
      </c>
    </row>
    <row r="1765" spans="1:5" x14ac:dyDescent="0.2">
      <c r="A1765" s="5">
        <v>1704</v>
      </c>
      <c r="B1765" s="138">
        <f>'Tax Sched 23'!D10</f>
        <v>223969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223182</v>
      </c>
      <c r="C1768" s="2" t="s">
        <v>573</v>
      </c>
      <c r="D1768" s="2" t="str">
        <f t="shared" si="26"/>
        <v>Error?</v>
      </c>
    </row>
    <row r="1769" spans="1:5" x14ac:dyDescent="0.2">
      <c r="A1769" s="5">
        <v>1708</v>
      </c>
      <c r="B1769" s="138">
        <f>'Tax Sched 23'!D12</f>
        <v>39291</v>
      </c>
      <c r="C1769" s="2" t="s">
        <v>573</v>
      </c>
      <c r="D1769" s="2" t="str">
        <f t="shared" si="26"/>
        <v>Error?</v>
      </c>
    </row>
    <row r="1770" spans="1:5" x14ac:dyDescent="0.2">
      <c r="A1770" s="5">
        <v>1709</v>
      </c>
      <c r="B1770" s="138">
        <f>'Tax Sched 23'!D14</f>
        <v>312613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25594974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15762898</v>
      </c>
      <c r="C1792" s="2" t="s">
        <v>573</v>
      </c>
      <c r="D1792" s="2" t="str">
        <f t="shared" si="27"/>
        <v>Error?</v>
      </c>
    </row>
    <row r="1793" spans="1:4" x14ac:dyDescent="0.2">
      <c r="A1793" s="5">
        <v>1732</v>
      </c>
      <c r="B1793" s="138">
        <f>'Tax Sched 23'!F5</f>
        <v>3399049</v>
      </c>
      <c r="C1793" s="2" t="s">
        <v>573</v>
      </c>
      <c r="D1793" s="2" t="str">
        <f t="shared" si="27"/>
        <v>Error?</v>
      </c>
    </row>
    <row r="1794" spans="1:4" x14ac:dyDescent="0.2">
      <c r="A1794" s="5">
        <v>1733</v>
      </c>
      <c r="B1794" s="138">
        <f>'Tax Sched 23'!F6</f>
        <v>3496948</v>
      </c>
      <c r="C1794" s="2" t="s">
        <v>573</v>
      </c>
      <c r="D1794" s="2" t="str">
        <f t="shared" si="27"/>
        <v>Error?</v>
      </c>
    </row>
    <row r="1795" spans="1:4" x14ac:dyDescent="0.2">
      <c r="A1795" s="5">
        <v>1734</v>
      </c>
      <c r="B1795" s="138">
        <f>'Tax Sched 23'!F7</f>
        <v>1456702</v>
      </c>
      <c r="C1795" s="2" t="s">
        <v>573</v>
      </c>
      <c r="D1795" s="2" t="str">
        <f t="shared" si="27"/>
        <v>Error?</v>
      </c>
    </row>
    <row r="1796" spans="1:4" x14ac:dyDescent="0.2">
      <c r="A1796" s="5">
        <v>1735</v>
      </c>
      <c r="B1796" s="138">
        <f>'Tax Sched 23'!F8</f>
        <v>323685</v>
      </c>
      <c r="C1796" s="2" t="s">
        <v>573</v>
      </c>
      <c r="D1796" s="2" t="str">
        <f t="shared" si="27"/>
        <v>Error?</v>
      </c>
    </row>
    <row r="1797" spans="1:4" x14ac:dyDescent="0.2">
      <c r="A1797" s="5">
        <v>1736</v>
      </c>
      <c r="B1797" s="138">
        <f>'Tax Sched 23'!F10</f>
        <v>242823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242823</v>
      </c>
      <c r="C1800" s="2" t="s">
        <v>573</v>
      </c>
      <c r="D1800" s="2" t="str">
        <f t="shared" si="27"/>
        <v>Error?</v>
      </c>
    </row>
    <row r="1801" spans="1:4" x14ac:dyDescent="0.2">
      <c r="A1801" s="5">
        <v>1740</v>
      </c>
      <c r="B1801" s="138">
        <f>'Tax Sched 23'!F12</f>
        <v>40470</v>
      </c>
      <c r="C1801" s="2" t="s">
        <v>573</v>
      </c>
      <c r="D1801" s="2" t="str">
        <f t="shared" si="27"/>
        <v>Error?</v>
      </c>
    </row>
    <row r="1802" spans="1:4" x14ac:dyDescent="0.2">
      <c r="A1802" s="5">
        <v>1741</v>
      </c>
      <c r="B1802" s="138">
        <f>'Tax Sched 23'!F14</f>
        <v>319926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26049385</v>
      </c>
      <c r="C1807" s="2" t="s">
        <v>573</v>
      </c>
      <c r="D1807" s="2" t="str">
        <f t="shared" si="27"/>
        <v>Error?</v>
      </c>
    </row>
    <row r="1808" spans="1:4" x14ac:dyDescent="0.2">
      <c r="A1808" s="5">
        <v>1747</v>
      </c>
      <c r="B1808" s="138">
        <f>'Tax Sched 23'!E4</f>
        <v>15762898</v>
      </c>
      <c r="D1808" s="2" t="str">
        <f t="shared" si="27"/>
        <v>Error?</v>
      </c>
    </row>
    <row r="1809" spans="1:4" x14ac:dyDescent="0.2">
      <c r="A1809" s="5">
        <v>1748</v>
      </c>
      <c r="B1809" s="138">
        <f>'Tax Sched 23'!E5</f>
        <v>3399049</v>
      </c>
      <c r="D1809" s="2" t="str">
        <f t="shared" si="27"/>
        <v>Error?</v>
      </c>
    </row>
    <row r="1810" spans="1:4" x14ac:dyDescent="0.2">
      <c r="A1810" s="5">
        <v>1749</v>
      </c>
      <c r="B1810" s="138">
        <f>'Tax Sched 23'!E6</f>
        <v>3496948</v>
      </c>
      <c r="D1810" s="2" t="str">
        <f t="shared" si="27"/>
        <v>Error?</v>
      </c>
    </row>
    <row r="1811" spans="1:4" x14ac:dyDescent="0.2">
      <c r="A1811" s="5">
        <v>1750</v>
      </c>
      <c r="B1811" s="138">
        <f>'Tax Sched 23'!E7</f>
        <v>1456702</v>
      </c>
      <c r="D1811" s="2" t="str">
        <f t="shared" si="27"/>
        <v>Error?</v>
      </c>
    </row>
    <row r="1812" spans="1:4" x14ac:dyDescent="0.2">
      <c r="A1812" s="5">
        <v>1751</v>
      </c>
      <c r="B1812" s="138">
        <f>'Tax Sched 23'!E8</f>
        <v>323685</v>
      </c>
      <c r="D1812" s="2" t="str">
        <f t="shared" si="27"/>
        <v>Error?</v>
      </c>
    </row>
    <row r="1813" spans="1:4" x14ac:dyDescent="0.2">
      <c r="A1813" s="5">
        <v>1752</v>
      </c>
      <c r="B1813" s="138">
        <f>'Tax Sched 23'!E10</f>
        <v>242823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242823</v>
      </c>
      <c r="D1816" s="2" t="str">
        <f t="shared" si="27"/>
        <v>Error?</v>
      </c>
    </row>
    <row r="1817" spans="1:4" x14ac:dyDescent="0.2">
      <c r="A1817" s="5">
        <v>1756</v>
      </c>
      <c r="B1817" s="138">
        <f>'Tax Sched 23'!E12</f>
        <v>40470</v>
      </c>
      <c r="D1817" s="2" t="str">
        <f t="shared" si="27"/>
        <v>Error?</v>
      </c>
    </row>
    <row r="1818" spans="1:4" x14ac:dyDescent="0.2">
      <c r="A1818" s="5">
        <v>1757</v>
      </c>
      <c r="B1818" s="138">
        <f>'Tax Sched 23'!E14</f>
        <v>319926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26049385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34550000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312613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312613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312613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6186420</v>
      </c>
      <c r="D2008" s="2" t="str">
        <f t="shared" si="30"/>
        <v>Error?</v>
      </c>
    </row>
    <row r="2009" spans="1:4" x14ac:dyDescent="0.2">
      <c r="A2009" s="5">
        <v>1948</v>
      </c>
      <c r="B2009" s="138">
        <f>'Cap Outlay Deprec 26'!C8</f>
        <v>80090140</v>
      </c>
      <c r="D2009" s="2" t="str">
        <f t="shared" si="30"/>
        <v>Error?</v>
      </c>
    </row>
    <row r="2010" spans="1:4" x14ac:dyDescent="0.2">
      <c r="A2010" s="5">
        <v>1949</v>
      </c>
      <c r="B2010" s="138">
        <f>'Cap Outlay Deprec 26'!C10</f>
        <v>5863196</v>
      </c>
      <c r="D2010" s="2" t="str">
        <f t="shared" si="30"/>
        <v>Error?</v>
      </c>
    </row>
    <row r="2011" spans="1:4" x14ac:dyDescent="0.2">
      <c r="A2011" s="5">
        <v>1950</v>
      </c>
      <c r="B2011" s="138">
        <f>'Cap Outlay Deprec 26'!C12</f>
        <v>3920501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96060257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333305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155354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748248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43638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43638</v>
      </c>
      <c r="C2025" s="2" t="s">
        <v>573</v>
      </c>
      <c r="D2025" s="2" t="str">
        <f t="shared" si="30"/>
        <v>Error?</v>
      </c>
    </row>
    <row r="2026" spans="1:4" x14ac:dyDescent="0.2">
      <c r="A2026" s="5">
        <v>1965</v>
      </c>
      <c r="B2026" s="138">
        <f>'Cap Outlay Deprec 26'!F5</f>
        <v>6186420</v>
      </c>
      <c r="C2026" s="2" t="s">
        <v>573</v>
      </c>
      <c r="D2026" s="2" t="str">
        <f t="shared" si="30"/>
        <v>Error?</v>
      </c>
    </row>
    <row r="2027" spans="1:4" x14ac:dyDescent="0.2">
      <c r="A2027" s="5">
        <v>1966</v>
      </c>
      <c r="B2027" s="138">
        <f>'Cap Outlay Deprec 26'!F8</f>
        <v>80423445</v>
      </c>
      <c r="C2027" s="2" t="s">
        <v>573</v>
      </c>
      <c r="D2027" s="2" t="str">
        <f t="shared" si="30"/>
        <v>Error?</v>
      </c>
    </row>
    <row r="2028" spans="1:4" x14ac:dyDescent="0.2">
      <c r="A2028" s="5">
        <v>1967</v>
      </c>
      <c r="B2028" s="138">
        <f>'Cap Outlay Deprec 26'!F10</f>
        <v>5863196</v>
      </c>
      <c r="C2028" s="2" t="s">
        <v>573</v>
      </c>
      <c r="D2028" s="2" t="str">
        <f t="shared" si="30"/>
        <v>Error?</v>
      </c>
    </row>
    <row r="2029" spans="1:4" x14ac:dyDescent="0.2">
      <c r="A2029" s="5">
        <v>1968</v>
      </c>
      <c r="B2029" s="138">
        <f>'Cap Outlay Deprec 26'!F12</f>
        <v>4032217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96764867</v>
      </c>
      <c r="C2031" s="2" t="s">
        <v>573</v>
      </c>
      <c r="D2031" s="2" t="str">
        <f t="shared" si="30"/>
        <v>Error?</v>
      </c>
    </row>
    <row r="2032" spans="1:4" x14ac:dyDescent="0.2">
      <c r="A2032" s="10">
        <v>1971</v>
      </c>
      <c r="D2032" s="2" t="str">
        <f t="shared" si="30"/>
        <v>OK</v>
      </c>
    </row>
    <row r="2033" spans="1:4" x14ac:dyDescent="0.2">
      <c r="A2033" s="5">
        <v>1972</v>
      </c>
      <c r="B2033" s="138">
        <f>'Cap Outlay Deprec 26'!H8</f>
        <v>26701357</v>
      </c>
      <c r="D2033" s="2" t="str">
        <f t="shared" si="30"/>
        <v>Error?</v>
      </c>
    </row>
    <row r="2034" spans="1:4" x14ac:dyDescent="0.2">
      <c r="A2034" s="5">
        <v>1973</v>
      </c>
      <c r="B2034" s="138">
        <f>'Cap Outlay Deprec 26'!H10</f>
        <v>4337185</v>
      </c>
      <c r="D2034" s="2" t="str">
        <f t="shared" si="30"/>
        <v>Error?</v>
      </c>
    </row>
    <row r="2035" spans="1:4" x14ac:dyDescent="0.2">
      <c r="A2035" s="5">
        <v>1974</v>
      </c>
      <c r="B2035" s="138">
        <f>'Cap Outlay Deprec 26'!H12</f>
        <v>3361552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34400094</v>
      </c>
      <c r="C2037" s="2" t="s">
        <v>573</v>
      </c>
      <c r="D2037" s="2" t="str">
        <f t="shared" si="30"/>
        <v>Error?</v>
      </c>
    </row>
    <row r="2038" spans="1:4" x14ac:dyDescent="0.2">
      <c r="A2038" s="10">
        <v>1977</v>
      </c>
      <c r="D2038" s="2" t="str">
        <f t="shared" si="30"/>
        <v>OK</v>
      </c>
    </row>
    <row r="2039" spans="1:4" x14ac:dyDescent="0.2">
      <c r="A2039" s="5">
        <v>1978</v>
      </c>
      <c r="B2039" s="138">
        <f>'Cap Outlay Deprec 26'!I8</f>
        <v>2091763</v>
      </c>
      <c r="D2039" s="2" t="str">
        <f t="shared" si="30"/>
        <v>Error?</v>
      </c>
    </row>
    <row r="2040" spans="1:4" x14ac:dyDescent="0.2">
      <c r="A2040" s="5">
        <v>1979</v>
      </c>
      <c r="B2040" s="138">
        <f>'Cap Outlay Deprec 26'!I10</f>
        <v>266750</v>
      </c>
      <c r="D2040" s="2" t="str">
        <f t="shared" si="30"/>
        <v>Error?</v>
      </c>
    </row>
    <row r="2041" spans="1:4" x14ac:dyDescent="0.2">
      <c r="A2041" s="5">
        <v>1980</v>
      </c>
      <c r="B2041" s="138">
        <f>'Cap Outlay Deprec 26'!I12</f>
        <v>172896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2531409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43638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43638</v>
      </c>
      <c r="C2049" s="2" t="s">
        <v>573</v>
      </c>
      <c r="D2049" s="2" t="str">
        <f t="shared" si="31"/>
        <v>Error?</v>
      </c>
    </row>
    <row r="2050" spans="1:4" x14ac:dyDescent="0.2">
      <c r="A2050" s="10">
        <v>1989</v>
      </c>
      <c r="D2050" s="2" t="str">
        <f t="shared" si="31"/>
        <v>OK</v>
      </c>
    </row>
    <row r="2051" spans="1:4" x14ac:dyDescent="0.2">
      <c r="A2051" s="5">
        <v>1990</v>
      </c>
      <c r="B2051" s="138">
        <f>'Cap Outlay Deprec 26'!K8</f>
        <v>28793120</v>
      </c>
      <c r="C2051" s="2" t="s">
        <v>573</v>
      </c>
      <c r="D2051" s="2" t="str">
        <f t="shared" si="31"/>
        <v>Error?</v>
      </c>
    </row>
    <row r="2052" spans="1:4" x14ac:dyDescent="0.2">
      <c r="A2052" s="5">
        <v>1991</v>
      </c>
      <c r="B2052" s="138">
        <f>'Cap Outlay Deprec 26'!K10</f>
        <v>4603935</v>
      </c>
      <c r="C2052" s="2" t="s">
        <v>573</v>
      </c>
      <c r="D2052" s="2" t="str">
        <f t="shared" si="31"/>
        <v>Error?</v>
      </c>
    </row>
    <row r="2053" spans="1:4" x14ac:dyDescent="0.2">
      <c r="A2053" s="5">
        <v>1992</v>
      </c>
      <c r="B2053" s="138">
        <f>'Cap Outlay Deprec 26'!K12</f>
        <v>3490810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36887865</v>
      </c>
      <c r="C2055" s="2" t="s">
        <v>573</v>
      </c>
      <c r="D2055" s="2" t="str">
        <f t="shared" si="31"/>
        <v>Error?</v>
      </c>
    </row>
    <row r="2056" spans="1:4" x14ac:dyDescent="0.2">
      <c r="A2056" s="5">
        <v>1995</v>
      </c>
      <c r="B2056" s="138">
        <f>'Cap Outlay Deprec 26'!L5</f>
        <v>6186420</v>
      </c>
      <c r="C2056" s="2" t="s">
        <v>573</v>
      </c>
      <c r="D2056" s="2" t="str">
        <f t="shared" si="31"/>
        <v>Error?</v>
      </c>
    </row>
    <row r="2057" spans="1:4" x14ac:dyDescent="0.2">
      <c r="A2057" s="5">
        <v>1996</v>
      </c>
      <c r="B2057" s="138">
        <f>'Cap Outlay Deprec 26'!L8</f>
        <v>51630325</v>
      </c>
      <c r="C2057" s="2" t="s">
        <v>573</v>
      </c>
      <c r="D2057" s="2" t="str">
        <f t="shared" si="31"/>
        <v>Error?</v>
      </c>
    </row>
    <row r="2058" spans="1:4" x14ac:dyDescent="0.2">
      <c r="A2058" s="5">
        <v>1997</v>
      </c>
      <c r="B2058" s="138">
        <f>'Cap Outlay Deprec 26'!L10</f>
        <v>1259261</v>
      </c>
      <c r="C2058" s="2" t="s">
        <v>573</v>
      </c>
      <c r="D2058" s="2" t="str">
        <f t="shared" si="31"/>
        <v>Error?</v>
      </c>
    </row>
    <row r="2059" spans="1:4" x14ac:dyDescent="0.2">
      <c r="A2059" s="5">
        <v>1998</v>
      </c>
      <c r="B2059" s="138">
        <f>'Cap Outlay Deprec 26'!L12</f>
        <v>541407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59877002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68328</v>
      </c>
      <c r="C2088" s="2" t="s">
        <v>573</v>
      </c>
      <c r="D2088" s="2" t="str">
        <f t="shared" si="31"/>
        <v>Error?</v>
      </c>
    </row>
    <row r="2089" spans="1:4" x14ac:dyDescent="0.2">
      <c r="A2089" s="5">
        <v>2028</v>
      </c>
      <c r="B2089" s="138">
        <f>'Expenditures 15-22'!K92</f>
        <v>402057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188604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1318295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294661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89136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636703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19085206</v>
      </c>
      <c r="C2551" s="2" t="s">
        <v>573</v>
      </c>
      <c r="D2551" s="2" t="str">
        <f t="shared" si="38"/>
        <v>Error?</v>
      </c>
    </row>
    <row r="2552" spans="1:4" x14ac:dyDescent="0.2">
      <c r="A2552" s="10">
        <v>2491</v>
      </c>
      <c r="D2552" s="2" t="str">
        <f t="shared" si="38"/>
        <v>OK</v>
      </c>
    </row>
    <row r="2553" spans="1:4" x14ac:dyDescent="0.2">
      <c r="A2553" s="5">
        <v>2492</v>
      </c>
      <c r="B2553" s="138">
        <f>'Acct Summary 7-8'!C6</f>
        <v>1795267</v>
      </c>
      <c r="C2553" s="2" t="s">
        <v>573</v>
      </c>
      <c r="D2553" s="2" t="str">
        <f t="shared" si="38"/>
        <v>Error?</v>
      </c>
    </row>
    <row r="2554" spans="1:4" x14ac:dyDescent="0.2">
      <c r="A2554" s="5">
        <v>2493</v>
      </c>
      <c r="B2554" s="138">
        <f>'Acct Summary 7-8'!C7</f>
        <v>1206331</v>
      </c>
      <c r="C2554" s="2" t="s">
        <v>573</v>
      </c>
      <c r="D2554" s="2" t="str">
        <f t="shared" si="38"/>
        <v>Error?</v>
      </c>
    </row>
    <row r="2555" spans="1:4" x14ac:dyDescent="0.2">
      <c r="A2555" s="5">
        <v>2494</v>
      </c>
      <c r="B2555" s="138">
        <f>'Acct Summary 7-8'!C8</f>
        <v>22108991</v>
      </c>
      <c r="C2555" s="2" t="s">
        <v>573</v>
      </c>
      <c r="D2555" s="2" t="str">
        <f t="shared" si="38"/>
        <v>Error?</v>
      </c>
    </row>
    <row r="2556" spans="1:4" x14ac:dyDescent="0.2">
      <c r="A2556" s="5">
        <v>2495</v>
      </c>
      <c r="B2556" s="138">
        <f>'Acct Summary 7-8'!C12</f>
        <v>15536885</v>
      </c>
      <c r="C2556" s="2" t="s">
        <v>573</v>
      </c>
      <c r="D2556" s="2" t="str">
        <f t="shared" si="38"/>
        <v>Error?</v>
      </c>
    </row>
    <row r="2557" spans="1:4" x14ac:dyDescent="0.2">
      <c r="A2557" s="5">
        <v>2496</v>
      </c>
      <c r="B2557" s="138">
        <f>'Acct Summary 7-8'!C13</f>
        <v>5880085</v>
      </c>
      <c r="C2557" s="2" t="s">
        <v>573</v>
      </c>
      <c r="D2557" s="2" t="str">
        <f t="shared" si="38"/>
        <v>Error?</v>
      </c>
    </row>
    <row r="2558" spans="1:4" x14ac:dyDescent="0.2">
      <c r="A2558" s="5">
        <v>2497</v>
      </c>
      <c r="B2558" s="138">
        <f>'Acct Summary 7-8'!C14</f>
        <v>137</v>
      </c>
      <c r="C2558" s="2" t="s">
        <v>573</v>
      </c>
      <c r="D2558" s="2" t="str">
        <f t="shared" si="38"/>
        <v>Error?</v>
      </c>
    </row>
    <row r="2559" spans="1:4" x14ac:dyDescent="0.2">
      <c r="A2559" s="5">
        <v>2498</v>
      </c>
      <c r="B2559" s="138">
        <f>'Acct Summary 7-8'!C15</f>
        <v>470385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21887492</v>
      </c>
      <c r="C2561" s="2" t="s">
        <v>573</v>
      </c>
      <c r="D2561" s="2" t="str">
        <f t="shared" si="39"/>
        <v>Error?</v>
      </c>
    </row>
    <row r="2562" spans="1:4" x14ac:dyDescent="0.2">
      <c r="A2562" s="5">
        <v>2501</v>
      </c>
      <c r="B2562" s="138">
        <f>'Acct Summary 7-8'!C20</f>
        <v>221499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3380203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3380203</v>
      </c>
      <c r="C2568" s="2" t="s">
        <v>573</v>
      </c>
      <c r="D2568" s="2" t="str">
        <f t="shared" si="39"/>
        <v>Error?</v>
      </c>
    </row>
    <row r="2569" spans="1:4" x14ac:dyDescent="0.2">
      <c r="A2569" s="5">
        <v>2508</v>
      </c>
      <c r="B2569" s="138">
        <f>'Acct Summary 7-8'!D13</f>
        <v>2911437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188604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3100041</v>
      </c>
      <c r="C2573" s="2" t="s">
        <v>573</v>
      </c>
      <c r="D2573" s="2" t="str">
        <f t="shared" si="39"/>
        <v>Error?</v>
      </c>
    </row>
    <row r="2574" spans="1:4" x14ac:dyDescent="0.2">
      <c r="A2574" s="5">
        <v>2513</v>
      </c>
      <c r="B2574" s="138">
        <f>'Acct Summary 7-8'!D20</f>
        <v>280162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1421327</v>
      </c>
      <c r="C2591" s="2" t="s">
        <v>573</v>
      </c>
      <c r="D2591" s="2" t="str">
        <f t="shared" si="39"/>
        <v>Error?</v>
      </c>
    </row>
    <row r="2592" spans="1:4" x14ac:dyDescent="0.2">
      <c r="A2592" s="10">
        <v>2531</v>
      </c>
      <c r="D2592" s="2" t="str">
        <f t="shared" si="39"/>
        <v>OK</v>
      </c>
    </row>
    <row r="2593" spans="1:4" x14ac:dyDescent="0.2">
      <c r="A2593" s="5">
        <v>2532</v>
      </c>
      <c r="B2593" s="138">
        <f>'Acct Summary 7-8'!F6</f>
        <v>817065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2238392</v>
      </c>
      <c r="C2595" s="2" t="s">
        <v>573</v>
      </c>
      <c r="D2595" s="2" t="str">
        <f t="shared" si="39"/>
        <v>Error?</v>
      </c>
    </row>
    <row r="2596" spans="1:4" x14ac:dyDescent="0.2">
      <c r="A2596" s="5">
        <v>2535</v>
      </c>
      <c r="B2596" s="138">
        <f>'Acct Summary 7-8'!F13</f>
        <v>2103231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2103231</v>
      </c>
      <c r="C2600" s="2" t="s">
        <v>573</v>
      </c>
      <c r="D2600" s="2" t="str">
        <f t="shared" si="39"/>
        <v>Error?</v>
      </c>
    </row>
    <row r="2601" spans="1:4" x14ac:dyDescent="0.2">
      <c r="A2601" s="5">
        <v>2540</v>
      </c>
      <c r="B2601" s="138">
        <f>'Acct Summary 7-8'!F20</f>
        <v>135161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725375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725375</v>
      </c>
      <c r="C2606" s="2" t="s">
        <v>573</v>
      </c>
      <c r="D2606" s="2" t="str">
        <f t="shared" si="39"/>
        <v>Error?</v>
      </c>
    </row>
    <row r="2607" spans="1:4" x14ac:dyDescent="0.2">
      <c r="A2607" s="5">
        <v>2546</v>
      </c>
      <c r="B2607" s="138">
        <f>'Acct Summary 7-8'!G12</f>
        <v>300859</v>
      </c>
      <c r="C2607" s="2" t="s">
        <v>573</v>
      </c>
      <c r="D2607" s="2" t="str">
        <f t="shared" si="39"/>
        <v>Error?</v>
      </c>
    </row>
    <row r="2608" spans="1:4" x14ac:dyDescent="0.2">
      <c r="A2608" s="5">
        <v>2547</v>
      </c>
      <c r="B2608" s="138">
        <f>'Acct Summary 7-8'!G13</f>
        <v>394242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695101</v>
      </c>
      <c r="C2612" s="2" t="s">
        <v>573</v>
      </c>
      <c r="D2612" s="2" t="str">
        <f t="shared" si="39"/>
        <v>Error?</v>
      </c>
    </row>
    <row r="2613" spans="1:4" x14ac:dyDescent="0.2">
      <c r="A2613" s="5">
        <v>2552</v>
      </c>
      <c r="B2613" s="138">
        <f>'Acct Summary 7-8'!G20</f>
        <v>30274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3537209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3537209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3538030</v>
      </c>
      <c r="C2634" s="2" t="s">
        <v>573</v>
      </c>
      <c r="D2634" s="2" t="str">
        <f t="shared" si="40"/>
        <v>Error?</v>
      </c>
    </row>
    <row r="2635" spans="1:4" x14ac:dyDescent="0.2">
      <c r="A2635" s="5">
        <v>2574</v>
      </c>
      <c r="B2635" s="138">
        <f>'Acct Summary 7-8'!E17</f>
        <v>3538030</v>
      </c>
      <c r="C2635" s="2" t="s">
        <v>573</v>
      </c>
      <c r="D2635" s="2" t="str">
        <f t="shared" si="40"/>
        <v>Error?</v>
      </c>
    </row>
    <row r="2636" spans="1:4" x14ac:dyDescent="0.2">
      <c r="A2636" s="5">
        <v>2575</v>
      </c>
      <c r="B2636" s="138">
        <f>'Acct Summary 7-8'!E20</f>
        <v>-821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31447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31447</v>
      </c>
      <c r="C2658" s="2" t="s">
        <v>573</v>
      </c>
      <c r="D2658" s="2" t="str">
        <f t="shared" si="40"/>
        <v>Error?</v>
      </c>
    </row>
    <row r="2659" spans="1:4" x14ac:dyDescent="0.2">
      <c r="A2659" s="5">
        <v>2598</v>
      </c>
      <c r="B2659" s="138">
        <f>'Acct Summary 7-8'!H13</f>
        <v>399616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399616</v>
      </c>
      <c r="C2661" s="2" t="s">
        <v>573</v>
      </c>
      <c r="D2661" s="2" t="str">
        <f t="shared" si="40"/>
        <v>Error?</v>
      </c>
    </row>
    <row r="2662" spans="1:4" x14ac:dyDescent="0.2">
      <c r="A2662" s="5">
        <v>2601</v>
      </c>
      <c r="B2662" s="138">
        <f>'Acct Summary 7-8'!H20</f>
        <v>-368169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68328</v>
      </c>
      <c r="C2789" s="2" t="s">
        <v>573</v>
      </c>
      <c r="D2789" s="2" t="str">
        <f t="shared" si="42"/>
        <v>Error?</v>
      </c>
    </row>
    <row r="2790" spans="1:4" x14ac:dyDescent="0.2">
      <c r="A2790" s="5">
        <v>2729</v>
      </c>
      <c r="B2790" s="138">
        <f>'Expenditures 15-22'!E102</f>
        <v>68328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259589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1088200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1102970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812752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1102970</v>
      </c>
      <c r="D2912" s="2" t="str">
        <f t="shared" si="44"/>
        <v>Error?</v>
      </c>
    </row>
    <row r="2913" spans="1:4" x14ac:dyDescent="0.2">
      <c r="A2913" s="5">
        <v>2852</v>
      </c>
      <c r="B2913" s="138">
        <f>'Assets-Liab 5-6'!I41</f>
        <v>1102970</v>
      </c>
      <c r="C2913" s="2" t="s">
        <v>573</v>
      </c>
      <c r="D2913" s="2" t="str">
        <f t="shared" si="44"/>
        <v>Error?</v>
      </c>
    </row>
    <row r="2914" spans="1:4" x14ac:dyDescent="0.2">
      <c r="A2914" s="5">
        <v>2853</v>
      </c>
      <c r="B2914" s="138">
        <f>'Assets-Liab 5-6'!L33</f>
        <v>812752</v>
      </c>
      <c r="D2914" s="2" t="str">
        <f t="shared" si="44"/>
        <v>Error?</v>
      </c>
    </row>
    <row r="2915" spans="1:4" x14ac:dyDescent="0.2">
      <c r="A2915" s="10">
        <v>2854</v>
      </c>
      <c r="D2915" s="2" t="str">
        <f t="shared" si="44"/>
        <v>OK</v>
      </c>
    </row>
    <row r="2916" spans="1:4" x14ac:dyDescent="0.2">
      <c r="A2916" s="5">
        <v>2855</v>
      </c>
      <c r="B2916" s="138">
        <f>'Assets-Liab 5-6'!L34</f>
        <v>812752</v>
      </c>
      <c r="C2916" s="2" t="s">
        <v>573</v>
      </c>
      <c r="D2916" s="2" t="str">
        <f t="shared" si="44"/>
        <v>Error?</v>
      </c>
    </row>
    <row r="2917" spans="1:4" x14ac:dyDescent="0.2">
      <c r="A2917" s="5">
        <v>2856</v>
      </c>
      <c r="B2917" s="138">
        <f>'Assets-Liab 5-6'!L41</f>
        <v>812752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6737</v>
      </c>
      <c r="D2949" s="2" t="str">
        <f t="shared" si="45"/>
        <v>Error?</v>
      </c>
    </row>
    <row r="2950" spans="1:4" x14ac:dyDescent="0.2">
      <c r="A2950" s="5">
        <v>2889</v>
      </c>
      <c r="B2950" s="138">
        <f>'Expenditures 15-22'!E79</f>
        <v>61591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6737</v>
      </c>
      <c r="C2973" s="2" t="s">
        <v>573</v>
      </c>
      <c r="D2973" s="2" t="str">
        <f t="shared" si="45"/>
        <v>Error?</v>
      </c>
    </row>
    <row r="2974" spans="1:4" x14ac:dyDescent="0.2">
      <c r="A2974" s="5">
        <v>2913</v>
      </c>
      <c r="B2974" s="138">
        <f>'Expenditures 15-22'!K79</f>
        <v>61591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188604</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81916</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84295</v>
      </c>
      <c r="D3058" s="2" t="str">
        <f t="shared" si="46"/>
        <v>Error?</v>
      </c>
    </row>
    <row r="3059" spans="1:4" x14ac:dyDescent="0.2">
      <c r="A3059" s="5">
        <v>2998</v>
      </c>
      <c r="B3059" s="138">
        <f>'Expenditures 15-22'!G10</f>
        <v>54343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220554</v>
      </c>
      <c r="C3062" s="2" t="s">
        <v>573</v>
      </c>
      <c r="D3062" s="2" t="str">
        <f t="shared" si="46"/>
        <v>Error?</v>
      </c>
    </row>
    <row r="3063" spans="1:4" x14ac:dyDescent="0.2">
      <c r="A3063" s="10">
        <v>3002</v>
      </c>
      <c r="D3063" s="2" t="str">
        <f t="shared" si="46"/>
        <v>OK</v>
      </c>
    </row>
    <row r="3064" spans="1:4" x14ac:dyDescent="0.2">
      <c r="A3064" s="5">
        <v>3003</v>
      </c>
      <c r="B3064" s="138">
        <f>'Expenditures 15-22'!D219</f>
        <v>5967</v>
      </c>
      <c r="D3064" s="2" t="str">
        <f t="shared" si="46"/>
        <v>Error?</v>
      </c>
    </row>
    <row r="3065" spans="1:4" x14ac:dyDescent="0.2">
      <c r="A3065" s="5">
        <v>3004</v>
      </c>
      <c r="B3065" s="138">
        <f>'Expenditures 15-22'!K219</f>
        <v>5967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223969</v>
      </c>
      <c r="C3225" s="2" t="s">
        <v>573</v>
      </c>
      <c r="D3225" s="2" t="str">
        <f t="shared" si="49"/>
        <v>Error?</v>
      </c>
    </row>
    <row r="3226" spans="1:4" x14ac:dyDescent="0.2">
      <c r="A3226" s="5">
        <v>3165</v>
      </c>
      <c r="B3226" s="138">
        <f>'Acct Summary 7-8'!I8</f>
        <v>223969</v>
      </c>
      <c r="C3226" s="2" t="s">
        <v>573</v>
      </c>
      <c r="D3226" s="2" t="str">
        <f t="shared" si="49"/>
        <v>Error?</v>
      </c>
    </row>
    <row r="3227" spans="1:4" x14ac:dyDescent="0.2">
      <c r="A3227" s="5">
        <v>3166</v>
      </c>
      <c r="B3227" s="138">
        <f>'Acct Summary 7-8'!I20</f>
        <v>223969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195658</v>
      </c>
      <c r="C3231" s="2" t="s">
        <v>573</v>
      </c>
      <c r="D3231" s="2" t="str">
        <f t="shared" si="49"/>
        <v>Error?</v>
      </c>
    </row>
    <row r="3232" spans="1:4" x14ac:dyDescent="0.2">
      <c r="A3232" s="5">
        <v>3171</v>
      </c>
      <c r="B3232" s="138">
        <f>'Acct Summary 7-8'!C77</f>
        <v>-195658</v>
      </c>
      <c r="C3232" s="2" t="s">
        <v>573</v>
      </c>
      <c r="D3232" s="2" t="str">
        <f t="shared" si="49"/>
        <v>Error?</v>
      </c>
    </row>
    <row r="3233" spans="1:4" x14ac:dyDescent="0.2">
      <c r="A3233" s="5">
        <v>3172</v>
      </c>
      <c r="B3233" s="138">
        <f>'Acct Summary 7-8'!C78</f>
        <v>25841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150</v>
      </c>
      <c r="C3238" s="2" t="s">
        <v>573</v>
      </c>
      <c r="D3238" s="2" t="str">
        <f t="shared" si="49"/>
        <v>Error?</v>
      </c>
    </row>
    <row r="3239" spans="1:4" x14ac:dyDescent="0.2">
      <c r="A3239" s="5">
        <v>3178</v>
      </c>
      <c r="B3239" s="138">
        <f>'Acct Summary 7-8'!D78</f>
        <v>280312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135161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30274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195658</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195658</v>
      </c>
      <c r="C3299" s="2" t="s">
        <v>573</v>
      </c>
      <c r="D3299" s="2" t="str">
        <f t="shared" si="50"/>
        <v>Error?</v>
      </c>
    </row>
    <row r="3300" spans="1:4" x14ac:dyDescent="0.2">
      <c r="A3300" s="5">
        <v>3239</v>
      </c>
      <c r="B3300" s="138">
        <f>'Acct Summary 7-8'!H78</f>
        <v>-172511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223969</v>
      </c>
      <c r="C3320" s="2" t="s">
        <v>573</v>
      </c>
      <c r="D3320" s="2" t="str">
        <f t="shared" si="50"/>
        <v>Error?</v>
      </c>
    </row>
    <row r="3321" spans="1:4" x14ac:dyDescent="0.2">
      <c r="A3321" s="5">
        <v>3260</v>
      </c>
      <c r="B3321" s="138">
        <f>'Acct Summary 7-8'!I79</f>
        <v>879001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1102970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2016777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460071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59324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66644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12032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328908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2943756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94047</v>
      </c>
      <c r="D3387" s="2" t="str">
        <f t="shared" si="51"/>
        <v>Error?</v>
      </c>
    </row>
    <row r="3388" spans="1:4" x14ac:dyDescent="0.2">
      <c r="A3388" s="5">
        <v>3327</v>
      </c>
      <c r="B3388" s="138">
        <f>'Expenditures 15-22'!D217</f>
        <v>122270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94047</v>
      </c>
      <c r="C3390" s="2" t="s">
        <v>573</v>
      </c>
      <c r="D3390" s="2" t="str">
        <f t="shared" si="51"/>
        <v>Error?</v>
      </c>
    </row>
    <row r="3391" spans="1:4" x14ac:dyDescent="0.2">
      <c r="A3391" s="5">
        <v>3330</v>
      </c>
      <c r="B3391" s="138">
        <f>'Expenditures 15-22'!K217</f>
        <v>122270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22187</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1567869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380573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89136</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636703</v>
      </c>
      <c r="D3425" s="2" t="str">
        <f t="shared" si="52"/>
        <v>Error?</v>
      </c>
    </row>
    <row r="3426" spans="1:4" x14ac:dyDescent="0.2">
      <c r="A3426" s="10">
        <v>3365</v>
      </c>
      <c r="D3426" s="2" t="str">
        <f t="shared" si="52"/>
        <v>OK</v>
      </c>
    </row>
    <row r="3427" spans="1:4" x14ac:dyDescent="0.2">
      <c r="A3427" s="5">
        <v>3366</v>
      </c>
      <c r="B3427" s="138">
        <f>'Assets-Liab 5-6'!I4</f>
        <v>14770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812752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353555</v>
      </c>
      <c r="C3446" s="2" t="s">
        <v>573</v>
      </c>
      <c r="D3446" s="2" t="str">
        <f t="shared" si="52"/>
        <v>Error?</v>
      </c>
    </row>
    <row r="3447" spans="1:4" x14ac:dyDescent="0.2">
      <c r="A3447" s="5">
        <v>3386</v>
      </c>
      <c r="B3447" s="138">
        <f>'Tax Sched 23'!D16</f>
        <v>353555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364155</v>
      </c>
      <c r="C3449" s="2" t="s">
        <v>573</v>
      </c>
      <c r="D3449" s="2" t="str">
        <f t="shared" si="52"/>
        <v>Error?</v>
      </c>
    </row>
    <row r="3450" spans="1:4" x14ac:dyDescent="0.2">
      <c r="A3450" s="5">
        <v>3389</v>
      </c>
      <c r="B3450" s="138">
        <f>'Tax Sched 23'!E16</f>
        <v>364155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259589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259589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259589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150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25569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333385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358954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358954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358954</v>
      </c>
      <c r="C3568" s="2" t="s">
        <v>573</v>
      </c>
      <c r="D3568" s="2" t="str">
        <f t="shared" si="54"/>
        <v>Error?</v>
      </c>
    </row>
    <row r="3569" spans="1:4" x14ac:dyDescent="0.2">
      <c r="A3569" s="5">
        <v>3508</v>
      </c>
      <c r="B3569" s="138">
        <f>'Acct Summary 7-8'!K4</f>
        <v>39291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39291</v>
      </c>
      <c r="C3571" s="2" t="s">
        <v>573</v>
      </c>
      <c r="D3571" s="2" t="str">
        <f t="shared" si="54"/>
        <v>Error?</v>
      </c>
    </row>
    <row r="3572" spans="1:4" x14ac:dyDescent="0.2">
      <c r="A3572" s="5">
        <v>3511</v>
      </c>
      <c r="B3572" s="138">
        <f>'Acct Summary 7-8'!K13</f>
        <v>67368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67368</v>
      </c>
      <c r="C3575" s="2" t="s">
        <v>573</v>
      </c>
      <c r="D3575" s="2" t="str">
        <f t="shared" si="54"/>
        <v>Error?</v>
      </c>
    </row>
    <row r="3576" spans="1:4" x14ac:dyDescent="0.2">
      <c r="A3576" s="5">
        <v>3515</v>
      </c>
      <c r="B3576" s="138">
        <f>'Acct Summary 7-8'!K20</f>
        <v>-28077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-28077</v>
      </c>
      <c r="C3588" s="2" t="s">
        <v>573</v>
      </c>
      <c r="D3588" s="2" t="str">
        <f t="shared" si="55"/>
        <v>Error?</v>
      </c>
    </row>
    <row r="3589" spans="1:4" x14ac:dyDescent="0.2">
      <c r="A3589" s="5">
        <v>3528</v>
      </c>
      <c r="B3589" s="138">
        <f>'Acct Summary 7-8'!K79</f>
        <v>387031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358954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67368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67368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67368</v>
      </c>
      <c r="C3649" s="2" t="s">
        <v>573</v>
      </c>
      <c r="D3649" s="2" t="str">
        <f t="shared" si="56"/>
        <v>Error?</v>
      </c>
    </row>
    <row r="3650" spans="1:4" x14ac:dyDescent="0.2">
      <c r="A3650" s="5">
        <v>3589</v>
      </c>
      <c r="B3650" s="138">
        <f>'Expenditures 15-22'!G367</f>
        <v>67368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67368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67368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67368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67368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-28077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235918</v>
      </c>
      <c r="C3725" s="2" t="s">
        <v>573</v>
      </c>
      <c r="D3725" s="2" t="str">
        <f t="shared" si="57"/>
        <v>Error?</v>
      </c>
    </row>
    <row r="3726" spans="1:4" x14ac:dyDescent="0.2">
      <c r="A3726" s="5">
        <v>3665</v>
      </c>
      <c r="B3726" s="138">
        <f>'Tax Sched 23'!D13</f>
        <v>235918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399906</v>
      </c>
      <c r="C3728" s="2" t="s">
        <v>573</v>
      </c>
      <c r="D3728" s="2" t="str">
        <f t="shared" si="57"/>
        <v>Error?</v>
      </c>
    </row>
    <row r="3729" spans="1:4" x14ac:dyDescent="0.2">
      <c r="A3729" s="5">
        <v>3668</v>
      </c>
      <c r="B3729" s="138">
        <f>'Tax Sched 23'!E13</f>
        <v>399906</v>
      </c>
      <c r="D3729" s="2" t="str">
        <f t="shared" si="57"/>
        <v>Error?</v>
      </c>
    </row>
    <row r="3730" spans="1:4" x14ac:dyDescent="0.2">
      <c r="A3730" s="5">
        <v>3669</v>
      </c>
      <c r="B3730" s="138">
        <f>'ICR Computation 30'!E10</f>
        <v>293507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1541052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23650043</v>
      </c>
      <c r="C4122" s="2" t="s">
        <v>573</v>
      </c>
      <c r="D4122" s="2" t="str">
        <f t="shared" si="63"/>
        <v>Error?</v>
      </c>
    </row>
    <row r="4123" spans="1:4" x14ac:dyDescent="0.2">
      <c r="A4123" s="5">
        <v>4062</v>
      </c>
      <c r="B4123" s="138">
        <f>'Acct Summary 7-8'!D10</f>
        <v>3380203</v>
      </c>
      <c r="C4123" s="2" t="s">
        <v>573</v>
      </c>
      <c r="D4123" s="2" t="str">
        <f t="shared" si="63"/>
        <v>Error?</v>
      </c>
    </row>
    <row r="4124" spans="1:4" x14ac:dyDescent="0.2">
      <c r="A4124" s="5">
        <v>4063</v>
      </c>
      <c r="B4124" s="138">
        <f>'Acct Summary 7-8'!E10</f>
        <v>3537209</v>
      </c>
      <c r="C4124" s="2" t="s">
        <v>573</v>
      </c>
      <c r="D4124" s="2" t="str">
        <f t="shared" si="63"/>
        <v>Error?</v>
      </c>
    </row>
    <row r="4125" spans="1:4" x14ac:dyDescent="0.2">
      <c r="A4125" s="5">
        <v>4064</v>
      </c>
      <c r="B4125" s="138">
        <f>'Acct Summary 7-8'!F10</f>
        <v>2238392</v>
      </c>
      <c r="C4125" s="2" t="s">
        <v>573</v>
      </c>
      <c r="D4125" s="2" t="str">
        <f t="shared" si="63"/>
        <v>Error?</v>
      </c>
    </row>
    <row r="4126" spans="1:4" x14ac:dyDescent="0.2">
      <c r="A4126" s="5">
        <v>4065</v>
      </c>
      <c r="B4126" s="138">
        <f>'Acct Summary 7-8'!G10</f>
        <v>725375</v>
      </c>
      <c r="C4126" s="2" t="s">
        <v>573</v>
      </c>
      <c r="D4126" s="2" t="str">
        <f t="shared" si="63"/>
        <v>Error?</v>
      </c>
    </row>
    <row r="4127" spans="1:4" x14ac:dyDescent="0.2">
      <c r="A4127" s="5">
        <v>4066</v>
      </c>
      <c r="B4127" s="138">
        <f>'Acct Summary 7-8'!H10</f>
        <v>31447</v>
      </c>
      <c r="C4127" s="2" t="s">
        <v>573</v>
      </c>
      <c r="D4127" s="2" t="str">
        <f t="shared" si="63"/>
        <v>Error?</v>
      </c>
    </row>
    <row r="4128" spans="1:4" x14ac:dyDescent="0.2">
      <c r="A4128" s="5">
        <v>4067</v>
      </c>
      <c r="B4128" s="138">
        <f>'Acct Summary 7-8'!I10</f>
        <v>223969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39291</v>
      </c>
      <c r="C4130" s="2" t="s">
        <v>573</v>
      </c>
      <c r="D4130" s="2" t="str">
        <f t="shared" si="63"/>
        <v>Error?</v>
      </c>
    </row>
    <row r="4131" spans="1:4" x14ac:dyDescent="0.2">
      <c r="A4131" s="5">
        <v>4070</v>
      </c>
      <c r="B4131" s="138">
        <f>'Acct Summary 7-8'!C18</f>
        <v>1541052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23428544</v>
      </c>
      <c r="C4136" s="2" t="s">
        <v>573</v>
      </c>
      <c r="D4136" s="2" t="str">
        <f t="shared" si="63"/>
        <v>Error?</v>
      </c>
    </row>
    <row r="4137" spans="1:4" x14ac:dyDescent="0.2">
      <c r="A4137" s="5">
        <v>4076</v>
      </c>
      <c r="B4137" s="138">
        <f>'Acct Summary 7-8'!D19</f>
        <v>3100041</v>
      </c>
      <c r="C4137" s="2" t="s">
        <v>573</v>
      </c>
      <c r="D4137" s="2" t="str">
        <f t="shared" si="63"/>
        <v>Error?</v>
      </c>
    </row>
    <row r="4138" spans="1:4" x14ac:dyDescent="0.2">
      <c r="A4138" s="5">
        <v>4077</v>
      </c>
      <c r="B4138" s="138">
        <f>'Acct Summary 7-8'!E19</f>
        <v>3538030</v>
      </c>
      <c r="C4138" s="2" t="s">
        <v>573</v>
      </c>
      <c r="D4138" s="2" t="str">
        <f t="shared" si="63"/>
        <v>Error?</v>
      </c>
    </row>
    <row r="4139" spans="1:4" x14ac:dyDescent="0.2">
      <c r="A4139" s="5">
        <v>4078</v>
      </c>
      <c r="B4139" s="138">
        <f>'Acct Summary 7-8'!F19</f>
        <v>2103231</v>
      </c>
      <c r="C4139" s="2" t="s">
        <v>573</v>
      </c>
      <c r="D4139" s="2" t="str">
        <f t="shared" si="63"/>
        <v>Error?</v>
      </c>
    </row>
    <row r="4140" spans="1:4" x14ac:dyDescent="0.2">
      <c r="A4140" s="5">
        <v>4079</v>
      </c>
      <c r="B4140" s="138">
        <f>'Acct Summary 7-8'!G19</f>
        <v>695101</v>
      </c>
      <c r="C4140" s="2" t="s">
        <v>573</v>
      </c>
      <c r="D4140" s="2" t="str">
        <f t="shared" si="63"/>
        <v>Error?</v>
      </c>
    </row>
    <row r="4141" spans="1:4" x14ac:dyDescent="0.2">
      <c r="A4141" s="5">
        <v>4080</v>
      </c>
      <c r="B4141" s="138">
        <f>'Acct Summary 7-8'!H19</f>
        <v>399616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67368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32305000</v>
      </c>
      <c r="C4171" s="2" t="s">
        <v>573</v>
      </c>
      <c r="D4171" s="2" t="str">
        <f t="shared" si="64"/>
        <v>Error?</v>
      </c>
    </row>
    <row r="4172" spans="1:4" x14ac:dyDescent="0.2">
      <c r="A4172" s="5">
        <v>4111</v>
      </c>
      <c r="B4172" s="138">
        <f>'Short-Term Long-Term Debt 24'!J49</f>
        <v>32215864</v>
      </c>
      <c r="C4172" s="2" t="s">
        <v>573</v>
      </c>
      <c r="D4172" s="2" t="str">
        <f t="shared" si="64"/>
        <v>Error?</v>
      </c>
    </row>
    <row r="4173" spans="1:4" x14ac:dyDescent="0.2">
      <c r="A4173" s="5">
        <v>4112</v>
      </c>
      <c r="B4173" s="138">
        <f>'Short-Term Long-Term Debt 24'!H49</f>
        <v>2245000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188604</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188604</v>
      </c>
      <c r="C4202" s="2" t="s">
        <v>573</v>
      </c>
      <c r="D4202" s="2" t="str">
        <f t="shared" si="64"/>
        <v>Error?</v>
      </c>
    </row>
    <row r="4203" spans="1:4" x14ac:dyDescent="0.2">
      <c r="A4203" s="5">
        <v>4142</v>
      </c>
      <c r="B4203" s="138">
        <f>'Expenditures 15-22'!E139</f>
        <v>188604</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1970.8</v>
      </c>
      <c r="C4265" s="2" t="s">
        <v>573</v>
      </c>
      <c r="D4265" s="2" t="str">
        <f t="shared" si="65"/>
        <v>Error?</v>
      </c>
      <c r="E4265" s="128"/>
    </row>
    <row r="4266" spans="1:5" x14ac:dyDescent="0.2">
      <c r="A4266" s="12">
        <v>4205</v>
      </c>
      <c r="B4266" s="138">
        <f>('FP Info 3'!F10)*100000</f>
        <v>425.00000000000006</v>
      </c>
      <c r="C4266" s="2" t="s">
        <v>573</v>
      </c>
      <c r="D4266" s="2" t="str">
        <f t="shared" si="65"/>
        <v>Error?</v>
      </c>
      <c r="E4266" s="128"/>
    </row>
    <row r="4267" spans="1:5" x14ac:dyDescent="0.2">
      <c r="A4267" s="12">
        <v>4206</v>
      </c>
      <c r="B4267" s="138">
        <f>('FP Info 3'!H10)*100000</f>
        <v>182.1</v>
      </c>
      <c r="C4267" s="2" t="s">
        <v>573</v>
      </c>
      <c r="D4267" s="2" t="str">
        <f t="shared" si="65"/>
        <v>Error?</v>
      </c>
      <c r="E4267" s="128"/>
    </row>
    <row r="4268" spans="1:5" x14ac:dyDescent="0.2">
      <c r="A4268" s="12">
        <v>4207</v>
      </c>
      <c r="B4268" s="138">
        <f>('FP Info 3'!J10)*100000</f>
        <v>2578</v>
      </c>
      <c r="C4268" s="2" t="s">
        <v>573</v>
      </c>
      <c r="D4268" s="2" t="str">
        <f t="shared" si="65"/>
        <v>Error?</v>
      </c>
    </row>
    <row r="4269" spans="1:5" x14ac:dyDescent="0.2">
      <c r="A4269" s="12">
        <v>4208</v>
      </c>
      <c r="B4269" s="138">
        <f>'FP Info 3'!J16</f>
        <v>17195288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36536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141288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19867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30.400000000000002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80315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799807127</v>
      </c>
      <c r="D4995" s="2" t="str">
        <f t="shared" si="77"/>
        <v>Error?</v>
      </c>
    </row>
    <row r="4996" spans="1:4" x14ac:dyDescent="0.2">
      <c r="A4996" s="12">
        <v>4935</v>
      </c>
      <c r="B4996" s="138">
        <f>'FP Info 3'!H31</f>
        <v>110373383.52600001</v>
      </c>
      <c r="D4996" s="2" t="str">
        <f t="shared" si="77"/>
        <v>Error?</v>
      </c>
    </row>
    <row r="4997" spans="1:4" x14ac:dyDescent="0.2">
      <c r="A4997" s="12">
        <v>4936</v>
      </c>
      <c r="B4997" s="138">
        <f>'FP Info 3'!H37</f>
        <v>32305000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235918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15617842</v>
      </c>
      <c r="D5061" s="2" t="str">
        <f t="shared" si="78"/>
        <v>Error?</v>
      </c>
    </row>
    <row r="5062" spans="1:4" x14ac:dyDescent="0.2">
      <c r="A5062" s="10">
        <v>5001</v>
      </c>
      <c r="D5062" s="2" t="str">
        <f t="shared" si="78"/>
        <v>OK</v>
      </c>
    </row>
    <row r="5063" spans="1:4" x14ac:dyDescent="0.2">
      <c r="A5063" s="5">
        <v>5002</v>
      </c>
      <c r="B5063" s="138">
        <f>'Revenues 9-14'!C7</f>
        <v>312613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16166373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1373879</v>
      </c>
      <c r="D5069" s="2" t="str">
        <f t="shared" si="78"/>
        <v>Error?</v>
      </c>
    </row>
    <row r="5070" spans="1:4" x14ac:dyDescent="0.2">
      <c r="A5070" s="5">
        <v>5009</v>
      </c>
      <c r="B5070" s="138">
        <f>'Revenues 9-14'!C17</f>
        <v>20339</v>
      </c>
      <c r="D5070" s="2" t="str">
        <f t="shared" si="78"/>
        <v>Error?</v>
      </c>
    </row>
    <row r="5071" spans="1:4" x14ac:dyDescent="0.2">
      <c r="A5071" s="5">
        <v>5010</v>
      </c>
      <c r="B5071" s="138">
        <f>'Revenues 9-14'!C18</f>
        <v>1394218</v>
      </c>
      <c r="C5071" s="2" t="s">
        <v>573</v>
      </c>
      <c r="D5071" s="2" t="str">
        <f t="shared" si="78"/>
        <v>Error?</v>
      </c>
    </row>
    <row r="5072" spans="1:4" x14ac:dyDescent="0.2">
      <c r="A5072" s="5">
        <v>5011</v>
      </c>
      <c r="B5072" s="138">
        <f>'Revenues 9-14'!C20</f>
        <v>15721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3400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21615</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35</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40771</v>
      </c>
      <c r="C5087" s="2" t="s">
        <v>573</v>
      </c>
      <c r="D5087" s="2" t="str">
        <f t="shared" si="78"/>
        <v>Error?</v>
      </c>
    </row>
    <row r="5088" spans="1:4" x14ac:dyDescent="0.2">
      <c r="A5088" s="5">
        <v>5027</v>
      </c>
      <c r="B5088" s="138">
        <f>'Revenues 9-14'!C65</f>
        <v>481370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481370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3690</v>
      </c>
      <c r="D5093" s="2" t="str">
        <f t="shared" si="78"/>
        <v>Error?</v>
      </c>
    </row>
    <row r="5094" spans="1:4" x14ac:dyDescent="0.2">
      <c r="A5094" s="5">
        <v>5033</v>
      </c>
      <c r="B5094" s="138">
        <f>'Revenues 9-14'!C73</f>
        <v>8345</v>
      </c>
      <c r="D5094" s="2" t="str">
        <f t="shared" si="78"/>
        <v>Error?</v>
      </c>
    </row>
    <row r="5095" spans="1:4" x14ac:dyDescent="0.2">
      <c r="A5095" s="5">
        <v>5034</v>
      </c>
      <c r="B5095" s="138">
        <f>'Revenues 9-14'!C74</f>
        <v>7644</v>
      </c>
      <c r="D5095" s="2" t="str">
        <f t="shared" si="78"/>
        <v>Error?</v>
      </c>
    </row>
    <row r="5096" spans="1:4" x14ac:dyDescent="0.2">
      <c r="A5096" s="5">
        <v>5035</v>
      </c>
      <c r="B5096" s="138">
        <f>'Revenues 9-14'!C75</f>
        <v>546548</v>
      </c>
      <c r="C5096" s="2" t="s">
        <v>573</v>
      </c>
      <c r="D5096" s="2" t="str">
        <f t="shared" si="78"/>
        <v>Error?</v>
      </c>
    </row>
    <row r="5097" spans="1:4" x14ac:dyDescent="0.2">
      <c r="A5097" s="5">
        <v>5036</v>
      </c>
      <c r="B5097" s="138">
        <f>'Revenues 9-14'!C77</f>
        <v>40758</v>
      </c>
      <c r="D5097" s="2" t="str">
        <f t="shared" si="78"/>
        <v>Error?</v>
      </c>
    </row>
    <row r="5098" spans="1:4" x14ac:dyDescent="0.2">
      <c r="A5098" s="5">
        <v>5037</v>
      </c>
      <c r="B5098" s="138">
        <f>'Revenues 9-14'!C78</f>
        <v>31485</v>
      </c>
      <c r="D5098" s="2" t="str">
        <f t="shared" si="78"/>
        <v>Error?</v>
      </c>
    </row>
    <row r="5099" spans="1:4" x14ac:dyDescent="0.2">
      <c r="A5099" s="5">
        <v>5038</v>
      </c>
      <c r="B5099" s="138">
        <f>'Revenues 9-14'!C79</f>
        <v>6956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79199</v>
      </c>
      <c r="C5102" s="2" t="s">
        <v>573</v>
      </c>
      <c r="D5102" s="2" t="str">
        <f t="shared" si="78"/>
        <v>Error?</v>
      </c>
    </row>
    <row r="5103" spans="1:4" x14ac:dyDescent="0.2">
      <c r="A5103" s="5">
        <v>5042</v>
      </c>
      <c r="B5103" s="138">
        <f>'Revenues 9-14'!C84</f>
        <v>92103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92103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3670</v>
      </c>
      <c r="D5114" s="2" t="str">
        <f t="shared" si="78"/>
        <v>Error?</v>
      </c>
    </row>
    <row r="5115" spans="1:4" x14ac:dyDescent="0.2">
      <c r="A5115" s="5">
        <v>5054</v>
      </c>
      <c r="B5115" s="138">
        <f>'Revenues 9-14'!C98</f>
        <v>30000</v>
      </c>
      <c r="D5115" s="2" t="str">
        <f t="shared" si="78"/>
        <v>Error?</v>
      </c>
    </row>
    <row r="5116" spans="1:4" x14ac:dyDescent="0.2">
      <c r="A5116" s="5">
        <v>5055</v>
      </c>
      <c r="B5116" s="138">
        <f>'Revenues 9-14'!C99</f>
        <v>144872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86037</v>
      </c>
      <c r="D5119" s="2" t="str">
        <f t="shared" ref="D5119:D5182" si="79">IF(ISBLANK(B5119),"OK",IF(A5119-B5119=0,"OK","Error?"))</f>
        <v>Error?</v>
      </c>
    </row>
    <row r="5120" spans="1:4" x14ac:dyDescent="0.2">
      <c r="A5120" s="5">
        <v>5059</v>
      </c>
      <c r="B5120" s="138">
        <f>'Revenues 9-14'!C108</f>
        <v>284624</v>
      </c>
      <c r="C5120" s="2" t="s">
        <v>573</v>
      </c>
      <c r="D5120" s="2" t="str">
        <f t="shared" si="79"/>
        <v>Error?</v>
      </c>
    </row>
    <row r="5121" spans="1:4" x14ac:dyDescent="0.2">
      <c r="A5121" s="5">
        <v>5060</v>
      </c>
      <c r="B5121" s="138">
        <f>'Revenues 9-14'!C109</f>
        <v>19085206</v>
      </c>
      <c r="C5121" s="2" t="s">
        <v>573</v>
      </c>
      <c r="D5121" s="2" t="str">
        <f t="shared" si="79"/>
        <v>Error?</v>
      </c>
    </row>
    <row r="5122" spans="1:4" x14ac:dyDescent="0.2">
      <c r="A5122" s="5">
        <v>5061</v>
      </c>
      <c r="B5122" s="138">
        <f>'Revenues 9-14'!C111</f>
        <v>22187</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22187</v>
      </c>
      <c r="C5125" s="2" t="s">
        <v>573</v>
      </c>
      <c r="D5125" s="2" t="str">
        <f t="shared" si="79"/>
        <v>Error?</v>
      </c>
    </row>
    <row r="5126" spans="1:4" x14ac:dyDescent="0.2">
      <c r="A5126" s="5">
        <v>5065</v>
      </c>
      <c r="B5126" s="138">
        <f>'Revenues 9-14'!C117</f>
        <v>1344732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1344732</v>
      </c>
      <c r="C5132" s="2" t="s">
        <v>573</v>
      </c>
      <c r="D5132" s="2" t="str">
        <f t="shared" si="79"/>
        <v>Error?</v>
      </c>
    </row>
    <row r="5133" spans="1:4" x14ac:dyDescent="0.2">
      <c r="A5133" s="5">
        <v>5072</v>
      </c>
      <c r="B5133" s="138">
        <f>'Revenues 9-14'!C125</f>
        <v>120608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120608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4389</v>
      </c>
      <c r="D5167" s="2" t="str">
        <f t="shared" si="79"/>
        <v>Error?</v>
      </c>
    </row>
    <row r="5168" spans="1:4" x14ac:dyDescent="0.2">
      <c r="A5168" s="5">
        <v>5107</v>
      </c>
      <c r="B5168" s="138">
        <f>'Revenues 9-14'!C148</f>
        <v>32542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212681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450535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1795267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263182</v>
      </c>
      <c r="D5239" s="2" t="str">
        <f t="shared" si="80"/>
        <v>Error?</v>
      </c>
    </row>
    <row r="5240" spans="1:4" x14ac:dyDescent="0.2">
      <c r="A5240" s="5">
        <v>5179</v>
      </c>
      <c r="B5240" s="138">
        <f>'Revenues 9-14'!C192</f>
        <v>3181</v>
      </c>
      <c r="D5240" s="2" t="str">
        <f t="shared" si="80"/>
        <v>Error?</v>
      </c>
    </row>
    <row r="5241" spans="1:4" x14ac:dyDescent="0.2">
      <c r="A5241" s="5">
        <v>5180</v>
      </c>
      <c r="B5241" s="138">
        <f>'Revenues 9-14'!C193</f>
        <v>27144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293507</v>
      </c>
      <c r="C5246" s="2" t="s">
        <v>573</v>
      </c>
      <c r="D5246" s="2" t="str">
        <f t="shared" si="80"/>
        <v>Error?</v>
      </c>
    </row>
    <row r="5247" spans="1:4" x14ac:dyDescent="0.2">
      <c r="A5247" s="5">
        <v>5186</v>
      </c>
      <c r="B5247" s="138">
        <f>'Revenues 9-14'!C200</f>
        <v>316112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19867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316112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7494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390953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398447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1206331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1206331</v>
      </c>
      <c r="C5326" s="2" t="s">
        <v>573</v>
      </c>
      <c r="D5326" s="2" t="str">
        <f t="shared" si="82"/>
        <v>Error?</v>
      </c>
    </row>
    <row r="5327" spans="1:5" x14ac:dyDescent="0.2">
      <c r="A5327" s="5">
        <v>5266</v>
      </c>
      <c r="B5327" s="138">
        <f>'Revenues 9-14'!C268</f>
        <v>22108991</v>
      </c>
      <c r="C5327" s="2" t="s">
        <v>573</v>
      </c>
      <c r="D5327" s="2" t="str">
        <f t="shared" si="82"/>
        <v>Error?</v>
      </c>
    </row>
    <row r="5328" spans="1:5" x14ac:dyDescent="0.2">
      <c r="A5328" s="5">
        <v>5267</v>
      </c>
      <c r="B5328" s="138">
        <f>'Revenues 9-14'!D5</f>
        <v>3323064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3323064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26429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30710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57139</v>
      </c>
      <c r="C5355" s="2" t="s">
        <v>573</v>
      </c>
      <c r="D5355" s="2" t="str">
        <f t="shared" si="82"/>
        <v>Error?</v>
      </c>
    </row>
    <row r="5356" spans="1:4" x14ac:dyDescent="0.2">
      <c r="A5356" s="5">
        <v>5295</v>
      </c>
      <c r="B5356" s="138">
        <f>'Revenues 9-14'!D109</f>
        <v>3380203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3380203</v>
      </c>
      <c r="C5508" s="2" t="s">
        <v>573</v>
      </c>
      <c r="D5508" s="2" t="str">
        <f t="shared" si="85"/>
        <v>Error?</v>
      </c>
    </row>
    <row r="5509" spans="1:4" x14ac:dyDescent="0.2">
      <c r="A5509" s="5">
        <v>5448</v>
      </c>
      <c r="B5509" s="138">
        <f>'Revenues 9-14'!E5</f>
        <v>3537209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3537209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3537209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3537209</v>
      </c>
      <c r="C5552" s="2" t="s">
        <v>573</v>
      </c>
      <c r="D5552" s="2" t="str">
        <f t="shared" si="85"/>
        <v>Error?</v>
      </c>
    </row>
    <row r="5553" spans="1:4" x14ac:dyDescent="0.2">
      <c r="A5553" s="5">
        <v>5492</v>
      </c>
      <c r="B5553" s="138">
        <f>'Revenues 9-14'!F5</f>
        <v>1414067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1414067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7260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7260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1421327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275362</v>
      </c>
      <c r="D5615" s="2" t="str">
        <f t="shared" si="86"/>
        <v>Error?</v>
      </c>
    </row>
    <row r="5616" spans="1:4" x14ac:dyDescent="0.2">
      <c r="A5616" s="10">
        <v>5555</v>
      </c>
      <c r="D5616" s="2" t="str">
        <f t="shared" si="86"/>
        <v>OK</v>
      </c>
    </row>
    <row r="5617" spans="1:5" x14ac:dyDescent="0.2">
      <c r="A5617" s="5">
        <v>5556</v>
      </c>
      <c r="B5617" s="138">
        <f>'Revenues 9-14'!F153</f>
        <v>541703</v>
      </c>
      <c r="D5617" s="2" t="str">
        <f t="shared" si="86"/>
        <v>Error?</v>
      </c>
    </row>
    <row r="5618" spans="1:5" x14ac:dyDescent="0.2">
      <c r="A5618" s="5">
        <v>5557</v>
      </c>
      <c r="B5618" s="138">
        <f>'Revenues 9-14'!F155</f>
        <v>817065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817065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817065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2238392</v>
      </c>
      <c r="C5720" s="2" t="s">
        <v>573</v>
      </c>
      <c r="D5720" s="2" t="str">
        <f t="shared" si="88"/>
        <v>Error?</v>
      </c>
    </row>
    <row r="5721" spans="1:4" x14ac:dyDescent="0.2">
      <c r="A5721" s="5">
        <v>5660</v>
      </c>
      <c r="B5721" s="138">
        <f>'Revenues 9-14'!G5</f>
        <v>314264</v>
      </c>
      <c r="D5721" s="2" t="str">
        <f t="shared" si="88"/>
        <v>Error?</v>
      </c>
    </row>
    <row r="5722" spans="1:4" x14ac:dyDescent="0.2">
      <c r="A5722" s="5">
        <v>5661</v>
      </c>
      <c r="B5722" s="138">
        <f>'Revenues 9-14'!G7</f>
        <v>0</v>
      </c>
      <c r="D5722" s="2" t="str">
        <f t="shared" si="88"/>
        <v>Error?</v>
      </c>
    </row>
    <row r="5723" spans="1:4" x14ac:dyDescent="0.2">
      <c r="A5723" s="5">
        <v>5662</v>
      </c>
      <c r="B5723" s="138">
        <f>'Revenues 9-14'!G8</f>
        <v>353555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667819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57556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57556</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725375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31447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31447</v>
      </c>
      <c r="C5915" s="2" t="s">
        <v>573</v>
      </c>
      <c r="D5915" s="2" t="str">
        <f t="shared" si="91"/>
        <v>Error?</v>
      </c>
    </row>
    <row r="5916" spans="1:4" x14ac:dyDescent="0.2">
      <c r="A5916" s="5">
        <v>5855</v>
      </c>
      <c r="B5916" s="138">
        <f>'Revenues 9-14'!I5</f>
        <v>223969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223969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223969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39291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39291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39291</v>
      </c>
      <c r="C6023" s="2" t="s">
        <v>573</v>
      </c>
      <c r="D6023" s="2" t="str">
        <f t="shared" si="93"/>
        <v>Error?</v>
      </c>
    </row>
    <row r="6024" spans="1:5" x14ac:dyDescent="0.2">
      <c r="A6024" s="5">
        <v>5963</v>
      </c>
      <c r="B6024" s="138">
        <f>'Revenues 9-14'!G109</f>
        <v>725375</v>
      </c>
      <c r="C6024" s="2" t="s">
        <v>573</v>
      </c>
      <c r="D6024" s="2" t="str">
        <f t="shared" si="93"/>
        <v>Error?</v>
      </c>
    </row>
    <row r="6025" spans="1:5" x14ac:dyDescent="0.2">
      <c r="A6025" s="5">
        <v>5964</v>
      </c>
      <c r="B6025" s="138">
        <f>'Revenues 9-14'!H109</f>
        <v>31447</v>
      </c>
      <c r="C6025" s="2" t="s">
        <v>573</v>
      </c>
      <c r="D6025" s="2" t="str">
        <f t="shared" si="93"/>
        <v>Error?</v>
      </c>
    </row>
    <row r="6026" spans="1:5" x14ac:dyDescent="0.2">
      <c r="A6026" s="5">
        <v>5965</v>
      </c>
      <c r="B6026" s="138">
        <f>'Revenues 9-14'!I109</f>
        <v>223969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39291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526869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53071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2075.13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412595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121082</v>
      </c>
      <c r="D6145" s="2" t="str">
        <f t="shared" si="95"/>
        <v>Error?</v>
      </c>
      <c r="E6145" s="2" t="s">
        <v>190</v>
      </c>
    </row>
    <row r="6146" spans="1:5" x14ac:dyDescent="0.2">
      <c r="A6146">
        <v>6085</v>
      </c>
      <c r="B6146" s="138">
        <f>'Assets-Liab 5-6'!G27</f>
        <v>138412</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8363</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8363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404232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412595</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412595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223182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223182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223182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209813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209813</v>
      </c>
      <c r="D6229" s="2" t="str">
        <f t="shared" si="96"/>
        <v>Error?</v>
      </c>
      <c r="E6229" s="2" t="s">
        <v>190</v>
      </c>
    </row>
    <row r="6230" spans="1:5" x14ac:dyDescent="0.2">
      <c r="A6230">
        <v>6169</v>
      </c>
      <c r="B6230" s="138">
        <f>'Acct Summary 7-8'!J20</f>
        <v>13369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13369</v>
      </c>
      <c r="D6263" s="2" t="str">
        <f t="shared" si="96"/>
        <v>Error?</v>
      </c>
      <c r="E6263" s="2" t="s">
        <v>190</v>
      </c>
    </row>
    <row r="6264" spans="1:5" x14ac:dyDescent="0.2">
      <c r="A6264">
        <v>6203</v>
      </c>
      <c r="B6264" s="138">
        <f>'Acct Summary 7-8'!J79</f>
        <v>390863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404232</v>
      </c>
      <c r="D6266" s="2" t="str">
        <f t="shared" si="96"/>
        <v>Error?</v>
      </c>
      <c r="E6266" s="2" t="s">
        <v>190</v>
      </c>
    </row>
    <row r="6267" spans="1:5" x14ac:dyDescent="0.2">
      <c r="A6267">
        <v>6206</v>
      </c>
      <c r="B6267" s="138">
        <f>'Acct Summary 7-8'!C82</f>
        <v>25841</v>
      </c>
      <c r="D6267" s="2" t="str">
        <f t="shared" si="96"/>
        <v>Error?</v>
      </c>
      <c r="E6267" s="2" t="s">
        <v>190</v>
      </c>
    </row>
    <row r="6268" spans="1:5" x14ac:dyDescent="0.2">
      <c r="A6268">
        <v>6207</v>
      </c>
      <c r="B6268" s="138">
        <f>'Acct Summary 7-8'!D82</f>
        <v>280312</v>
      </c>
      <c r="D6268" s="2" t="str">
        <f t="shared" si="96"/>
        <v>Error?</v>
      </c>
      <c r="E6268" s="2" t="s">
        <v>190</v>
      </c>
    </row>
    <row r="6269" spans="1:5" x14ac:dyDescent="0.2">
      <c r="A6269">
        <v>6208</v>
      </c>
      <c r="B6269" s="138">
        <f>'Acct Summary 7-8'!E82</f>
        <v>-821</v>
      </c>
      <c r="D6269" s="2" t="str">
        <f t="shared" si="96"/>
        <v>Error?</v>
      </c>
      <c r="E6269" s="2" t="s">
        <v>190</v>
      </c>
    </row>
    <row r="6270" spans="1:5" x14ac:dyDescent="0.2">
      <c r="A6270">
        <v>6209</v>
      </c>
      <c r="B6270" s="138">
        <f>'Acct Summary 7-8'!F82</f>
        <v>135161</v>
      </c>
      <c r="D6270" s="2" t="str">
        <f t="shared" si="96"/>
        <v>Error?</v>
      </c>
      <c r="E6270" s="2" t="s">
        <v>190</v>
      </c>
    </row>
    <row r="6271" spans="1:5" x14ac:dyDescent="0.2">
      <c r="A6271">
        <v>6210</v>
      </c>
      <c r="B6271" s="138">
        <f>'Acct Summary 7-8'!G82</f>
        <v>30274</v>
      </c>
      <c r="D6271" s="2" t="str">
        <f t="shared" ref="D6271:D6334" si="97">IF(ISBLANK(B6271),"OK",IF(A6271-B6271=0,"OK","Error?"))</f>
        <v>Error?</v>
      </c>
      <c r="E6271" s="2" t="s">
        <v>190</v>
      </c>
    </row>
    <row r="6272" spans="1:5" x14ac:dyDescent="0.2">
      <c r="A6272">
        <v>6211</v>
      </c>
      <c r="B6272" s="138">
        <f>'Acct Summary 7-8'!H82</f>
        <v>-172511</v>
      </c>
      <c r="D6272" s="2" t="str">
        <f t="shared" si="97"/>
        <v>Error?</v>
      </c>
      <c r="E6272" s="2" t="s">
        <v>190</v>
      </c>
    </row>
    <row r="6273" spans="1:5" x14ac:dyDescent="0.2">
      <c r="A6273">
        <v>6212</v>
      </c>
      <c r="B6273" s="138">
        <f>'Acct Summary 7-8'!I82</f>
        <v>223969</v>
      </c>
      <c r="D6273" s="2" t="str">
        <f t="shared" si="97"/>
        <v>Error?</v>
      </c>
      <c r="E6273" s="2" t="s">
        <v>190</v>
      </c>
    </row>
    <row r="6274" spans="1:5" x14ac:dyDescent="0.2">
      <c r="A6274">
        <v>6213</v>
      </c>
      <c r="B6274" s="138">
        <f>'Acct Summary 7-8'!J82</f>
        <v>13369</v>
      </c>
      <c r="D6274" s="2" t="str">
        <f t="shared" si="97"/>
        <v>Error?</v>
      </c>
      <c r="E6274" s="2" t="s">
        <v>190</v>
      </c>
    </row>
    <row r="6275" spans="1:5" x14ac:dyDescent="0.2">
      <c r="A6275">
        <v>6214</v>
      </c>
      <c r="B6275" s="138">
        <f>'Acct Summary 7-8'!K82</f>
        <v>-28077</v>
      </c>
      <c r="D6275" s="2" t="str">
        <f t="shared" si="97"/>
        <v>Error?</v>
      </c>
      <c r="E6275" s="2" t="s">
        <v>190</v>
      </c>
    </row>
    <row r="6276" spans="1:5" x14ac:dyDescent="0.2">
      <c r="A6276">
        <v>6215</v>
      </c>
      <c r="B6276" s="138">
        <f>'Acct Summary 7-8'!C83</f>
        <v>2.114152278197274E-3</v>
      </c>
      <c r="D6276" s="2" t="str">
        <f t="shared" si="97"/>
        <v>Error?</v>
      </c>
      <c r="E6276" s="2" t="s">
        <v>190</v>
      </c>
    </row>
    <row r="6277" spans="1:5" x14ac:dyDescent="0.2">
      <c r="A6277">
        <v>6216</v>
      </c>
      <c r="B6277" s="138">
        <f>'Acct Summary 7-8'!D83</f>
        <v>0.18811737001297235</v>
      </c>
      <c r="D6277" s="2" t="str">
        <f t="shared" si="97"/>
        <v>Error?</v>
      </c>
      <c r="E6277" s="2" t="s">
        <v>190</v>
      </c>
    </row>
    <row r="6278" spans="1:5" x14ac:dyDescent="0.2">
      <c r="A6278">
        <v>6217</v>
      </c>
      <c r="B6278" s="138">
        <f>'Acct Summary 7-8'!E83</f>
        <v>-9.2106444085442475E-3</v>
      </c>
      <c r="D6278" s="2" t="str">
        <f t="shared" si="97"/>
        <v>Error?</v>
      </c>
      <c r="E6278" s="2" t="s">
        <v>190</v>
      </c>
    </row>
    <row r="6279" spans="1:5" x14ac:dyDescent="0.2">
      <c r="A6279">
        <v>6218</v>
      </c>
      <c r="B6279" s="138">
        <f>'Acct Summary 7-8'!F83</f>
        <v>5.6805587718719436E-2</v>
      </c>
      <c r="D6279" s="2" t="str">
        <f t="shared" si="97"/>
        <v>Error?</v>
      </c>
      <c r="E6279" s="2" t="s">
        <v>190</v>
      </c>
    </row>
    <row r="6280" spans="1:5" x14ac:dyDescent="0.2">
      <c r="A6280">
        <v>6219</v>
      </c>
      <c r="B6280" s="138">
        <f>'Acct Summary 7-8'!G83</f>
        <v>0.12700903251790352</v>
      </c>
      <c r="D6280" s="2" t="str">
        <f t="shared" si="97"/>
        <v>Error?</v>
      </c>
      <c r="E6280" s="2" t="s">
        <v>190</v>
      </c>
    </row>
    <row r="6281" spans="1:5" x14ac:dyDescent="0.2">
      <c r="A6281">
        <v>6220</v>
      </c>
      <c r="B6281" s="138">
        <f>'Acct Summary 7-8'!H83</f>
        <v>-0.27094422360189918</v>
      </c>
      <c r="D6281" s="2" t="str">
        <f t="shared" si="97"/>
        <v>Error?</v>
      </c>
      <c r="E6281" s="2" t="s">
        <v>190</v>
      </c>
    </row>
    <row r="6282" spans="1:5" x14ac:dyDescent="0.2">
      <c r="A6282">
        <v>6221</v>
      </c>
      <c r="B6282" s="138">
        <f>'Acct Summary 7-8'!I83</f>
        <v>0.20305992003408976</v>
      </c>
      <c r="D6282" s="2" t="str">
        <f t="shared" si="97"/>
        <v>Error?</v>
      </c>
      <c r="E6282" s="2" t="s">
        <v>190</v>
      </c>
    </row>
    <row r="6283" spans="1:5" x14ac:dyDescent="0.2">
      <c r="A6283">
        <v>6222</v>
      </c>
      <c r="B6283" s="138">
        <f>'Acct Summary 7-8'!J83</f>
        <v>3.3072591976884565E-2</v>
      </c>
      <c r="D6283" s="2" t="str">
        <f t="shared" si="97"/>
        <v>Error?</v>
      </c>
      <c r="E6283" s="2" t="s">
        <v>190</v>
      </c>
    </row>
    <row r="6284" spans="1:5" x14ac:dyDescent="0.2">
      <c r="A6284">
        <v>6223</v>
      </c>
      <c r="B6284" s="138">
        <f>'Acct Summary 7-8'!K83</f>
        <v>-7.8218936131092001E-2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195658</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223182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223182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31447</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20045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223182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298441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261540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22824</v>
      </c>
      <c r="D6983" s="2" t="str">
        <f t="shared" si="108"/>
        <v>Error?</v>
      </c>
    </row>
    <row r="6984" spans="1:4" x14ac:dyDescent="0.2">
      <c r="A6984">
        <v>6923</v>
      </c>
      <c r="B6984" s="138">
        <f>'Expenditures 15-22'!K86</f>
        <v>22824</v>
      </c>
      <c r="D6984" s="2" t="str">
        <f t="shared" si="108"/>
        <v>Error?</v>
      </c>
    </row>
    <row r="6985" spans="1:4" x14ac:dyDescent="0.2">
      <c r="A6985">
        <v>6924</v>
      </c>
      <c r="B6985" s="138">
        <f>'Expenditures 15-22'!H87</f>
        <v>379233</v>
      </c>
      <c r="D6985" s="2" t="str">
        <f t="shared" si="108"/>
        <v>Error?</v>
      </c>
    </row>
    <row r="6986" spans="1:4" x14ac:dyDescent="0.2">
      <c r="A6986">
        <v>6925</v>
      </c>
      <c r="B6986" s="138">
        <f>'Expenditures 15-22'!K87</f>
        <v>379233</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402057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209813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223182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28900</v>
      </c>
      <c r="D7073" s="2" t="str">
        <f t="shared" si="109"/>
        <v>Error?</v>
      </c>
    </row>
    <row r="7074" spans="1:4" x14ac:dyDescent="0.2">
      <c r="A7074">
        <v>7013</v>
      </c>
      <c r="B7074" s="138">
        <f>'Expenditures 15-22'!K216</f>
        <v>28900</v>
      </c>
      <c r="D7074" s="2" t="str">
        <f t="shared" si="109"/>
        <v>Error?</v>
      </c>
    </row>
    <row r="7075" spans="1:4" x14ac:dyDescent="0.2">
      <c r="A7075">
        <v>7014</v>
      </c>
      <c r="B7075" s="138">
        <f>'Expenditures 15-22'!D218</f>
        <v>14744</v>
      </c>
      <c r="D7075" s="2" t="str">
        <f t="shared" si="109"/>
        <v>Error?</v>
      </c>
    </row>
    <row r="7076" spans="1:4" x14ac:dyDescent="0.2">
      <c r="A7076">
        <v>7015</v>
      </c>
      <c r="B7076" s="138">
        <f>'Expenditures 15-22'!K218</f>
        <v>14744</v>
      </c>
      <c r="D7076" s="2" t="str">
        <f t="shared" si="109"/>
        <v>Error?</v>
      </c>
    </row>
    <row r="7077" spans="1:4" x14ac:dyDescent="0.2">
      <c r="A7077">
        <v>7016</v>
      </c>
      <c r="B7077" s="138">
        <f>'Expenditures 15-22'!D220</f>
        <v>14314</v>
      </c>
      <c r="D7077" s="2" t="str">
        <f t="shared" si="109"/>
        <v>Error?</v>
      </c>
    </row>
    <row r="7078" spans="1:4" x14ac:dyDescent="0.2">
      <c r="A7078">
        <v>7017</v>
      </c>
      <c r="B7078" s="138">
        <f>'Expenditures 15-22'!K220</f>
        <v>14314</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96392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96392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108588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108588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4833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4833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209813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209813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209813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209813</v>
      </c>
      <c r="D7224" s="2" t="str">
        <f t="shared" si="111"/>
        <v>Error?</v>
      </c>
    </row>
    <row r="7225" spans="1:4" x14ac:dyDescent="0.2">
      <c r="A7225">
        <v>7164</v>
      </c>
      <c r="B7225" s="138">
        <f>'Expenditures 15-22'!K343</f>
        <v>13369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239989</v>
      </c>
      <c r="D7251" s="2" t="str">
        <f t="shared" si="112"/>
        <v>Error?</v>
      </c>
    </row>
    <row r="7252" spans="1:4" x14ac:dyDescent="0.2">
      <c r="A7252">
        <f t="shared" si="113"/>
        <v>7191</v>
      </c>
      <c r="B7252" s="138">
        <f>'Expenditures 15-22'!D9</f>
        <v>58452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188788</v>
      </c>
      <c r="D7257" s="2" t="str">
        <f t="shared" si="112"/>
        <v>Error?</v>
      </c>
    </row>
    <row r="7258" spans="1:4" x14ac:dyDescent="0.2">
      <c r="A7258">
        <f t="shared" si="113"/>
        <v>7197</v>
      </c>
      <c r="B7258" s="138">
        <f>'Expenditures 15-22'!D11</f>
        <v>69871</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1081</v>
      </c>
      <c r="D7260" s="2" t="str">
        <f t="shared" si="112"/>
        <v>Error?</v>
      </c>
    </row>
    <row r="7261" spans="1:4" x14ac:dyDescent="0.2">
      <c r="A7261">
        <f t="shared" si="113"/>
        <v>7200</v>
      </c>
      <c r="B7261" s="138">
        <f>'Expenditures 15-22'!G11</f>
        <v>1800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2531409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195658</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20045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32542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52587</v>
      </c>
      <c r="D7719" s="2" t="str">
        <f t="shared" si="126"/>
        <v>Error?</v>
      </c>
      <c r="E7719" s="2" t="s">
        <v>827</v>
      </c>
    </row>
    <row r="7720" spans="1:6" x14ac:dyDescent="0.2">
      <c r="A7720">
        <v>7659</v>
      </c>
      <c r="B7720" s="138">
        <f>'Rest Tax Levies-Tort Im 25'!H14</f>
        <v>312613</v>
      </c>
      <c r="D7720" s="2" t="str">
        <f t="shared" si="126"/>
        <v>Error?</v>
      </c>
      <c r="E7720" s="2" t="s">
        <v>827</v>
      </c>
    </row>
    <row r="7721" spans="1:6" x14ac:dyDescent="0.2">
      <c r="A7721">
        <v>7660</v>
      </c>
      <c r="B7721" s="138">
        <f>'Rest Tax Levies-Tort Im 25'!K14</f>
        <v>52587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2064092.6</v>
      </c>
      <c r="D7797" s="2" t="str">
        <f t="shared" si="127"/>
        <v>Error?</v>
      </c>
      <c r="E7797" s="4" t="s">
        <v>1900</v>
      </c>
    </row>
    <row r="7798" spans="1:5" x14ac:dyDescent="0.2">
      <c r="A7798">
        <v>7737</v>
      </c>
      <c r="B7798" s="138">
        <f>'Contracts Paid in CY 29'!F141</f>
        <v>48269.599999999999</v>
      </c>
      <c r="D7798" s="2" t="str">
        <f t="shared" si="127"/>
        <v>Error?</v>
      </c>
      <c r="E7798" s="4" t="s">
        <v>1900</v>
      </c>
    </row>
    <row r="7799" spans="1:5" x14ac:dyDescent="0.2">
      <c r="A7799">
        <v>7738</v>
      </c>
      <c r="B7799" s="138">
        <f>'Contracts Paid in CY 29'!G141</f>
        <v>2015823</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E52" sqref="E52"/>
    </sheetView>
  </sheetViews>
  <sheetFormatPr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6" t="s">
        <v>1191</v>
      </c>
      <c r="B2" s="2396"/>
      <c r="C2" s="2396"/>
      <c r="D2" s="2396"/>
      <c r="E2" s="2396"/>
      <c r="F2" s="2396"/>
      <c r="G2" s="2396"/>
      <c r="H2" s="2396"/>
      <c r="I2" s="2396"/>
      <c r="J2" s="2396"/>
      <c r="K2" s="2396"/>
      <c r="L2" s="2396"/>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6" t="s">
        <v>1984</v>
      </c>
      <c r="B4" s="2397"/>
      <c r="C4" s="2397"/>
      <c r="D4" s="2397"/>
      <c r="E4" s="2397"/>
      <c r="F4" s="2397"/>
      <c r="G4" s="2397"/>
      <c r="H4" s="2397"/>
      <c r="I4" s="2397"/>
      <c r="J4" s="2397"/>
      <c r="K4" s="2397"/>
      <c r="L4" s="239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8" t="str">
        <f>COVER!A17</f>
        <v>Coal City Community School District #1</v>
      </c>
      <c r="B7" s="2399"/>
      <c r="C7" s="2399"/>
      <c r="D7" s="2400"/>
      <c r="E7" s="2401" t="str">
        <f>COVER!A13</f>
        <v>24-032-0010-26</v>
      </c>
      <c r="F7" s="2402"/>
      <c r="G7" s="2422" t="str">
        <f>COVER!T23</f>
        <v>066-005100</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408" t="str">
        <f>COVER!T13</f>
        <v>Mack &amp; Associates, P.C.</v>
      </c>
      <c r="H9" s="2428"/>
      <c r="I9" s="2428"/>
      <c r="J9" s="2428"/>
      <c r="K9" s="2428"/>
      <c r="L9" s="2429"/>
    </row>
    <row r="10" spans="1:29" ht="13.5" customHeight="1" x14ac:dyDescent="0.2">
      <c r="A10" s="2414" t="str">
        <f>COVER!A38</f>
        <v>Dr. Kent Bugg</v>
      </c>
      <c r="B10" s="2415"/>
      <c r="C10" s="2415"/>
      <c r="D10" s="2415"/>
      <c r="E10" s="2415"/>
      <c r="F10" s="2416"/>
      <c r="G10" s="2408" t="str">
        <f>COVER!T17</f>
        <v>116 E. Washington St., Suite One</v>
      </c>
      <c r="H10" s="2409"/>
      <c r="I10" s="2409"/>
      <c r="J10" s="2409"/>
      <c r="K10" s="2409"/>
      <c r="L10" s="2410"/>
    </row>
    <row r="11" spans="1:29" ht="13.5" customHeight="1" x14ac:dyDescent="0.2">
      <c r="A11" s="1184" t="s">
        <v>1519</v>
      </c>
      <c r="B11" s="1185"/>
      <c r="C11" s="1186"/>
      <c r="D11" s="1191"/>
      <c r="E11" s="1186"/>
      <c r="F11" s="1190"/>
      <c r="G11" s="2408" t="str">
        <f>COVER!T19</f>
        <v>Morris</v>
      </c>
      <c r="H11" s="2409"/>
      <c r="I11" s="2409"/>
      <c r="J11" s="2409"/>
      <c r="K11" s="2409"/>
      <c r="L11" s="2410"/>
    </row>
    <row r="12" spans="1:29" ht="13.5" customHeight="1" x14ac:dyDescent="0.2">
      <c r="A12" s="2390" t="s">
        <v>1518</v>
      </c>
      <c r="B12" s="2391"/>
      <c r="C12" s="2391"/>
      <c r="D12" s="2391"/>
      <c r="E12" s="2391"/>
      <c r="F12" s="2392"/>
      <c r="G12" s="2411"/>
      <c r="H12" s="2412"/>
      <c r="I12" s="2412"/>
      <c r="J12" s="2412"/>
      <c r="K12" s="2412"/>
      <c r="L12" s="2413"/>
    </row>
    <row r="13" spans="1:29" ht="13.5" customHeight="1" x14ac:dyDescent="0.2">
      <c r="A13" s="2408"/>
      <c r="B13" s="2409"/>
      <c r="C13" s="2409"/>
      <c r="D13" s="2409"/>
      <c r="E13" s="2409"/>
      <c r="F13" s="2410"/>
      <c r="G13" s="2403" t="s">
        <v>1520</v>
      </c>
      <c r="H13" s="2404"/>
      <c r="I13" s="2393" t="str">
        <f>COVER!T25</f>
        <v>tmack@mackcpas.com</v>
      </c>
      <c r="J13" s="2394"/>
      <c r="K13" s="2394"/>
      <c r="L13" s="2395"/>
    </row>
    <row r="14" spans="1:29" ht="13.5" customHeight="1" x14ac:dyDescent="0.2">
      <c r="A14" s="2408" t="str">
        <f>COVER!A19</f>
        <v>550 S. Carbon Hill Road</v>
      </c>
      <c r="B14" s="2409"/>
      <c r="C14" s="2409"/>
      <c r="D14" s="2409"/>
      <c r="E14" s="2409"/>
      <c r="F14" s="2410"/>
      <c r="G14" s="1195" t="s">
        <v>1185</v>
      </c>
      <c r="H14" s="1193"/>
      <c r="I14" s="1193"/>
      <c r="J14" s="1193"/>
      <c r="K14" s="1193"/>
      <c r="L14" s="1194"/>
    </row>
    <row r="15" spans="1:29" ht="13.5" customHeight="1" x14ac:dyDescent="0.2">
      <c r="A15" s="2408" t="str">
        <f>COVER!A21</f>
        <v>Coal City</v>
      </c>
      <c r="B15" s="2409"/>
      <c r="C15" s="2409"/>
      <c r="D15" s="2409"/>
      <c r="E15" s="2409"/>
      <c r="F15" s="2410"/>
      <c r="G15" s="2405" t="str">
        <f>COVER!T15</f>
        <v>Tawnya Mack, CPA</v>
      </c>
      <c r="H15" s="2406"/>
      <c r="I15" s="2406"/>
      <c r="J15" s="2406"/>
      <c r="K15" s="2406"/>
      <c r="L15" s="2407"/>
    </row>
    <row r="16" spans="1:29" ht="12.2" customHeight="1" x14ac:dyDescent="0.2">
      <c r="A16" s="2418">
        <f>COVER!A25</f>
        <v>60416</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5" t="s">
        <v>1184</v>
      </c>
      <c r="H17" s="1193"/>
      <c r="I17" s="1193"/>
      <c r="J17" s="1193"/>
      <c r="K17" s="1197" t="s">
        <v>1183</v>
      </c>
      <c r="L17" s="1190"/>
      <c r="M17" s="1183"/>
    </row>
    <row r="18" spans="1:13" ht="12.2" customHeight="1" x14ac:dyDescent="0.2">
      <c r="A18" s="2414"/>
      <c r="B18" s="2415"/>
      <c r="C18" s="2415"/>
      <c r="D18" s="2415"/>
      <c r="E18" s="2415"/>
      <c r="F18" s="2416"/>
      <c r="G18" s="2398" t="str">
        <f>COVER!T21</f>
        <v>815-942-3306</v>
      </c>
      <c r="H18" s="2399"/>
      <c r="I18" s="2399"/>
      <c r="J18" s="2399"/>
      <c r="K18" s="2398" t="str">
        <f>COVER!X21</f>
        <v>815-942-9430</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2076</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2076</v>
      </c>
      <c r="C26" s="1202" t="s">
        <v>1699</v>
      </c>
    </row>
    <row r="27" spans="1:13" s="1198" customFormat="1" ht="9" customHeight="1" x14ac:dyDescent="0.2">
      <c r="B27" s="1203"/>
      <c r="C27" s="1202"/>
    </row>
    <row r="28" spans="1:13" s="1198" customFormat="1" ht="12.2" customHeight="1" x14ac:dyDescent="0.2">
      <c r="A28" s="1205"/>
      <c r="B28" s="1201" t="s">
        <v>2076</v>
      </c>
      <c r="C28" s="1202" t="s">
        <v>1700</v>
      </c>
    </row>
    <row r="29" spans="1:13" s="1198" customFormat="1" ht="9" customHeight="1" x14ac:dyDescent="0.2">
      <c r="A29" s="1205"/>
      <c r="B29" s="1203"/>
      <c r="C29" s="1202"/>
    </row>
    <row r="30" spans="1:13" s="1198" customFormat="1" ht="12.2" customHeight="1" x14ac:dyDescent="0.2">
      <c r="B30" s="1201" t="s">
        <v>2076</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2076</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2076</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2076</v>
      </c>
      <c r="C38" s="1202" t="s">
        <v>1566</v>
      </c>
    </row>
    <row r="39" spans="1:8" ht="9" customHeight="1" x14ac:dyDescent="0.2">
      <c r="B39" s="1203"/>
      <c r="C39" s="1206"/>
    </row>
    <row r="40" spans="1:8" s="1198" customFormat="1" ht="13.5" customHeight="1" x14ac:dyDescent="0.2">
      <c r="B40" s="1201" t="s">
        <v>2076</v>
      </c>
      <c r="C40" s="1202" t="s">
        <v>1567</v>
      </c>
    </row>
    <row r="41" spans="1:8" ht="9" customHeight="1" x14ac:dyDescent="0.2">
      <c r="A41" s="1207"/>
      <c r="B41" s="1203"/>
      <c r="C41" s="1206"/>
    </row>
    <row r="42" spans="1:8" s="1198" customFormat="1" ht="13.5" customHeight="1" x14ac:dyDescent="0.2">
      <c r="B42" s="1201" t="s">
        <v>2076</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t="s">
        <v>2076</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Coal City Community School District #1</v>
      </c>
      <c r="B1" s="2397"/>
      <c r="C1" s="2397"/>
      <c r="D1" s="2397"/>
    </row>
    <row r="2" spans="1:11" s="1212" customFormat="1" ht="12.75" x14ac:dyDescent="0.2">
      <c r="A2" s="2435" t="str">
        <f>'Single Audit Cover'!E7</f>
        <v>24-032-0010-26</v>
      </c>
      <c r="B2" s="2436"/>
      <c r="C2" s="2436"/>
      <c r="D2" s="2436"/>
    </row>
    <row r="3" spans="1:11" s="1212" customFormat="1" ht="12.75" x14ac:dyDescent="0.2">
      <c r="A3" s="2434" t="s">
        <v>1513</v>
      </c>
      <c r="B3" s="2397"/>
      <c r="C3" s="2397"/>
      <c r="D3" s="239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Coal City Community School District #1</v>
      </c>
      <c r="B1" s="2438"/>
      <c r="C1" s="2438"/>
      <c r="D1" s="2438"/>
      <c r="E1" s="2438"/>
    </row>
    <row r="2" spans="1:5" x14ac:dyDescent="0.2">
      <c r="A2" s="2439" t="str">
        <f>'Single Audit Cover'!E7</f>
        <v>24-032-0010-26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1206331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53071</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-141288</v>
      </c>
    </row>
    <row r="19" spans="1:4" ht="13.5" thickBot="1" x14ac:dyDescent="0.25">
      <c r="A19" s="1262" t="s">
        <v>1235</v>
      </c>
      <c r="D19" s="1263">
        <f>SUM(D10:D17)</f>
        <v>1118114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1118114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0</v>
      </c>
    </row>
    <row r="49" spans="2:4" x14ac:dyDescent="0.2">
      <c r="B49" s="1269" t="s">
        <v>1226</v>
      </c>
      <c r="C49" s="1269"/>
      <c r="D49" s="1270">
        <f>D32-D47</f>
        <v>1118114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F15" sqref="F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Coal City Community School District #1</v>
      </c>
      <c r="C1" s="2442"/>
      <c r="D1" s="2442"/>
      <c r="E1" s="2442"/>
      <c r="F1" s="2442"/>
      <c r="G1" s="2442"/>
      <c r="H1" s="2442"/>
      <c r="I1" s="2442"/>
      <c r="J1" s="2442"/>
      <c r="K1" s="2442"/>
      <c r="L1" s="2442"/>
      <c r="M1" s="2442"/>
    </row>
    <row r="2" spans="2:14" ht="15" x14ac:dyDescent="0.2">
      <c r="B2" s="2443" t="str">
        <f>'Single Audit Cover'!E7</f>
        <v>24-032-0010-26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2116</v>
      </c>
      <c r="C11" s="1335"/>
      <c r="D11" s="1336"/>
      <c r="E11" s="1337"/>
      <c r="F11" s="1337"/>
      <c r="G11" s="1337"/>
      <c r="H11" s="1337"/>
      <c r="I11" s="1337"/>
      <c r="J11" s="1337"/>
      <c r="K11" s="1337"/>
      <c r="L11" s="1337"/>
      <c r="M11" s="1340"/>
    </row>
    <row r="12" spans="2:14" ht="20.100000000000001" customHeight="1" x14ac:dyDescent="0.2">
      <c r="B12" s="1334" t="s">
        <v>2117</v>
      </c>
      <c r="C12" s="1338"/>
      <c r="D12" s="1339"/>
      <c r="E12" s="1340"/>
      <c r="F12" s="1340"/>
      <c r="G12" s="1340"/>
      <c r="H12" s="1340"/>
      <c r="I12" s="1337"/>
      <c r="J12" s="1340"/>
      <c r="K12" s="1340"/>
      <c r="L12" s="1337"/>
      <c r="M12" s="1340"/>
    </row>
    <row r="13" spans="2:14" ht="20.100000000000001" customHeight="1" x14ac:dyDescent="0.2">
      <c r="B13" s="1334" t="s">
        <v>2118</v>
      </c>
      <c r="C13" s="1338"/>
      <c r="D13" s="1339"/>
      <c r="E13" s="1340"/>
      <c r="F13" s="1340"/>
      <c r="G13" s="1340"/>
      <c r="H13" s="1340"/>
      <c r="I13" s="1340"/>
      <c r="J13" s="1340"/>
      <c r="K13" s="1340"/>
      <c r="L13" s="1337"/>
      <c r="M13" s="1340"/>
    </row>
    <row r="14" spans="2:14" ht="20.100000000000001" customHeight="1" x14ac:dyDescent="0.2">
      <c r="B14" s="1334" t="s">
        <v>2119</v>
      </c>
      <c r="C14" s="1335">
        <v>10.555</v>
      </c>
      <c r="D14" s="1336" t="s">
        <v>2107</v>
      </c>
      <c r="E14" s="1337"/>
      <c r="F14" s="1337">
        <v>216877</v>
      </c>
      <c r="G14" s="1337"/>
      <c r="H14" s="1337"/>
      <c r="I14" s="1337">
        <v>216787</v>
      </c>
      <c r="J14" s="1337"/>
      <c r="K14" s="1337"/>
      <c r="L14" s="1337">
        <f>+G14+I14+K14</f>
        <v>216787</v>
      </c>
      <c r="M14" s="1340" t="s">
        <v>2114</v>
      </c>
    </row>
    <row r="15" spans="2:14" ht="20.100000000000001" customHeight="1" x14ac:dyDescent="0.2">
      <c r="B15" s="1334" t="s">
        <v>2120</v>
      </c>
      <c r="C15" s="1338">
        <v>10.555</v>
      </c>
      <c r="D15" s="1339" t="s">
        <v>2108</v>
      </c>
      <c r="E15" s="1340">
        <v>218461.91</v>
      </c>
      <c r="F15" s="1340">
        <v>46304.67</v>
      </c>
      <c r="G15" s="1340">
        <v>218462</v>
      </c>
      <c r="H15" s="1340"/>
      <c r="I15" s="1337">
        <v>46304.67</v>
      </c>
      <c r="J15" s="1340"/>
      <c r="K15" s="1340"/>
      <c r="L15" s="1337">
        <f>+G15+I15+K15</f>
        <v>264766.67</v>
      </c>
      <c r="M15" s="1340" t="s">
        <v>2114</v>
      </c>
    </row>
    <row r="16" spans="2:14" ht="20.100000000000001" customHeight="1" x14ac:dyDescent="0.2">
      <c r="B16" s="1334" t="s">
        <v>2121</v>
      </c>
      <c r="C16" s="1338">
        <v>10.555999999999999</v>
      </c>
      <c r="D16" s="1339" t="s">
        <v>2109</v>
      </c>
      <c r="E16" s="1340"/>
      <c r="F16" s="1340">
        <v>2766</v>
      </c>
      <c r="G16" s="1340"/>
      <c r="H16" s="1340"/>
      <c r="I16" s="1340">
        <v>2766</v>
      </c>
      <c r="J16" s="1340"/>
      <c r="K16" s="1340"/>
      <c r="L16" s="1337">
        <f t="shared" ref="L16:L22" si="0">+G16+I16+K16</f>
        <v>2766</v>
      </c>
      <c r="M16" s="1340" t="s">
        <v>2114</v>
      </c>
    </row>
    <row r="17" spans="2:14" ht="20.100000000000001" customHeight="1" x14ac:dyDescent="0.2">
      <c r="B17" s="1334" t="s">
        <v>2122</v>
      </c>
      <c r="C17" s="1338">
        <v>10.555999999999999</v>
      </c>
      <c r="D17" s="1339" t="s">
        <v>2110</v>
      </c>
      <c r="E17" s="1340">
        <v>2713</v>
      </c>
      <c r="F17" s="1340">
        <v>415</v>
      </c>
      <c r="G17" s="1340">
        <v>2713</v>
      </c>
      <c r="H17" s="1340"/>
      <c r="I17" s="1340">
        <v>415</v>
      </c>
      <c r="J17" s="1340"/>
      <c r="K17" s="1340"/>
      <c r="L17" s="1337">
        <f t="shared" si="0"/>
        <v>3128</v>
      </c>
      <c r="M17" s="1340" t="s">
        <v>2114</v>
      </c>
    </row>
    <row r="18" spans="2:14" ht="20.100000000000001" customHeight="1" x14ac:dyDescent="0.2">
      <c r="B18" s="1334" t="s">
        <v>2123</v>
      </c>
      <c r="C18" s="1338">
        <v>10.553000000000001</v>
      </c>
      <c r="D18" s="1339" t="s">
        <v>2111</v>
      </c>
      <c r="E18" s="1340"/>
      <c r="F18" s="1340">
        <v>22859</v>
      </c>
      <c r="G18" s="1340"/>
      <c r="H18" s="1340"/>
      <c r="I18" s="1340">
        <v>22859</v>
      </c>
      <c r="J18" s="1340"/>
      <c r="K18" s="1340"/>
      <c r="L18" s="1337">
        <f t="shared" si="0"/>
        <v>22859</v>
      </c>
      <c r="M18" s="1340" t="s">
        <v>2114</v>
      </c>
    </row>
    <row r="19" spans="2:14" ht="20.100000000000001" customHeight="1" x14ac:dyDescent="0.2">
      <c r="B19" s="1334" t="s">
        <v>2124</v>
      </c>
      <c r="C19" s="1338">
        <v>10.553000000000001</v>
      </c>
      <c r="D19" s="1339" t="s">
        <v>2112</v>
      </c>
      <c r="E19" s="1340">
        <v>26037</v>
      </c>
      <c r="F19" s="1340">
        <v>4284</v>
      </c>
      <c r="G19" s="1340">
        <v>26037</v>
      </c>
      <c r="H19" s="1340"/>
      <c r="I19" s="1340">
        <v>4284</v>
      </c>
      <c r="J19" s="1340"/>
      <c r="K19" s="1340"/>
      <c r="L19" s="1337">
        <f t="shared" si="0"/>
        <v>30321</v>
      </c>
      <c r="M19" s="1340" t="s">
        <v>2114</v>
      </c>
    </row>
    <row r="20" spans="2:14" ht="20.100000000000001" customHeight="1" x14ac:dyDescent="0.2">
      <c r="B20" s="1334" t="s">
        <v>2125</v>
      </c>
      <c r="C20" s="1338">
        <v>10.555</v>
      </c>
      <c r="D20" s="1339">
        <v>2019</v>
      </c>
      <c r="E20" s="1340"/>
      <c r="F20" s="1340">
        <v>30255</v>
      </c>
      <c r="G20" s="1340"/>
      <c r="H20" s="1340"/>
      <c r="I20" s="1340">
        <v>30255</v>
      </c>
      <c r="J20" s="1340"/>
      <c r="K20" s="1340"/>
      <c r="L20" s="1337">
        <f t="shared" si="0"/>
        <v>30255</v>
      </c>
      <c r="M20" s="1340" t="s">
        <v>2114</v>
      </c>
    </row>
    <row r="21" spans="2:14" ht="20.100000000000001" customHeight="1" x14ac:dyDescent="0.2">
      <c r="B21" s="1334" t="s">
        <v>2126</v>
      </c>
      <c r="C21" s="1338">
        <v>10.555</v>
      </c>
      <c r="D21" s="1339">
        <v>2019</v>
      </c>
      <c r="E21" s="1340"/>
      <c r="F21" s="1340">
        <v>22816</v>
      </c>
      <c r="G21" s="1340"/>
      <c r="H21" s="1340"/>
      <c r="I21" s="1340">
        <v>22816</v>
      </c>
      <c r="J21" s="1340"/>
      <c r="K21" s="1340"/>
      <c r="L21" s="1337">
        <f t="shared" si="0"/>
        <v>22816</v>
      </c>
      <c r="M21" s="1340" t="s">
        <v>2114</v>
      </c>
    </row>
    <row r="22" spans="2:14" ht="20.100000000000001" customHeight="1" x14ac:dyDescent="0.2">
      <c r="B22" s="1334" t="s">
        <v>2113</v>
      </c>
      <c r="C22" s="1338"/>
      <c r="D22" s="1339"/>
      <c r="E22" s="1340">
        <f>SUM(E14:E21)</f>
        <v>247211.91</v>
      </c>
      <c r="F22" s="1340">
        <f>SUM(F14:F21)</f>
        <v>346576.67</v>
      </c>
      <c r="G22" s="1340">
        <f>SUM(G14:G21)</f>
        <v>247212</v>
      </c>
      <c r="H22" s="1340"/>
      <c r="I22" s="1340">
        <f>SUM(I14:I21)</f>
        <v>346486.67</v>
      </c>
      <c r="J22" s="1340"/>
      <c r="K22" s="1340"/>
      <c r="L22" s="1337">
        <f t="shared" si="0"/>
        <v>593698.66999999993</v>
      </c>
      <c r="M22" s="1340"/>
    </row>
    <row r="23" spans="2:14" ht="20.100000000000001" customHeight="1" x14ac:dyDescent="0.2">
      <c r="B23" s="1334"/>
      <c r="C23" s="1338"/>
      <c r="D23" s="1339"/>
      <c r="E23" s="1340"/>
      <c r="F23" s="1340"/>
      <c r="G23" s="1340"/>
      <c r="H23" s="1340"/>
      <c r="I23" s="1340"/>
      <c r="J23" s="1340"/>
      <c r="K23" s="1340"/>
      <c r="L23" s="1337">
        <f>+G23+I23+K23</f>
        <v>0</v>
      </c>
      <c r="M23" s="1340"/>
    </row>
    <row r="24" spans="2:14" ht="20.100000000000001" customHeight="1" x14ac:dyDescent="0.2">
      <c r="B24" s="1334"/>
      <c r="C24" s="1338"/>
      <c r="D24" s="1339"/>
      <c r="E24" s="1340"/>
      <c r="F24" s="1340"/>
      <c r="G24" s="1340"/>
      <c r="H24" s="1340"/>
      <c r="I24" s="1340"/>
      <c r="J24" s="1340"/>
      <c r="K24" s="1340"/>
      <c r="L24" s="1337">
        <f>+G24+I24+K24</f>
        <v>0</v>
      </c>
      <c r="M24" s="1340"/>
    </row>
    <row r="25" spans="2:14" ht="20.100000000000001" customHeight="1" x14ac:dyDescent="0.2">
      <c r="B25" s="1334"/>
      <c r="C25" s="1338"/>
      <c r="D25" s="1339"/>
      <c r="E25" s="1340"/>
      <c r="F25" s="1340"/>
      <c r="G25" s="1340"/>
      <c r="H25" s="1340"/>
      <c r="I25" s="1340"/>
      <c r="J25" s="1340"/>
      <c r="K25" s="1340"/>
      <c r="L25" s="1337">
        <f>+G25+I25+K25</f>
        <v>0</v>
      </c>
      <c r="M25" s="1340"/>
    </row>
    <row r="26" spans="2:14" ht="20.100000000000001" customHeight="1" x14ac:dyDescent="0.2">
      <c r="B26" s="1334"/>
      <c r="C26" s="1338"/>
      <c r="D26" s="1339"/>
      <c r="E26" s="1340"/>
      <c r="F26" s="1340"/>
      <c r="G26" s="1340"/>
      <c r="H26" s="1340"/>
      <c r="I26" s="1340"/>
      <c r="J26" s="1340"/>
      <c r="K26" s="1340"/>
      <c r="L26" s="1337">
        <f>+G26+I26+K26</f>
        <v>0</v>
      </c>
      <c r="M26" s="1340"/>
    </row>
    <row r="27" spans="2:14" ht="20.100000000000001" customHeight="1" x14ac:dyDescent="0.2">
      <c r="B27" s="1334"/>
      <c r="C27" s="1338"/>
      <c r="D27" s="1339"/>
      <c r="E27" s="1340"/>
      <c r="F27" s="1340"/>
      <c r="G27" s="1340"/>
      <c r="H27" s="1340"/>
      <c r="I27" s="1340"/>
      <c r="J27" s="1340"/>
      <c r="K27" s="1340"/>
      <c r="L27" s="1337">
        <f>+G27+I27+K27</f>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M51"/>
  <sheetViews>
    <sheetView topLeftCell="A13" workbookViewId="0">
      <selection activeCell="K31" sqref="K31"/>
    </sheetView>
  </sheetViews>
  <sheetFormatPr defaultRowHeight="12.75" x14ac:dyDescent="0.2"/>
  <cols>
    <col min="1" max="1" width="31.7109375" customWidth="1"/>
    <col min="3" max="3" width="10.5703125" customWidth="1"/>
    <col min="4" max="4" width="13.28515625" customWidth="1"/>
    <col min="5" max="5" width="12.85546875" customWidth="1"/>
    <col min="6" max="6" width="13.140625" customWidth="1"/>
    <col min="7" max="7" width="11.7109375" customWidth="1"/>
    <col min="8" max="8" width="12" customWidth="1"/>
    <col min="9" max="9" width="13" customWidth="1"/>
  </cols>
  <sheetData>
    <row r="1" spans="1:13" s="317" customFormat="1" ht="11.85" customHeight="1" x14ac:dyDescent="0.2">
      <c r="A1" s="2421" t="str">
        <f>'Single Audit Cover'!A7</f>
        <v>Coal City Community School District #1</v>
      </c>
      <c r="B1" s="2442"/>
      <c r="C1" s="2442"/>
      <c r="D1" s="2442"/>
      <c r="E1" s="2442"/>
      <c r="F1" s="2442"/>
      <c r="G1" s="2442"/>
      <c r="H1" s="2442"/>
      <c r="I1" s="2442"/>
      <c r="J1" s="2442"/>
      <c r="K1" s="2442"/>
      <c r="L1" s="2442"/>
    </row>
    <row r="2" spans="1:13" s="317" customFormat="1" ht="15" x14ac:dyDescent="0.2">
      <c r="A2" s="2443" t="str">
        <f>'Single Audit Cover'!E7</f>
        <v>24-032-0010-26</v>
      </c>
      <c r="B2" s="2443"/>
      <c r="C2" s="2443"/>
      <c r="D2" s="2443"/>
      <c r="E2" s="2443"/>
      <c r="F2" s="2443"/>
      <c r="G2" s="2443"/>
      <c r="H2" s="2443"/>
      <c r="I2" s="2443"/>
      <c r="J2" s="2443"/>
      <c r="K2" s="2443"/>
      <c r="L2" s="2443"/>
      <c r="M2" s="1299"/>
    </row>
    <row r="3" spans="1:13" s="317" customFormat="1" ht="15" x14ac:dyDescent="0.2">
      <c r="A3" s="2444" t="s">
        <v>1219</v>
      </c>
      <c r="B3" s="2444"/>
      <c r="C3" s="2444"/>
      <c r="D3" s="2444"/>
      <c r="E3" s="2444"/>
      <c r="F3" s="2444"/>
      <c r="G3" s="2444"/>
      <c r="H3" s="2444"/>
      <c r="I3" s="2444"/>
      <c r="J3" s="2444"/>
      <c r="K3" s="2444"/>
      <c r="L3" s="2444"/>
      <c r="M3" s="1299"/>
    </row>
    <row r="4" spans="1:13" s="317" customFormat="1" ht="15" x14ac:dyDescent="0.2">
      <c r="A4" s="2445" t="str">
        <f>'Single Audit Cover'!A4</f>
        <v>Year Ending June 30, 2019</v>
      </c>
      <c r="B4" s="2445"/>
      <c r="C4" s="2445"/>
      <c r="D4" s="2445"/>
      <c r="E4" s="2445"/>
      <c r="F4" s="2445"/>
      <c r="G4" s="2445"/>
      <c r="H4" s="2445"/>
      <c r="I4" s="2445"/>
      <c r="J4" s="2445"/>
      <c r="K4" s="2445"/>
      <c r="L4" s="2445"/>
      <c r="M4" s="1299"/>
    </row>
    <row r="5" spans="1:13" s="317" customFormat="1" x14ac:dyDescent="0.2">
      <c r="B5" s="1354"/>
      <c r="C5" s="1355"/>
      <c r="F5" s="1255"/>
      <c r="G5" s="1255"/>
      <c r="H5" s="1255"/>
      <c r="I5" s="1255"/>
      <c r="J5" s="1255"/>
      <c r="K5" s="1255"/>
    </row>
    <row r="6" spans="1:13" s="317" customFormat="1" x14ac:dyDescent="0.2">
      <c r="A6" s="1300"/>
      <c r="B6" s="1301"/>
      <c r="C6" s="1302" t="s">
        <v>1265</v>
      </c>
      <c r="D6" s="1303" t="s">
        <v>527</v>
      </c>
      <c r="E6" s="1304"/>
      <c r="F6" s="1305" t="s">
        <v>1731</v>
      </c>
      <c r="G6" s="1303"/>
      <c r="H6" s="1303"/>
      <c r="I6" s="1303"/>
      <c r="J6" s="1306"/>
      <c r="K6" s="1307"/>
      <c r="L6" s="1308"/>
    </row>
    <row r="7" spans="1:13" s="317" customFormat="1" x14ac:dyDescent="0.2">
      <c r="A7" s="1309" t="s">
        <v>1581</v>
      </c>
      <c r="B7" s="1310"/>
      <c r="C7" s="1311"/>
      <c r="D7" s="1312"/>
      <c r="E7" s="1313"/>
      <c r="F7" s="1312"/>
      <c r="G7" s="1314" t="s">
        <v>1262</v>
      </c>
      <c r="H7" s="1312"/>
      <c r="I7" s="1315" t="s">
        <v>1262</v>
      </c>
      <c r="J7" s="1316"/>
      <c r="K7" s="1317" t="s">
        <v>1260</v>
      </c>
      <c r="L7" s="1318"/>
    </row>
    <row r="8" spans="1:13" s="317" customFormat="1" x14ac:dyDescent="0.2">
      <c r="A8" s="1663"/>
      <c r="B8" s="1310" t="s">
        <v>1264</v>
      </c>
      <c r="C8" s="1311" t="s">
        <v>1263</v>
      </c>
      <c r="D8" s="1319" t="s">
        <v>1262</v>
      </c>
      <c r="E8" s="1320" t="s">
        <v>1262</v>
      </c>
      <c r="F8" s="1321" t="s">
        <v>1262</v>
      </c>
      <c r="G8" s="1314" t="s">
        <v>1836</v>
      </c>
      <c r="H8" s="1316" t="s">
        <v>1262</v>
      </c>
      <c r="I8" s="1315" t="s">
        <v>1985</v>
      </c>
      <c r="J8" s="1316" t="s">
        <v>1261</v>
      </c>
      <c r="K8" s="1317" t="s">
        <v>1257</v>
      </c>
      <c r="L8" s="1318" t="s">
        <v>30</v>
      </c>
    </row>
    <row r="9" spans="1:13" s="317" customFormat="1" ht="14.25" x14ac:dyDescent="0.2">
      <c r="A9" s="1322" t="s">
        <v>1259</v>
      </c>
      <c r="B9" s="1310" t="s">
        <v>1732</v>
      </c>
      <c r="C9" s="1311" t="s">
        <v>1733</v>
      </c>
      <c r="D9" s="1319" t="s">
        <v>1836</v>
      </c>
      <c r="E9" s="1320" t="s">
        <v>1985</v>
      </c>
      <c r="F9" s="1321" t="s">
        <v>1836</v>
      </c>
      <c r="G9" s="1314" t="s">
        <v>1582</v>
      </c>
      <c r="H9" s="1316" t="s">
        <v>1985</v>
      </c>
      <c r="I9" s="1315" t="s">
        <v>1582</v>
      </c>
      <c r="J9" s="1316" t="s">
        <v>1258</v>
      </c>
      <c r="K9" s="1323" t="s">
        <v>1583</v>
      </c>
      <c r="L9" s="1318"/>
    </row>
    <row r="10" spans="1:13" s="317" customFormat="1" ht="11.85" customHeight="1" x14ac:dyDescent="0.2">
      <c r="A10" s="1322" t="s">
        <v>1256</v>
      </c>
      <c r="B10" s="1324" t="s">
        <v>1255</v>
      </c>
      <c r="C10" s="1325" t="s">
        <v>1254</v>
      </c>
      <c r="D10" s="1326" t="s">
        <v>1253</v>
      </c>
      <c r="E10" s="1327" t="s">
        <v>1252</v>
      </c>
      <c r="F10" s="1328" t="s">
        <v>1251</v>
      </c>
      <c r="G10" s="1329" t="s">
        <v>1266</v>
      </c>
      <c r="H10" s="1330" t="s">
        <v>1250</v>
      </c>
      <c r="I10" s="1331" t="s">
        <v>1266</v>
      </c>
      <c r="J10" s="1332" t="s">
        <v>1249</v>
      </c>
      <c r="K10" s="1332" t="s">
        <v>1248</v>
      </c>
      <c r="L10" s="1333" t="s">
        <v>1247</v>
      </c>
    </row>
    <row r="11" spans="1:13" s="317" customFormat="1" ht="20.100000000000001" customHeight="1" x14ac:dyDescent="0.2">
      <c r="A11" s="1334" t="s">
        <v>2127</v>
      </c>
      <c r="B11" s="1335"/>
      <c r="C11" s="1336"/>
      <c r="D11" s="1337"/>
      <c r="E11" s="1337"/>
      <c r="F11" s="1337"/>
      <c r="G11" s="1337"/>
      <c r="H11" s="1337"/>
      <c r="I11" s="1337"/>
      <c r="J11" s="1337"/>
      <c r="K11" s="1337"/>
      <c r="L11" s="1340"/>
    </row>
    <row r="12" spans="1:13" s="317" customFormat="1" ht="20.100000000000001" customHeight="1" x14ac:dyDescent="0.2">
      <c r="A12" s="1334" t="s">
        <v>2128</v>
      </c>
      <c r="B12" s="1338"/>
      <c r="C12" s="1339"/>
      <c r="D12" s="1340"/>
      <c r="E12" s="1340"/>
      <c r="F12" s="1340"/>
      <c r="G12" s="1340"/>
      <c r="H12" s="1337"/>
      <c r="I12" s="1340"/>
      <c r="J12" s="1340"/>
      <c r="K12" s="1337"/>
      <c r="L12" s="1340"/>
    </row>
    <row r="13" spans="1:13" s="317" customFormat="1" ht="20.100000000000001" customHeight="1" x14ac:dyDescent="0.2">
      <c r="A13" s="1334" t="s">
        <v>2129</v>
      </c>
      <c r="B13" s="1338">
        <v>84.01</v>
      </c>
      <c r="C13" s="1339" t="s">
        <v>2131</v>
      </c>
      <c r="D13" s="1340"/>
      <c r="E13" s="1340">
        <v>181939</v>
      </c>
      <c r="F13" s="1340"/>
      <c r="G13" s="1340"/>
      <c r="H13" s="1340">
        <v>236464</v>
      </c>
      <c r="I13" s="1340"/>
      <c r="J13" s="1340"/>
      <c r="K13" s="1337">
        <f>+F13+H13+J13</f>
        <v>236464</v>
      </c>
      <c r="L13" s="1340">
        <v>270006</v>
      </c>
    </row>
    <row r="14" spans="1:13" s="317" customFormat="1" ht="20.100000000000001" customHeight="1" x14ac:dyDescent="0.2">
      <c r="A14" s="1334" t="s">
        <v>2130</v>
      </c>
      <c r="B14" s="1338">
        <v>84.01</v>
      </c>
      <c r="C14" s="1339" t="s">
        <v>2132</v>
      </c>
      <c r="D14" s="1340">
        <v>204186</v>
      </c>
      <c r="E14" s="1340">
        <v>134173</v>
      </c>
      <c r="F14" s="1340">
        <v>338359</v>
      </c>
      <c r="G14" s="1340"/>
      <c r="H14" s="1340"/>
      <c r="I14" s="1340"/>
      <c r="J14" s="1340"/>
      <c r="K14" s="1337">
        <f t="shared" ref="K14:K30" si="0">+F14+H14+J14</f>
        <v>338359</v>
      </c>
      <c r="L14" s="1340">
        <v>377587</v>
      </c>
    </row>
    <row r="15" spans="1:13" s="317" customFormat="1" ht="20.100000000000001" customHeight="1" x14ac:dyDescent="0.2">
      <c r="A15" s="1334" t="s">
        <v>2134</v>
      </c>
      <c r="B15" s="1338">
        <v>84.424000000000007</v>
      </c>
      <c r="C15" s="1339" t="s">
        <v>2135</v>
      </c>
      <c r="D15" s="1340"/>
      <c r="E15" s="1340">
        <v>16218</v>
      </c>
      <c r="F15" s="1340"/>
      <c r="G15" s="1340"/>
      <c r="H15" s="1340">
        <v>16218</v>
      </c>
      <c r="I15" s="1340"/>
      <c r="J15" s="1340"/>
      <c r="K15" s="1337">
        <f t="shared" si="0"/>
        <v>16218</v>
      </c>
      <c r="L15" s="1340">
        <v>20807</v>
      </c>
    </row>
    <row r="16" spans="1:13" s="317" customFormat="1" ht="20.100000000000001" customHeight="1" x14ac:dyDescent="0.2">
      <c r="A16" s="1334" t="s">
        <v>2133</v>
      </c>
      <c r="B16" s="1338">
        <v>84.424000000000007</v>
      </c>
      <c r="C16" s="1339" t="s">
        <v>2136</v>
      </c>
      <c r="D16" s="1340">
        <v>4762</v>
      </c>
      <c r="E16" s="1340">
        <v>3649</v>
      </c>
      <c r="F16" s="1340">
        <v>8411</v>
      </c>
      <c r="G16" s="1340"/>
      <c r="H16" s="1340"/>
      <c r="I16" s="1340"/>
      <c r="J16" s="1340"/>
      <c r="K16" s="1337">
        <f t="shared" si="0"/>
        <v>8411</v>
      </c>
      <c r="L16" s="1340">
        <v>10000</v>
      </c>
    </row>
    <row r="17" spans="1:13" s="317" customFormat="1" ht="20.100000000000001" customHeight="1" x14ac:dyDescent="0.2">
      <c r="A17" s="1334" t="s">
        <v>2137</v>
      </c>
      <c r="B17" s="1338">
        <v>84.367000000000004</v>
      </c>
      <c r="C17" s="1339" t="s">
        <v>2138</v>
      </c>
      <c r="D17" s="1340"/>
      <c r="E17" s="1340">
        <v>482</v>
      </c>
      <c r="F17" s="1340"/>
      <c r="G17" s="1340"/>
      <c r="H17" s="1340">
        <v>482</v>
      </c>
      <c r="I17" s="1340"/>
      <c r="J17" s="1340"/>
      <c r="K17" s="1337">
        <f t="shared" si="0"/>
        <v>482</v>
      </c>
      <c r="L17" s="1340">
        <v>500</v>
      </c>
    </row>
    <row r="18" spans="1:13" s="317" customFormat="1" ht="20.100000000000001" customHeight="1" x14ac:dyDescent="0.2">
      <c r="A18" s="1334" t="s">
        <v>2149</v>
      </c>
      <c r="B18" s="1338">
        <v>84.027000000000001</v>
      </c>
      <c r="C18" s="1339" t="s">
        <v>2150</v>
      </c>
      <c r="D18" s="1340"/>
      <c r="E18" s="1340">
        <v>377774</v>
      </c>
      <c r="F18" s="1340"/>
      <c r="G18" s="1340"/>
      <c r="H18" s="1340">
        <v>431883</v>
      </c>
      <c r="I18" s="1340"/>
      <c r="J18" s="1340"/>
      <c r="K18" s="1337">
        <f t="shared" si="0"/>
        <v>431883</v>
      </c>
      <c r="L18" s="1340">
        <v>431883</v>
      </c>
    </row>
    <row r="19" spans="1:13" s="1944" customFormat="1" ht="20.100000000000001" customHeight="1" x14ac:dyDescent="0.2">
      <c r="A19" s="1947" t="s">
        <v>2166</v>
      </c>
      <c r="B19" s="1949">
        <v>84.027000000000001</v>
      </c>
      <c r="C19" s="1950" t="s">
        <v>2167</v>
      </c>
      <c r="D19" s="1951"/>
      <c r="E19" s="1951">
        <v>7494</v>
      </c>
      <c r="F19" s="1951"/>
      <c r="G19" s="1951"/>
      <c r="H19" s="1951">
        <v>9147</v>
      </c>
      <c r="I19" s="1951"/>
      <c r="J19" s="1951"/>
      <c r="K19" s="1948">
        <f t="shared" si="0"/>
        <v>9147</v>
      </c>
      <c r="L19" s="1951">
        <v>9147</v>
      </c>
    </row>
    <row r="20" spans="1:13" s="317" customFormat="1" ht="20.100000000000001" customHeight="1" x14ac:dyDescent="0.2">
      <c r="A20" s="1334" t="s">
        <v>2147</v>
      </c>
      <c r="B20" s="1338"/>
      <c r="C20" s="1339"/>
      <c r="D20" s="1340">
        <f>SUM(D13:D18)</f>
        <v>208948</v>
      </c>
      <c r="E20" s="1340">
        <f>SUM(E13:E19)</f>
        <v>721729</v>
      </c>
      <c r="F20" s="1340">
        <f>SUM(F13:F18)</f>
        <v>346770</v>
      </c>
      <c r="G20" s="1340"/>
      <c r="H20" s="1340">
        <f>SUM(H13:H19)</f>
        <v>694194</v>
      </c>
      <c r="I20" s="1340"/>
      <c r="J20" s="1340"/>
      <c r="K20" s="1340">
        <f>SUM(K13:K19)</f>
        <v>1040964</v>
      </c>
      <c r="L20" s="1340">
        <f>SUM(L13:L19)</f>
        <v>1119930</v>
      </c>
    </row>
    <row r="21" spans="1:13" s="317" customFormat="1" ht="20.100000000000001" customHeight="1" x14ac:dyDescent="0.2">
      <c r="A21" s="1334" t="s">
        <v>2148</v>
      </c>
      <c r="B21" s="1338"/>
      <c r="C21" s="1339"/>
      <c r="D21" s="1340"/>
      <c r="E21" s="1340"/>
      <c r="F21" s="1340"/>
      <c r="G21" s="1340"/>
      <c r="H21" s="1340"/>
      <c r="I21" s="1340"/>
      <c r="J21" s="1340"/>
      <c r="K21" s="1337"/>
      <c r="L21" s="1340" t="s">
        <v>2114</v>
      </c>
    </row>
    <row r="22" spans="1:13" s="317" customFormat="1" ht="20.100000000000001" customHeight="1" x14ac:dyDescent="0.2">
      <c r="A22" s="1334" t="s">
        <v>2149</v>
      </c>
      <c r="B22" s="1338">
        <v>84.027000000000001</v>
      </c>
      <c r="C22" s="1339" t="s">
        <v>2168</v>
      </c>
      <c r="D22" s="1340">
        <v>194318</v>
      </c>
      <c r="E22" s="1340">
        <v>13179</v>
      </c>
      <c r="F22" s="1340">
        <v>207658</v>
      </c>
      <c r="G22" s="1340"/>
      <c r="H22" s="1340"/>
      <c r="I22" s="1340"/>
      <c r="J22" s="1340"/>
      <c r="K22" s="1337">
        <f t="shared" si="0"/>
        <v>207658</v>
      </c>
      <c r="L22" s="1340">
        <v>207658</v>
      </c>
    </row>
    <row r="23" spans="1:13" s="317" customFormat="1" ht="20.100000000000001" customHeight="1" x14ac:dyDescent="0.2">
      <c r="A23" s="1334" t="s">
        <v>2139</v>
      </c>
      <c r="B23" s="1338"/>
      <c r="C23" s="1339"/>
      <c r="D23" s="1340">
        <f>SUM(D13:D18)</f>
        <v>208948</v>
      </c>
      <c r="E23" s="1340">
        <f>E22+E20+E21</f>
        <v>734908</v>
      </c>
      <c r="F23" s="1340">
        <f>SUM(F13:F18)</f>
        <v>346770</v>
      </c>
      <c r="G23" s="1340"/>
      <c r="H23" s="1340">
        <f>H22+H20</f>
        <v>694194</v>
      </c>
      <c r="I23" s="1340"/>
      <c r="J23" s="1340"/>
      <c r="K23" s="1337">
        <f>+F23+H23+J23</f>
        <v>1040964</v>
      </c>
      <c r="L23" s="1340" t="s">
        <v>2114</v>
      </c>
    </row>
    <row r="24" spans="1:13" s="317" customFormat="1" ht="20.100000000000001" customHeight="1" x14ac:dyDescent="0.2">
      <c r="A24" s="1334" t="s">
        <v>2140</v>
      </c>
      <c r="B24" s="1338"/>
      <c r="C24" s="1339"/>
      <c r="D24" s="1340"/>
      <c r="E24" s="1340"/>
      <c r="F24" s="1340"/>
      <c r="G24" s="1340"/>
      <c r="H24" s="1340"/>
      <c r="I24" s="1340"/>
      <c r="J24" s="1340"/>
      <c r="K24" s="1337">
        <f t="shared" si="0"/>
        <v>0</v>
      </c>
      <c r="L24" s="1340" t="s">
        <v>2114</v>
      </c>
    </row>
    <row r="25" spans="1:13" s="317" customFormat="1" ht="20.100000000000001" customHeight="1" x14ac:dyDescent="0.2">
      <c r="A25" s="1334" t="s">
        <v>2141</v>
      </c>
      <c r="B25" s="1338"/>
      <c r="C25" s="1339"/>
      <c r="D25" s="1340"/>
      <c r="E25" s="1340"/>
      <c r="F25" s="1340"/>
      <c r="G25" s="1340"/>
      <c r="H25" s="1340"/>
      <c r="I25" s="1340"/>
      <c r="J25" s="1340"/>
      <c r="K25" s="1337">
        <f t="shared" si="0"/>
        <v>0</v>
      </c>
      <c r="L25" s="1340" t="s">
        <v>2114</v>
      </c>
    </row>
    <row r="26" spans="1:13" s="317" customFormat="1" ht="20.100000000000001" customHeight="1" x14ac:dyDescent="0.2">
      <c r="A26" s="1334" t="s">
        <v>2142</v>
      </c>
      <c r="B26" s="1338">
        <v>93.778000000000006</v>
      </c>
      <c r="C26" s="1339" t="s">
        <v>2144</v>
      </c>
      <c r="D26" s="1340"/>
      <c r="E26" s="1340">
        <v>26370</v>
      </c>
      <c r="F26" s="1340"/>
      <c r="G26" s="1340"/>
      <c r="H26" s="1340">
        <v>37894</v>
      </c>
      <c r="I26" s="1340"/>
      <c r="J26" s="1340"/>
      <c r="K26" s="1337">
        <f t="shared" si="0"/>
        <v>37894</v>
      </c>
      <c r="L26" s="1340" t="s">
        <v>2114</v>
      </c>
    </row>
    <row r="27" spans="1:13" s="317" customFormat="1" ht="20.100000000000001" customHeight="1" x14ac:dyDescent="0.2">
      <c r="A27" s="1334" t="s">
        <v>2143</v>
      </c>
      <c r="B27" s="1338">
        <v>93.778000000000006</v>
      </c>
      <c r="C27" s="1339" t="s">
        <v>2145</v>
      </c>
      <c r="D27" s="1340">
        <v>25755</v>
      </c>
      <c r="E27" s="1340">
        <v>10167</v>
      </c>
      <c r="F27" s="1340">
        <v>37418</v>
      </c>
      <c r="G27" s="1340"/>
      <c r="H27" s="1340"/>
      <c r="I27" s="1340"/>
      <c r="J27" s="1340"/>
      <c r="K27" s="1337">
        <f t="shared" si="0"/>
        <v>37418</v>
      </c>
      <c r="L27" s="1340" t="s">
        <v>2114</v>
      </c>
    </row>
    <row r="28" spans="1:13" s="317" customFormat="1" ht="20.100000000000001" customHeight="1" x14ac:dyDescent="0.2">
      <c r="A28" s="1334" t="s">
        <v>2146</v>
      </c>
      <c r="B28" s="1338"/>
      <c r="C28" s="1339"/>
      <c r="D28" s="1340">
        <f>SUM(D26:D27)</f>
        <v>25755</v>
      </c>
      <c r="E28" s="1340">
        <f>SUM(E26:E27)</f>
        <v>36537</v>
      </c>
      <c r="F28" s="1340">
        <f>SUM(F26:F27)</f>
        <v>37418</v>
      </c>
      <c r="G28" s="1340"/>
      <c r="H28" s="1340">
        <f>SUM(H26:H27)</f>
        <v>37894</v>
      </c>
      <c r="I28" s="1340"/>
      <c r="J28" s="1340"/>
      <c r="K28" s="1337">
        <f t="shared" si="0"/>
        <v>75312</v>
      </c>
      <c r="L28" s="1340" t="s">
        <v>2114</v>
      </c>
    </row>
    <row r="29" spans="1:13" s="317" customFormat="1" ht="20.100000000000001" customHeight="1" x14ac:dyDescent="0.2">
      <c r="A29" s="1334" t="s">
        <v>2169</v>
      </c>
      <c r="B29" s="1338"/>
      <c r="C29" s="1339"/>
      <c r="D29" s="1340"/>
      <c r="E29" s="1340"/>
      <c r="F29" s="1340"/>
      <c r="G29" s="1340"/>
      <c r="H29" s="1340"/>
      <c r="I29" s="1340"/>
      <c r="J29" s="1340"/>
      <c r="K29" s="1337">
        <f t="shared" si="0"/>
        <v>0</v>
      </c>
      <c r="L29" s="1340" t="s">
        <v>2114</v>
      </c>
    </row>
    <row r="30" spans="1:13" s="1944" customFormat="1" ht="20.100000000000001" customHeight="1" x14ac:dyDescent="0.2">
      <c r="A30" s="1947" t="s">
        <v>2170</v>
      </c>
      <c r="B30" s="1949">
        <v>84.195999999999998</v>
      </c>
      <c r="C30" s="1950" t="s">
        <v>2171</v>
      </c>
      <c r="D30" s="1951"/>
      <c r="E30" s="1951">
        <v>92</v>
      </c>
      <c r="F30" s="1951"/>
      <c r="G30" s="1951"/>
      <c r="H30" s="1951">
        <v>92</v>
      </c>
      <c r="I30" s="1951"/>
      <c r="J30" s="1951"/>
      <c r="K30" s="1948">
        <f t="shared" si="0"/>
        <v>92</v>
      </c>
      <c r="L30" s="1951" t="s">
        <v>2114</v>
      </c>
    </row>
    <row r="31" spans="1:13" s="317" customFormat="1" ht="20.100000000000001" customHeight="1" x14ac:dyDescent="0.2">
      <c r="A31" s="1334" t="s">
        <v>2151</v>
      </c>
      <c r="B31" s="1338"/>
      <c r="C31" s="1339"/>
      <c r="D31" s="1951">
        <f>D28+D23+D30+' SEFA'!E22</f>
        <v>481914.91000000003</v>
      </c>
      <c r="E31" s="1340">
        <f>E28+E23+E30+' SEFA'!F22</f>
        <v>1118113.67</v>
      </c>
      <c r="F31" s="1951">
        <f>F28+F23+F30+' SEFA'!G22</f>
        <v>631400</v>
      </c>
      <c r="G31" s="1340"/>
      <c r="H31" s="1340">
        <f>H28+H23+' SEFA'!I22+H30</f>
        <v>1078666.67</v>
      </c>
      <c r="I31" s="1340"/>
      <c r="J31" s="1340"/>
      <c r="K31" s="1951">
        <f>K28+K23+K30+' SEFA'!L22</f>
        <v>1710066.67</v>
      </c>
      <c r="L31" s="1340" t="s">
        <v>2114</v>
      </c>
    </row>
    <row r="32" spans="1:13" s="317" customFormat="1" ht="20.100000000000001" customHeight="1" x14ac:dyDescent="0.2">
      <c r="A32" s="1334"/>
      <c r="B32" s="1338"/>
      <c r="C32" s="1339"/>
      <c r="D32" s="1340"/>
      <c r="E32" s="1340"/>
      <c r="F32" s="1340"/>
      <c r="G32" s="1340"/>
      <c r="H32" s="1340"/>
      <c r="I32" s="1340"/>
      <c r="J32" s="1340"/>
      <c r="K32" s="1337"/>
      <c r="L32" s="1340"/>
      <c r="M32" s="1341"/>
    </row>
    <row r="33" spans="1:13" s="317" customFormat="1" ht="12.75" customHeight="1" x14ac:dyDescent="0.2">
      <c r="A33" s="1342"/>
      <c r="B33" s="1343"/>
      <c r="C33" s="1344"/>
      <c r="D33" s="1345"/>
      <c r="E33" s="1345"/>
      <c r="F33" s="1345"/>
      <c r="G33" s="1345"/>
      <c r="H33" s="1345"/>
      <c r="I33" s="1345"/>
      <c r="J33" s="1345"/>
      <c r="K33" s="1345"/>
      <c r="L33" s="1345"/>
      <c r="M33" s="1341"/>
    </row>
    <row r="34" spans="1:13" s="317" customFormat="1" x14ac:dyDescent="0.2">
      <c r="A34" s="1254"/>
      <c r="B34" s="1346"/>
      <c r="C34" s="1347"/>
      <c r="D34" s="1254"/>
      <c r="E34" s="1254"/>
      <c r="F34" s="1247"/>
      <c r="G34" s="1247"/>
      <c r="H34" s="1247"/>
      <c r="I34" s="1247"/>
      <c r="J34" s="1247"/>
      <c r="K34" s="1247"/>
      <c r="L34" s="1254"/>
      <c r="M34" s="1341"/>
    </row>
    <row r="35" spans="1:13" s="317" customFormat="1" ht="13.5" customHeight="1" x14ac:dyDescent="0.2">
      <c r="A35" s="1279" t="s">
        <v>1734</v>
      </c>
      <c r="B35" s="1346"/>
      <c r="C35" s="1347"/>
      <c r="D35" s="1254"/>
      <c r="E35" s="1254"/>
      <c r="F35" s="1247"/>
      <c r="G35" s="1247"/>
      <c r="H35" s="1247"/>
      <c r="I35" s="1247"/>
      <c r="J35" s="1247"/>
      <c r="K35" s="1247"/>
      <c r="L35" s="1254"/>
      <c r="M35" s="1341"/>
    </row>
    <row r="36" spans="1:13" s="317" customFormat="1" ht="8.25" customHeight="1" x14ac:dyDescent="0.2">
      <c r="A36" s="1279"/>
      <c r="B36" s="1346"/>
      <c r="C36" s="1347"/>
      <c r="D36" s="1254"/>
      <c r="E36" s="1254"/>
      <c r="F36" s="1247"/>
      <c r="G36" s="1247"/>
      <c r="H36" s="1247"/>
      <c r="I36" s="1247"/>
      <c r="J36" s="1247"/>
      <c r="K36" s="1247"/>
      <c r="L36" s="1254"/>
      <c r="M36" s="1341"/>
    </row>
    <row r="37" spans="1:13" s="317" customFormat="1" x14ac:dyDescent="0.2">
      <c r="A37" s="1348" t="s">
        <v>1837</v>
      </c>
      <c r="B37" s="1349"/>
      <c r="C37" s="1350"/>
      <c r="D37" s="1351"/>
      <c r="E37" s="1351"/>
      <c r="F37" s="1351"/>
      <c r="G37" s="1351"/>
      <c r="J37" s="1255"/>
      <c r="K37" s="1255"/>
    </row>
    <row r="38" spans="1:13" s="317" customFormat="1" x14ac:dyDescent="0.2">
      <c r="A38" s="1274"/>
      <c r="B38" s="1352"/>
      <c r="C38" s="1353"/>
      <c r="D38" s="1275"/>
      <c r="E38" s="1275"/>
      <c r="J38" s="1255"/>
      <c r="K38" s="1255"/>
    </row>
    <row r="39" spans="1:13" s="317" customFormat="1" ht="13.5" customHeight="1" x14ac:dyDescent="0.2">
      <c r="A39" s="1273" t="s">
        <v>1246</v>
      </c>
      <c r="B39" s="1354"/>
      <c r="C39" s="1355"/>
      <c r="J39" s="1255"/>
      <c r="K39" s="1255"/>
    </row>
    <row r="40" spans="1:13" s="317" customFormat="1" ht="13.5" customHeight="1" x14ac:dyDescent="0.2">
      <c r="A40" s="1356"/>
      <c r="B40" s="1357"/>
      <c r="C40" s="1358"/>
      <c r="D40" s="1294"/>
      <c r="E40" s="1294"/>
      <c r="F40" s="1294"/>
      <c r="G40" s="1294"/>
      <c r="H40" s="1294"/>
      <c r="I40" s="1294"/>
      <c r="J40" s="1359"/>
      <c r="K40" s="1359"/>
      <c r="L40" s="1294"/>
    </row>
    <row r="41" spans="1:13" s="317" customFormat="1" ht="9.6" customHeight="1" x14ac:dyDescent="0.2">
      <c r="A41" s="1360"/>
      <c r="B41" s="1354"/>
      <c r="C41" s="1355"/>
      <c r="J41" s="1255"/>
      <c r="K41" s="1255"/>
    </row>
    <row r="42" spans="1:13" s="317" customFormat="1" ht="11.25" customHeight="1" x14ac:dyDescent="0.2">
      <c r="A42" s="1361" t="s">
        <v>1735</v>
      </c>
      <c r="B42" s="1362"/>
      <c r="C42" s="1362"/>
      <c r="D42" s="1362"/>
      <c r="E42" s="1362"/>
      <c r="F42" s="1362"/>
      <c r="G42" s="1362"/>
      <c r="H42" s="1363"/>
      <c r="I42" s="1363"/>
      <c r="J42" s="1363"/>
      <c r="K42" s="1363"/>
      <c r="L42" s="1363"/>
    </row>
    <row r="43" spans="1:13" s="317" customFormat="1" ht="11.25" customHeight="1" x14ac:dyDescent="0.2">
      <c r="A43" s="1364" t="s">
        <v>1584</v>
      </c>
      <c r="B43" s="1363"/>
      <c r="C43" s="1363"/>
      <c r="D43" s="1363"/>
      <c r="E43" s="1363"/>
      <c r="F43" s="1363"/>
      <c r="G43" s="1363"/>
      <c r="H43" s="1363"/>
      <c r="I43" s="1363"/>
      <c r="J43" s="1363"/>
      <c r="K43" s="1363"/>
      <c r="L43" s="1363"/>
    </row>
    <row r="44" spans="1:13" s="317" customFormat="1" ht="3.95" customHeight="1" x14ac:dyDescent="0.2">
      <c r="A44" s="1364"/>
      <c r="B44" s="1363"/>
      <c r="C44" s="1363"/>
      <c r="D44" s="1363"/>
      <c r="E44" s="1363"/>
      <c r="F44" s="1363"/>
      <c r="G44" s="1363"/>
      <c r="H44" s="1363"/>
      <c r="I44" s="1363"/>
      <c r="J44" s="1363"/>
      <c r="K44" s="1363"/>
      <c r="L44" s="1363"/>
    </row>
    <row r="45" spans="1:13" s="317" customFormat="1" ht="11.25" customHeight="1" x14ac:dyDescent="0.2">
      <c r="A45" s="1361" t="s">
        <v>1736</v>
      </c>
      <c r="B45" s="1363"/>
      <c r="C45" s="1363"/>
      <c r="D45" s="1363"/>
      <c r="E45" s="1363"/>
      <c r="F45" s="1363"/>
      <c r="G45" s="1363"/>
      <c r="H45" s="1363"/>
      <c r="I45" s="1363"/>
      <c r="J45" s="1363"/>
      <c r="K45" s="1363"/>
      <c r="L45" s="1363"/>
    </row>
    <row r="46" spans="1:13" s="317" customFormat="1" ht="11.25" customHeight="1" x14ac:dyDescent="0.2">
      <c r="A46" s="1297" t="s">
        <v>1585</v>
      </c>
      <c r="B46" s="1365"/>
      <c r="C46" s="1366"/>
      <c r="D46" s="1297"/>
      <c r="E46" s="1297"/>
      <c r="F46" s="1297"/>
      <c r="G46" s="1297"/>
      <c r="H46" s="1297"/>
      <c r="I46" s="1297"/>
      <c r="J46" s="1367"/>
      <c r="K46" s="1367"/>
      <c r="L46" s="1297"/>
    </row>
    <row r="47" spans="1:13" s="317" customFormat="1" ht="3.95" customHeight="1" x14ac:dyDescent="0.2">
      <c r="A47" s="1297"/>
      <c r="B47" s="1365"/>
      <c r="C47" s="1366"/>
      <c r="D47" s="1297"/>
      <c r="E47" s="1297"/>
      <c r="F47" s="1297"/>
      <c r="G47" s="1297"/>
      <c r="H47" s="1297"/>
      <c r="I47" s="1297"/>
      <c r="J47" s="1367"/>
      <c r="K47" s="1367"/>
      <c r="L47" s="1297"/>
    </row>
    <row r="48" spans="1:13" s="317" customFormat="1" ht="11.25" customHeight="1" x14ac:dyDescent="0.2">
      <c r="A48" s="1368" t="s">
        <v>1737</v>
      </c>
      <c r="B48" s="1365"/>
      <c r="C48" s="1366"/>
      <c r="D48" s="1297"/>
      <c r="E48" s="1297"/>
      <c r="F48" s="1297"/>
      <c r="G48" s="1297"/>
      <c r="H48" s="1297"/>
      <c r="I48" s="1297"/>
      <c r="J48" s="1367"/>
      <c r="K48" s="1367"/>
      <c r="L48" s="1297"/>
    </row>
    <row r="49" spans="1:12" s="317" customFormat="1" ht="3.95" customHeight="1" x14ac:dyDescent="0.2">
      <c r="A49" s="1368"/>
      <c r="B49" s="1365"/>
      <c r="C49" s="1366"/>
      <c r="D49" s="1297"/>
      <c r="E49" s="1297"/>
      <c r="F49" s="1297"/>
      <c r="G49" s="1297"/>
      <c r="H49" s="1297"/>
      <c r="I49" s="1297"/>
      <c r="J49" s="1367"/>
      <c r="K49" s="1367"/>
      <c r="L49" s="1297"/>
    </row>
    <row r="50" spans="1:12" s="317" customFormat="1" ht="11.25" customHeight="1" x14ac:dyDescent="0.2">
      <c r="A50" s="1369" t="s">
        <v>1738</v>
      </c>
      <c r="B50" s="1365"/>
      <c r="C50" s="1366"/>
      <c r="D50" s="1297"/>
      <c r="E50" s="1297"/>
      <c r="F50" s="1297"/>
      <c r="G50" s="1297"/>
      <c r="H50" s="1297"/>
      <c r="I50" s="1297"/>
      <c r="J50" s="1367"/>
      <c r="K50" s="1367"/>
      <c r="L50" s="1297"/>
    </row>
    <row r="51" spans="1:12" s="317" customFormat="1" ht="11.25" customHeight="1" x14ac:dyDescent="0.2">
      <c r="A51" s="1297" t="s">
        <v>1586</v>
      </c>
      <c r="B51" s="1354"/>
      <c r="C51" s="1355"/>
      <c r="J51" s="1255"/>
      <c r="K51" s="1255"/>
    </row>
  </sheetData>
  <mergeCells count="4">
    <mergeCell ref="A1:L1"/>
    <mergeCell ref="A2:L2"/>
    <mergeCell ref="A3:L3"/>
    <mergeCell ref="A4:L4"/>
  </mergeCells>
  <pageMargins left="0.7" right="0.7" top="0.75" bottom="0.75" header="0.3" footer="0.3"/>
  <pageSetup scale="6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3" colorId="8" zoomScale="110" zoomScaleNormal="110" workbookViewId="0">
      <selection activeCell="D118" sqref="D118"/>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1168</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9" t="s">
        <v>1633</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313</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1323</v>
      </c>
      <c r="B70" s="2082"/>
      <c r="C70" s="2082"/>
      <c r="D70" s="2082"/>
      <c r="E70" s="2083"/>
      <c r="F70" s="2083"/>
      <c r="G70" s="2083"/>
      <c r="H70" s="2083"/>
      <c r="I70" s="208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1320</v>
      </c>
      <c r="B83" s="2084"/>
      <c r="C83" s="2084"/>
      <c r="D83" s="208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2061</v>
      </c>
      <c r="D114" s="207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1330</v>
      </c>
      <c r="D117" s="2077"/>
      <c r="E117" s="2078"/>
      <c r="F117" s="2078"/>
      <c r="G117" s="2078"/>
      <c r="H117" s="2078"/>
      <c r="I117" s="304"/>
    </row>
    <row r="118" spans="1:9" s="181" customFormat="1" ht="24" customHeight="1" x14ac:dyDescent="0.2">
      <c r="A118" s="316"/>
      <c r="B118" s="316"/>
      <c r="C118" s="316"/>
      <c r="D118" s="323" t="s">
        <v>2081</v>
      </c>
      <c r="E118" s="322"/>
      <c r="F118" s="324"/>
      <c r="G118" s="1837"/>
      <c r="H118" s="322"/>
      <c r="I118" s="304"/>
    </row>
    <row r="119" spans="1:9" s="181" customFormat="1" ht="11.25" customHeight="1" x14ac:dyDescent="0.2">
      <c r="A119" s="325"/>
      <c r="B119" s="325"/>
      <c r="C119" s="326"/>
      <c r="D119" s="327" t="s">
        <v>361</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Coal City Community School District #1</v>
      </c>
      <c r="B1" s="2455"/>
      <c r="C1" s="2455"/>
      <c r="D1" s="2455"/>
      <c r="E1" s="2455"/>
      <c r="F1" s="2455"/>
    </row>
    <row r="2" spans="1:7" ht="13.5" customHeight="1" x14ac:dyDescent="0.2">
      <c r="A2" s="2443" t="str">
        <f>'Single Audit Cover'!E7</f>
        <v>24-032-0010-26</v>
      </c>
      <c r="B2" s="2443"/>
      <c r="C2" s="2443"/>
      <c r="D2" s="2443"/>
      <c r="E2" s="2443"/>
      <c r="F2" s="2443"/>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2174</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54" t="s">
        <v>2172</v>
      </c>
      <c r="B13" s="2454"/>
      <c r="C13" s="2454"/>
      <c r="D13" s="2454"/>
      <c r="E13" s="2454"/>
      <c r="F13" s="2454"/>
    </row>
    <row r="14" spans="1:7" ht="9.75" customHeight="1" x14ac:dyDescent="0.2">
      <c r="C14" s="1257"/>
      <c r="D14" s="1257"/>
    </row>
    <row r="15" spans="1:7" ht="13.5" customHeight="1" x14ac:dyDescent="0.2">
      <c r="C15" s="1843" t="s">
        <v>1270</v>
      </c>
      <c r="D15" s="2452" t="s">
        <v>1269</v>
      </c>
      <c r="E15" s="2452"/>
      <c r="F15" s="2452"/>
    </row>
    <row r="16" spans="1:7" ht="13.5" customHeight="1" x14ac:dyDescent="0.2">
      <c r="A16" s="1279"/>
      <c r="B16" s="1273" t="s">
        <v>1268</v>
      </c>
      <c r="C16" s="1843" t="s">
        <v>1267</v>
      </c>
      <c r="D16" s="2453" t="s">
        <v>1588</v>
      </c>
      <c r="E16" s="2453"/>
      <c r="F16" s="2453"/>
    </row>
    <row r="17" spans="1:6" ht="20.45" customHeight="1" x14ac:dyDescent="0.2">
      <c r="A17" s="1280"/>
      <c r="B17" s="1281" t="s">
        <v>2115</v>
      </c>
      <c r="C17" s="1282" t="s">
        <v>2114</v>
      </c>
      <c r="D17" s="2446">
        <v>0</v>
      </c>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8" t="s">
        <v>2173</v>
      </c>
      <c r="B32" s="2448"/>
      <c r="C32" s="2448"/>
      <c r="D32" s="2448"/>
      <c r="E32" s="2448"/>
      <c r="F32" s="2448"/>
    </row>
    <row r="33" spans="1:6" ht="13.5" customHeight="1" x14ac:dyDescent="0.2">
      <c r="A33" s="328" t="s">
        <v>1434</v>
      </c>
      <c r="B33" s="328"/>
      <c r="C33" s="1285">
        <v>30255</v>
      </c>
      <c r="D33" s="1900"/>
      <c r="E33" s="1283"/>
    </row>
    <row r="34" spans="1:6" ht="13.5" customHeight="1" x14ac:dyDescent="0.2">
      <c r="A34" s="328" t="s">
        <v>1835</v>
      </c>
      <c r="B34" s="328"/>
      <c r="C34" s="1286">
        <v>22816</v>
      </c>
      <c r="D34" s="1900" t="s">
        <v>1589</v>
      </c>
      <c r="E34" s="2449">
        <f>+C33+C34</f>
        <v>53071</v>
      </c>
      <c r="F34" s="2450"/>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v>0</v>
      </c>
      <c r="D38" s="1900"/>
      <c r="E38" s="1283"/>
    </row>
    <row r="39" spans="1:6" ht="14.25" customHeight="1" x14ac:dyDescent="0.2">
      <c r="A39" s="328"/>
      <c r="B39" s="328" t="s">
        <v>1436</v>
      </c>
      <c r="C39" s="1289">
        <v>0</v>
      </c>
      <c r="D39" s="1900"/>
      <c r="E39" s="1283"/>
    </row>
    <row r="40" spans="1:6" ht="14.25" customHeight="1" x14ac:dyDescent="0.2">
      <c r="A40" s="328"/>
      <c r="B40" s="328" t="s">
        <v>1437</v>
      </c>
      <c r="C40" s="1289">
        <v>0</v>
      </c>
      <c r="D40" s="1900"/>
      <c r="E40" s="1283"/>
    </row>
    <row r="41" spans="1:6" ht="14.25" customHeight="1" x14ac:dyDescent="0.2">
      <c r="A41" s="328"/>
      <c r="B41" s="328" t="s">
        <v>1438</v>
      </c>
      <c r="C41" s="1289">
        <v>0</v>
      </c>
      <c r="D41" s="1900"/>
      <c r="E41" s="1283"/>
    </row>
    <row r="42" spans="1:6" ht="14.25" customHeight="1" x14ac:dyDescent="0.2">
      <c r="A42" s="328" t="s">
        <v>1439</v>
      </c>
      <c r="B42" s="328"/>
      <c r="C42" s="1898">
        <v>0</v>
      </c>
      <c r="D42" s="1900"/>
      <c r="E42" s="1283"/>
    </row>
    <row r="43" spans="1:6" ht="14.25" customHeight="1" x14ac:dyDescent="0.2">
      <c r="A43" s="328" t="s">
        <v>1440</v>
      </c>
      <c r="B43" s="328"/>
      <c r="C43" s="1290" t="s">
        <v>885</v>
      </c>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2"/>
      <c r="C50" s="1842"/>
      <c r="D50" s="1842"/>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sheet="1" objects="1" scenarios="1"/>
  <mergeCells count="26">
    <mergeCell ref="A7:F7"/>
    <mergeCell ref="A1:F1"/>
    <mergeCell ref="A2:F2"/>
    <mergeCell ref="A3:F3"/>
    <mergeCell ref="A4:F4"/>
    <mergeCell ref="D20:F20"/>
    <mergeCell ref="D21:F21"/>
    <mergeCell ref="D22:F22"/>
    <mergeCell ref="D23:F23"/>
    <mergeCell ref="A13:F13"/>
    <mergeCell ref="D15:F15"/>
    <mergeCell ref="D16:F16"/>
    <mergeCell ref="D17:F17"/>
    <mergeCell ref="D18:F18"/>
    <mergeCell ref="D19:F19"/>
    <mergeCell ref="D24:F24"/>
    <mergeCell ref="D25:F25"/>
    <mergeCell ref="B51:D51"/>
    <mergeCell ref="B52:D52"/>
    <mergeCell ref="D27:F27"/>
    <mergeCell ref="D28:F28"/>
    <mergeCell ref="D29:F29"/>
    <mergeCell ref="A32:F32"/>
    <mergeCell ref="E34:F34"/>
    <mergeCell ref="B49:D49"/>
    <mergeCell ref="D26:F26"/>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topLeftCell="A22" zoomScale="110" zoomScaleNormal="110" workbookViewId="0">
      <selection activeCell="G46" sqref="G46"/>
    </sheetView>
  </sheetViews>
  <sheetFormatPr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Coal City Community School District #1</v>
      </c>
      <c r="C1" s="2473"/>
      <c r="D1" s="2473"/>
      <c r="E1" s="2473"/>
      <c r="F1" s="2473"/>
      <c r="G1" s="2473"/>
      <c r="H1" s="2473"/>
      <c r="I1" s="2473"/>
      <c r="J1" s="1406"/>
    </row>
    <row r="2" spans="2:10" s="317" customFormat="1" ht="12.75" customHeight="1" x14ac:dyDescent="0.2">
      <c r="B2" s="2474" t="str">
        <f>'Single Audit Cover'!E7</f>
        <v>24-032-0010-26</v>
      </c>
      <c r="C2" s="2475"/>
      <c r="D2" s="2475"/>
      <c r="E2" s="2475"/>
      <c r="F2" s="2475"/>
      <c r="G2" s="2475"/>
      <c r="H2" s="2475"/>
      <c r="I2" s="2475"/>
      <c r="J2" s="1406"/>
    </row>
    <row r="3" spans="2:10" s="317" customFormat="1" ht="12.75" customHeight="1" x14ac:dyDescent="0.2">
      <c r="B3" s="2476" t="s">
        <v>1285</v>
      </c>
      <c r="C3" s="2477"/>
      <c r="D3" s="2477"/>
      <c r="E3" s="2477"/>
      <c r="F3" s="2477"/>
      <c r="G3" s="2477"/>
      <c r="H3" s="2477"/>
      <c r="I3" s="2477"/>
      <c r="J3" s="1407"/>
    </row>
    <row r="4" spans="2:10" s="317" customFormat="1" ht="12.75" customHeight="1" x14ac:dyDescent="0.2">
      <c r="B4" s="2476" t="str">
        <f>'Single Audit Cover'!A4</f>
        <v>Year Ending June 30, 2019</v>
      </c>
      <c r="C4" s="2477"/>
      <c r="D4" s="2477"/>
      <c r="E4" s="2477"/>
      <c r="F4" s="2477"/>
      <c r="G4" s="2477"/>
      <c r="H4" s="2477"/>
      <c r="I4" s="247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6" t="s">
        <v>1284</v>
      </c>
      <c r="C7" s="2477"/>
      <c r="D7" s="2477"/>
      <c r="E7" s="2477"/>
      <c r="F7" s="2477"/>
      <c r="G7" s="2477"/>
      <c r="H7" s="2477"/>
      <c r="I7" s="247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8" t="s">
        <v>2152</v>
      </c>
      <c r="D11" s="247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2076</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2076</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2076</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9" t="s">
        <v>2153</v>
      </c>
      <c r="E29" s="2479"/>
      <c r="F29" s="2479"/>
      <c r="G29" s="2479"/>
      <c r="H29" s="2479"/>
      <c r="I29" s="247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2076</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3" t="s">
        <v>1748</v>
      </c>
      <c r="D37" s="2464"/>
      <c r="E37" s="2464"/>
      <c r="F37" s="2465"/>
      <c r="G37" s="2463" t="s">
        <v>1592</v>
      </c>
      <c r="H37" s="2464"/>
      <c r="I37" s="2465"/>
    </row>
    <row r="38" spans="2:9" ht="16.5" customHeight="1" x14ac:dyDescent="0.2">
      <c r="B38" s="1952">
        <v>84.027000000000001</v>
      </c>
      <c r="C38" s="2459" t="s">
        <v>2154</v>
      </c>
      <c r="D38" s="2460"/>
      <c r="E38" s="2460"/>
      <c r="F38" s="2461"/>
      <c r="G38" s="2462">
        <v>441030</v>
      </c>
      <c r="H38" s="2462"/>
      <c r="I38" s="2462"/>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66" t="s">
        <v>1593</v>
      </c>
      <c r="D43" s="2467"/>
      <c r="E43" s="2467"/>
      <c r="F43" s="2468"/>
      <c r="G43" s="2469">
        <f>SUM(G38:I42)</f>
        <v>441030</v>
      </c>
      <c r="H43" s="2469"/>
      <c r="I43" s="2469"/>
    </row>
    <row r="44" spans="2:9" ht="12.75" customHeight="1" x14ac:dyDescent="0.2"/>
    <row r="45" spans="2:9" ht="12.75" customHeight="1" x14ac:dyDescent="0.2">
      <c r="B45" s="1419" t="s">
        <v>2059</v>
      </c>
      <c r="D45" s="2470">
        <v>1078667</v>
      </c>
      <c r="E45" s="2471"/>
    </row>
    <row r="46" spans="2:9" ht="5.25" customHeight="1" x14ac:dyDescent="0.2">
      <c r="B46" s="1429"/>
      <c r="D46" s="1430"/>
      <c r="E46" s="1431"/>
    </row>
    <row r="47" spans="2:9" ht="12.75" customHeight="1" x14ac:dyDescent="0.2">
      <c r="B47" s="1297" t="s">
        <v>1594</v>
      </c>
      <c r="C47" s="1297"/>
      <c r="D47" s="1432">
        <f>+G43/D45</f>
        <v>0.40886575745804776</v>
      </c>
      <c r="E47" s="1433"/>
      <c r="F47" s="1434"/>
      <c r="I47" s="1435"/>
    </row>
    <row r="48" spans="2:9" ht="9.9499999999999993" customHeight="1" x14ac:dyDescent="0.2"/>
    <row r="49" spans="1:9" x14ac:dyDescent="0.2">
      <c r="B49" s="1365" t="s">
        <v>1273</v>
      </c>
      <c r="C49" s="1279"/>
      <c r="D49" s="1279"/>
      <c r="E49" s="2458">
        <v>750000</v>
      </c>
      <c r="F49" s="2458"/>
      <c r="G49" s="2458"/>
      <c r="H49" s="322"/>
    </row>
    <row r="51" spans="1:9" ht="13.5" customHeight="1" x14ac:dyDescent="0.2">
      <c r="B51" s="1365" t="s">
        <v>1272</v>
      </c>
      <c r="C51" s="1279"/>
      <c r="E51" s="1422"/>
      <c r="F51" s="1297" t="s">
        <v>885</v>
      </c>
      <c r="G51" s="1422" t="s">
        <v>2070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11:D11"/>
    <mergeCell ref="D29:I29"/>
    <mergeCell ref="C37:F37"/>
    <mergeCell ref="B1:I1"/>
    <mergeCell ref="B2:I2"/>
    <mergeCell ref="B3:I3"/>
    <mergeCell ref="B4:I4"/>
    <mergeCell ref="B7:I7"/>
    <mergeCell ref="G37:I37"/>
    <mergeCell ref="C38:F38"/>
    <mergeCell ref="G38:I38"/>
    <mergeCell ref="C43:F43"/>
    <mergeCell ref="G43:I43"/>
    <mergeCell ref="C39:F39"/>
    <mergeCell ref="G39:I39"/>
    <mergeCell ref="E49:G49"/>
    <mergeCell ref="C40:F40"/>
    <mergeCell ref="G40:I40"/>
    <mergeCell ref="C41:F41"/>
    <mergeCell ref="G41:I41"/>
    <mergeCell ref="C42:F42"/>
    <mergeCell ref="G42:I42"/>
    <mergeCell ref="D45:E45"/>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D10" sqref="D10"/>
    </sheetView>
  </sheetViews>
  <sheetFormatPr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Coal City Community School District #1</v>
      </c>
      <c r="C1" s="2472"/>
      <c r="D1" s="2472"/>
      <c r="E1" s="2472"/>
      <c r="F1" s="2472"/>
      <c r="G1" s="2472"/>
      <c r="H1" s="2472"/>
      <c r="I1" s="2472"/>
      <c r="J1" s="2472"/>
      <c r="K1" s="2472"/>
      <c r="L1" s="1371"/>
      <c r="M1" s="1371"/>
    </row>
    <row r="2" spans="1:13" ht="12" customHeight="1" x14ac:dyDescent="0.2">
      <c r="B2" s="2474" t="str">
        <f>'Single Audit Cover'!E7</f>
        <v>24-032-0010-26</v>
      </c>
      <c r="C2" s="2474"/>
      <c r="D2" s="2474"/>
      <c r="E2" s="2474"/>
      <c r="F2" s="2474"/>
      <c r="G2" s="2474"/>
      <c r="H2" s="2474"/>
      <c r="I2" s="2474"/>
      <c r="J2" s="2474"/>
      <c r="K2" s="2474"/>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2114</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5"/>
      <c r="C20" s="2485"/>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1"/>
      <c r="C32" s="2481"/>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zoomScale="110" zoomScaleNormal="110" workbookViewId="0">
      <selection activeCell="D8" sqref="D8"/>
    </sheetView>
  </sheetViews>
  <sheetFormatPr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Coal City Community School District #1</v>
      </c>
      <c r="C1" s="2489"/>
      <c r="D1" s="2489"/>
      <c r="E1" s="2489"/>
      <c r="F1" s="2489"/>
      <c r="G1" s="2489"/>
      <c r="H1" s="2489"/>
      <c r="I1" s="2489"/>
      <c r="J1" s="2489"/>
      <c r="K1" s="2489"/>
      <c r="L1" s="1449"/>
    </row>
    <row r="2" spans="1:12" ht="12.75" customHeight="1" x14ac:dyDescent="0.2">
      <c r="B2" s="2490" t="str">
        <f>'Single Audit Cover'!E7</f>
        <v>24-032-0010-26</v>
      </c>
      <c r="C2" s="2490"/>
      <c r="D2" s="2490"/>
      <c r="E2" s="2490"/>
      <c r="F2" s="2490"/>
      <c r="G2" s="2490"/>
      <c r="H2" s="2490"/>
      <c r="I2" s="2490"/>
      <c r="J2" s="2490"/>
      <c r="K2" s="2490"/>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2114</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9"/>
      <c r="G12" s="2479"/>
      <c r="H12" s="2479"/>
      <c r="I12" s="2479"/>
      <c r="J12" s="2479"/>
      <c r="K12" s="247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B8" sqref="B8"/>
    </sheetView>
  </sheetViews>
  <sheetFormatPr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2" t="str">
        <f>'Single Audit Cover'!A7</f>
        <v>Coal City Community School District #1</v>
      </c>
      <c r="C1" s="2472"/>
      <c r="D1" s="2472"/>
      <c r="E1" s="1469"/>
    </row>
    <row r="2" spans="2:5" s="1279" customFormat="1" ht="12.75" customHeight="1" x14ac:dyDescent="0.2">
      <c r="B2" s="2474" t="str">
        <f>'Single Audit Cover'!E7</f>
        <v>24-032-0010-26</v>
      </c>
      <c r="C2" s="2474"/>
      <c r="D2" s="2474"/>
      <c r="E2" s="1470"/>
    </row>
    <row r="3" spans="2:5" ht="12.75" customHeight="1" x14ac:dyDescent="0.2">
      <c r="B3" s="2482" t="s">
        <v>1763</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2115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B33" sqref="B33"/>
    </sheetView>
  </sheetViews>
  <sheetFormatPr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386</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799807127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1.9708E-2</v>
      </c>
      <c r="E10" s="356" t="s">
        <v>1005</v>
      </c>
      <c r="F10" s="355">
        <v>4.2500000000000003E-3</v>
      </c>
      <c r="G10" s="356" t="s">
        <v>1005</v>
      </c>
      <c r="H10" s="355">
        <v>1.8209999999999999E-3</v>
      </c>
      <c r="I10" s="356" t="s">
        <v>1006</v>
      </c>
      <c r="J10" s="1730">
        <f>ROUND(D10+F10+H10,5)</f>
        <v>2.5780000000000001E-2</v>
      </c>
      <c r="K10" s="222"/>
      <c r="L10" s="355">
        <v>3.0400000000000002E-4</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27951555</v>
      </c>
      <c r="E16" s="356"/>
      <c r="F16" s="1731">
        <f>SUM('Acct Summary 7-8'!C17,'Acct Summary 7-8'!D17,'Acct Summary 7-8'!F17)</f>
        <v>27090764</v>
      </c>
      <c r="G16" s="356"/>
      <c r="H16" s="1731">
        <f>SUM(D16-F16)</f>
        <v>860791</v>
      </c>
      <c r="I16" s="222"/>
      <c r="J16" s="1731">
        <f>SUM('Acct Summary 7-8'!C81,'Acct Summary 7-8'!D81,'Acct Summary 7-8'!F81,'Acct Summary 7-8'!I81)</f>
        <v>17195288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110373383.52600001</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32305000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mergeCells count="4">
    <mergeCell ref="A1:M1"/>
    <mergeCell ref="B54:L58"/>
    <mergeCell ref="D11:J11"/>
    <mergeCell ref="C61:D61"/>
  </mergeCells>
  <phoneticPr fontId="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556</v>
      </c>
      <c r="B2" s="2114"/>
      <c r="C2" s="2114"/>
      <c r="D2" s="2114"/>
      <c r="E2" s="2114"/>
      <c r="F2" s="2114"/>
      <c r="G2" s="2114"/>
      <c r="H2" s="2114"/>
      <c r="I2" s="2114"/>
      <c r="J2" s="2114"/>
      <c r="K2" s="2114"/>
      <c r="L2" s="2114"/>
      <c r="M2" s="2114"/>
      <c r="N2" s="2114"/>
      <c r="O2" s="2114"/>
      <c r="P2" s="2114"/>
      <c r="Q2" s="2114"/>
      <c r="R2" s="2114"/>
    </row>
    <row r="3" spans="1:18" ht="12.75" x14ac:dyDescent="0.2">
      <c r="A3" s="2115" t="s">
        <v>1413</v>
      </c>
      <c r="B3" s="2115"/>
      <c r="C3" s="2115"/>
      <c r="D3" s="2115"/>
      <c r="E3" s="2115"/>
      <c r="F3" s="2115"/>
      <c r="G3" s="2115"/>
      <c r="H3" s="2115"/>
      <c r="I3" s="2115"/>
      <c r="J3" s="2115"/>
      <c r="K3" s="2115"/>
      <c r="L3" s="2115"/>
      <c r="M3" s="2115"/>
      <c r="N3" s="2115"/>
      <c r="O3" s="2115"/>
      <c r="P3" s="2115"/>
      <c r="Q3" s="2115"/>
      <c r="R3" s="2115"/>
    </row>
    <row r="4" spans="1:18" x14ac:dyDescent="0.2">
      <c r="A4" s="2116" t="s">
        <v>1554</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Coal City Community School District #1</v>
      </c>
      <c r="E7" s="391"/>
      <c r="G7" s="252"/>
      <c r="H7" s="387"/>
      <c r="I7" s="387"/>
      <c r="J7" s="387"/>
      <c r="K7" s="387"/>
      <c r="L7" s="329"/>
      <c r="M7" s="329"/>
      <c r="N7" s="329"/>
      <c r="O7" s="329"/>
      <c r="P7" s="329"/>
    </row>
    <row r="8" spans="1:18" ht="12.75" x14ac:dyDescent="0.2">
      <c r="A8" s="329"/>
      <c r="B8" s="329"/>
      <c r="C8" s="389" t="s">
        <v>1125</v>
      </c>
      <c r="D8" s="392" t="str">
        <f>COVER!A13</f>
        <v>24-032-0010-26</v>
      </c>
      <c r="E8" s="393"/>
      <c r="G8" s="329"/>
      <c r="H8" s="329"/>
      <c r="I8" s="329"/>
      <c r="J8" s="329"/>
      <c r="K8" s="329"/>
      <c r="L8" s="329"/>
      <c r="M8" s="329"/>
      <c r="N8" s="329"/>
      <c r="O8" s="329"/>
      <c r="P8" s="329"/>
    </row>
    <row r="9" spans="1:18" ht="12.75" x14ac:dyDescent="0.2">
      <c r="A9" s="329"/>
      <c r="B9" s="329"/>
      <c r="C9" s="389" t="s">
        <v>713</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17195288</v>
      </c>
      <c r="I12" s="404"/>
      <c r="J12" s="404"/>
      <c r="K12" s="405">
        <f>TRUNC((H12/H13*100000),5)/100000</f>
        <v>0.6195183675</v>
      </c>
      <c r="L12" s="406"/>
      <c r="M12" s="360" t="s">
        <v>1144</v>
      </c>
      <c r="N12" s="360"/>
      <c r="O12" s="407">
        <v>0.35</v>
      </c>
      <c r="P12" s="218"/>
      <c r="Q12" s="218"/>
    </row>
    <row r="13" spans="1:18" s="408" customFormat="1" ht="12.75" x14ac:dyDescent="0.2">
      <c r="A13" s="218"/>
      <c r="B13" s="401"/>
      <c r="C13" s="2112" t="s">
        <v>1324</v>
      </c>
      <c r="D13" s="2113"/>
      <c r="E13" s="218"/>
      <c r="F13" s="409" t="s">
        <v>793</v>
      </c>
      <c r="G13" s="402"/>
      <c r="H13" s="403">
        <f>SUM('Acct Summary 7-8'!C8+'Acct Summary 7-8'!D8+'Acct Summary 7-8'!F8+'Acct Summary 7-8'!I8)+H14</f>
        <v>27755897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-195658</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27090764</v>
      </c>
      <c r="I17" s="404"/>
      <c r="J17" s="416"/>
      <c r="K17" s="405">
        <f>TRUNC((H17/H18*100000),5)/100000</f>
        <v>0.97603633560000003</v>
      </c>
      <c r="L17" s="406"/>
      <c r="M17" s="417" t="s">
        <v>1171</v>
      </c>
      <c r="O17" s="418" t="str">
        <f>IF(AND(O16="2", J20 &gt; 2),"1",IF(AND(O16 = "1", J20 &gt; 2),"2",IF(AND(O16="1", J20 &gt;1),"1","0")))</f>
        <v>0</v>
      </c>
      <c r="P17" s="218"/>
    </row>
    <row r="18" spans="1:18" s="408" customFormat="1" ht="11.25" x14ac:dyDescent="0.2">
      <c r="A18" s="218"/>
      <c r="B18" s="401"/>
      <c r="C18" s="2112" t="s">
        <v>1317</v>
      </c>
      <c r="D18" s="2113"/>
      <c r="E18" s="218"/>
      <c r="F18" s="419" t="s">
        <v>794</v>
      </c>
      <c r="G18" s="402"/>
      <c r="H18" s="403">
        <f>SUM('Acct Summary 7-8'!C8+'Acct Summary 7-8'!D8+'Acct Summary 7-8'!F8+'Acct Summary 7-8'!I8)+H19</f>
        <v>27755897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-195658</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9" t="s">
        <v>1412</v>
      </c>
      <c r="D24" s="2109"/>
      <c r="E24" s="218"/>
      <c r="F24" s="218" t="s">
        <v>445</v>
      </c>
      <c r="G24" s="402"/>
      <c r="H24" s="403">
        <f>SUM('Assets-Liab 5-6'!C4+'Assets-Liab 5-6'!D4+'Assets-Liab 5-6'!F4+'Assets-Liab 5-6'!I4+'Assets-Liab 5-6'!C5+'Assets-Liab 5-6'!D5+'Assets-Liab 5-6'!F5+'Assets-Liab 5-6'!I5)</f>
        <v>17640007</v>
      </c>
      <c r="I24" s="422"/>
      <c r="J24" s="422"/>
      <c r="K24" s="423">
        <f>TRUNC(((H24/H25*100000)/100000),2)</f>
        <v>234.41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75252.122220000005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17526173.57395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32305000</v>
      </c>
      <c r="I32" s="420"/>
      <c r="J32" s="420"/>
      <c r="K32" s="423">
        <f>TRUNC(100-((((H32/H33*100))*100)/100),2)</f>
        <v>70.73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110373383.52600001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6" activePane="bottomLeft" state="frozen"/>
      <selection pane="bottomLeft" activeCell="C38" sqref="C38:C39"/>
    </sheetView>
  </sheetViews>
  <sheetFormatPr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9" t="s">
        <v>973</v>
      </c>
      <c r="B3" s="2120"/>
      <c r="C3" s="1558"/>
      <c r="D3" s="1559"/>
      <c r="E3" s="1559"/>
      <c r="F3" s="1559"/>
      <c r="G3" s="1559"/>
      <c r="H3" s="1559"/>
      <c r="I3" s="1559"/>
      <c r="J3" s="1559"/>
      <c r="K3" s="1559"/>
      <c r="L3" s="1559"/>
      <c r="M3" s="1560"/>
      <c r="N3" s="1561"/>
    </row>
    <row r="4" spans="1:14" ht="13.5" customHeight="1" x14ac:dyDescent="0.2">
      <c r="A4" s="463" t="s">
        <v>1651</v>
      </c>
      <c r="B4" s="464"/>
      <c r="C4" s="465">
        <v>1567869</v>
      </c>
      <c r="D4" s="466">
        <v>380573</v>
      </c>
      <c r="E4" s="466">
        <v>89136</v>
      </c>
      <c r="F4" s="466"/>
      <c r="G4" s="466"/>
      <c r="H4" s="466">
        <v>636703</v>
      </c>
      <c r="I4" s="466">
        <v>14770</v>
      </c>
      <c r="J4" s="467"/>
      <c r="K4" s="466">
        <v>25569</v>
      </c>
      <c r="L4" s="466">
        <v>812752</v>
      </c>
      <c r="M4" s="468"/>
      <c r="N4" s="469"/>
    </row>
    <row r="5" spans="1:14" x14ac:dyDescent="0.2">
      <c r="A5" s="463" t="s">
        <v>992</v>
      </c>
      <c r="B5" s="470">
        <v>120</v>
      </c>
      <c r="C5" s="465">
        <v>10971202</v>
      </c>
      <c r="D5" s="466">
        <v>1116950</v>
      </c>
      <c r="E5" s="466"/>
      <c r="F5" s="466">
        <v>2500443</v>
      </c>
      <c r="G5" s="466">
        <v>376773</v>
      </c>
      <c r="H5" s="466"/>
      <c r="I5" s="466">
        <v>1088200</v>
      </c>
      <c r="J5" s="467">
        <v>412595</v>
      </c>
      <c r="K5" s="471">
        <v>333385</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12539071</v>
      </c>
      <c r="D13" s="1735">
        <f t="shared" ref="D13:L13" si="0">SUM(D4:D12)</f>
        <v>1497523</v>
      </c>
      <c r="E13" s="1735">
        <f t="shared" si="0"/>
        <v>89136</v>
      </c>
      <c r="F13" s="1735">
        <f t="shared" si="0"/>
        <v>2500443</v>
      </c>
      <c r="G13" s="1735">
        <f t="shared" si="0"/>
        <v>376773</v>
      </c>
      <c r="H13" s="1735">
        <f t="shared" si="0"/>
        <v>636703</v>
      </c>
      <c r="I13" s="1735">
        <f t="shared" si="0"/>
        <v>1102970</v>
      </c>
      <c r="J13" s="1735">
        <f t="shared" si="0"/>
        <v>412595</v>
      </c>
      <c r="K13" s="1735">
        <f t="shared" si="0"/>
        <v>358954</v>
      </c>
      <c r="L13" s="1735">
        <f t="shared" si="0"/>
        <v>812752</v>
      </c>
      <c r="M13" s="468"/>
      <c r="N13" s="469"/>
    </row>
    <row r="14" spans="1:14" ht="18" customHeight="1" thickTop="1" x14ac:dyDescent="0.2">
      <c r="A14" s="2121" t="s">
        <v>147</v>
      </c>
      <c r="B14" s="2122"/>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6186420</v>
      </c>
      <c r="N16" s="484"/>
    </row>
    <row r="17" spans="1:14" s="485" customFormat="1" ht="12.75" customHeight="1" x14ac:dyDescent="0.2">
      <c r="A17" s="482" t="s">
        <v>1403</v>
      </c>
      <c r="B17" s="483">
        <v>230</v>
      </c>
      <c r="C17" s="477"/>
      <c r="D17" s="477"/>
      <c r="E17" s="477"/>
      <c r="F17" s="477"/>
      <c r="G17" s="477"/>
      <c r="H17" s="477"/>
      <c r="I17" s="477"/>
      <c r="J17" s="477"/>
      <c r="K17" s="477"/>
      <c r="L17" s="477"/>
      <c r="M17" s="467">
        <v>51630325</v>
      </c>
      <c r="N17" s="484"/>
    </row>
    <row r="18" spans="1:14" s="485" customFormat="1" ht="12.75" customHeight="1" x14ac:dyDescent="0.2">
      <c r="A18" s="482" t="s">
        <v>1404</v>
      </c>
      <c r="B18" s="483">
        <v>240</v>
      </c>
      <c r="C18" s="477"/>
      <c r="D18" s="477"/>
      <c r="E18" s="477"/>
      <c r="F18" s="477"/>
      <c r="G18" s="477"/>
      <c r="H18" s="477"/>
      <c r="I18" s="477"/>
      <c r="J18" s="477"/>
      <c r="K18" s="477"/>
      <c r="L18" s="477"/>
      <c r="M18" s="467">
        <v>1259261</v>
      </c>
      <c r="N18" s="484"/>
    </row>
    <row r="19" spans="1:14" s="485" customFormat="1" ht="12.75" customHeight="1" x14ac:dyDescent="0.2">
      <c r="A19" s="482" t="s">
        <v>1405</v>
      </c>
      <c r="B19" s="483">
        <v>250</v>
      </c>
      <c r="C19" s="477"/>
      <c r="D19" s="477"/>
      <c r="E19" s="477"/>
      <c r="F19" s="477"/>
      <c r="G19" s="477"/>
      <c r="H19" s="477"/>
      <c r="I19" s="477"/>
      <c r="J19" s="477"/>
      <c r="K19" s="477"/>
      <c r="L19" s="477"/>
      <c r="M19" s="467">
        <v>541407</v>
      </c>
      <c r="N19" s="484"/>
    </row>
    <row r="20" spans="1:14" s="485" customFormat="1" ht="12.75" customHeight="1" x14ac:dyDescent="0.2">
      <c r="A20" s="482" t="s">
        <v>1406</v>
      </c>
      <c r="B20" s="483">
        <v>260</v>
      </c>
      <c r="C20" s="477"/>
      <c r="D20" s="477"/>
      <c r="E20" s="477"/>
      <c r="F20" s="477"/>
      <c r="G20" s="477"/>
      <c r="H20" s="477"/>
      <c r="I20" s="477"/>
      <c r="J20" s="477"/>
      <c r="K20" s="477"/>
      <c r="L20" s="477"/>
      <c r="M20" s="467">
        <v>259589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89136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32215864</v>
      </c>
    </row>
    <row r="23" spans="1:14" ht="13.5" customHeight="1" thickBot="1" x14ac:dyDescent="0.25">
      <c r="A23" s="1734" t="s">
        <v>643</v>
      </c>
      <c r="B23" s="1739"/>
      <c r="C23" s="468"/>
      <c r="D23" s="468"/>
      <c r="E23" s="468"/>
      <c r="F23" s="468"/>
      <c r="G23" s="468"/>
      <c r="H23" s="468"/>
      <c r="I23" s="468"/>
      <c r="J23" s="468"/>
      <c r="K23" s="468"/>
      <c r="L23" s="468"/>
      <c r="M23" s="1686">
        <f>SUM(M15:M22)</f>
        <v>59877002</v>
      </c>
      <c r="N23" s="1686">
        <f>SUM(N21:N22)</f>
        <v>32305000</v>
      </c>
    </row>
    <row r="24" spans="1:14" ht="18" customHeight="1" thickTop="1" x14ac:dyDescent="0.2">
      <c r="A24" s="2123" t="s">
        <v>598</v>
      </c>
      <c r="B24" s="2124"/>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v>121082</v>
      </c>
      <c r="G27" s="467">
        <v>138412</v>
      </c>
      <c r="H27" s="467"/>
      <c r="I27" s="467"/>
      <c r="J27" s="467">
        <v>8363</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316205</v>
      </c>
      <c r="D31" s="467">
        <v>7432</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812752</v>
      </c>
      <c r="M33" s="468"/>
      <c r="N33" s="469"/>
    </row>
    <row r="34" spans="1:14" ht="13.5" customHeight="1" thickBot="1" x14ac:dyDescent="0.25">
      <c r="A34" s="1736" t="s">
        <v>654</v>
      </c>
      <c r="B34" s="1737"/>
      <c r="C34" s="1738">
        <f>SUM(C25:C33)</f>
        <v>316205</v>
      </c>
      <c r="D34" s="1738">
        <f t="shared" ref="D34:K34" si="1">SUM(D25:D33)</f>
        <v>7432</v>
      </c>
      <c r="E34" s="1738">
        <f t="shared" si="1"/>
        <v>0</v>
      </c>
      <c r="F34" s="1738">
        <f t="shared" si="1"/>
        <v>121082</v>
      </c>
      <c r="G34" s="1738">
        <f t="shared" si="1"/>
        <v>138412</v>
      </c>
      <c r="H34" s="1738">
        <f t="shared" si="1"/>
        <v>0</v>
      </c>
      <c r="I34" s="1738">
        <f t="shared" si="1"/>
        <v>0</v>
      </c>
      <c r="J34" s="1738">
        <f t="shared" si="1"/>
        <v>8363</v>
      </c>
      <c r="K34" s="1738">
        <f t="shared" si="1"/>
        <v>0</v>
      </c>
      <c r="L34" s="1719">
        <f>SUM(L33)</f>
        <v>812752</v>
      </c>
      <c r="M34" s="468"/>
      <c r="N34" s="480"/>
    </row>
    <row r="35" spans="1:14" ht="18" customHeight="1" thickTop="1" x14ac:dyDescent="0.2">
      <c r="A35" s="2125" t="s">
        <v>529</v>
      </c>
      <c r="B35" s="2126"/>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32305000</v>
      </c>
    </row>
    <row r="37" spans="1:14" ht="13.5" thickBot="1" x14ac:dyDescent="0.25">
      <c r="A37" s="1734" t="s">
        <v>653</v>
      </c>
      <c r="B37" s="1739"/>
      <c r="C37" s="477"/>
      <c r="D37" s="477"/>
      <c r="E37" s="477"/>
      <c r="F37" s="477"/>
      <c r="G37" s="477"/>
      <c r="H37" s="477"/>
      <c r="I37" s="477"/>
      <c r="J37" s="477"/>
      <c r="K37" s="477"/>
      <c r="L37" s="480"/>
      <c r="M37" s="468"/>
      <c r="N37" s="1686">
        <f>SUM(N36:N36)</f>
        <v>32305000</v>
      </c>
    </row>
    <row r="38" spans="1:14" s="329" customFormat="1" ht="13.5" customHeight="1" thickTop="1" x14ac:dyDescent="0.2">
      <c r="A38" s="496" t="s">
        <v>420</v>
      </c>
      <c r="B38" s="483">
        <v>714</v>
      </c>
      <c r="C38" s="466">
        <v>1318295</v>
      </c>
      <c r="D38" s="466"/>
      <c r="E38" s="466">
        <v>89136</v>
      </c>
      <c r="F38" s="466"/>
      <c r="G38" s="466">
        <v>294661</v>
      </c>
      <c r="H38" s="466">
        <v>636703</v>
      </c>
      <c r="I38" s="466"/>
      <c r="J38" s="467">
        <v>404232</v>
      </c>
      <c r="K38" s="466">
        <v>358954</v>
      </c>
      <c r="L38" s="481"/>
      <c r="M38" s="497"/>
      <c r="N38" s="497"/>
    </row>
    <row r="39" spans="1:14" s="329" customFormat="1" ht="13.5" customHeight="1" x14ac:dyDescent="0.2">
      <c r="A39" s="496" t="s">
        <v>342</v>
      </c>
      <c r="B39" s="483">
        <v>730</v>
      </c>
      <c r="C39" s="466">
        <v>10904571</v>
      </c>
      <c r="D39" s="466">
        <v>1490091</v>
      </c>
      <c r="E39" s="466"/>
      <c r="F39" s="466">
        <v>2379361</v>
      </c>
      <c r="G39" s="466">
        <v>-56300</v>
      </c>
      <c r="H39" s="466"/>
      <c r="I39" s="466">
        <v>1102970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59877002</v>
      </c>
      <c r="N40" s="497"/>
    </row>
    <row r="41" spans="1:14" ht="13.5" customHeight="1" thickBot="1" x14ac:dyDescent="0.25">
      <c r="A41" s="1734" t="s">
        <v>655</v>
      </c>
      <c r="B41" s="1704"/>
      <c r="C41" s="1686">
        <f>(SUM(C34,C37,C38,C39))</f>
        <v>12539071</v>
      </c>
      <c r="D41" s="1686">
        <f t="shared" ref="D41:L41" si="2">SUM(D34,D37,D38:D39)</f>
        <v>1497523</v>
      </c>
      <c r="E41" s="1686">
        <f t="shared" si="2"/>
        <v>89136</v>
      </c>
      <c r="F41" s="1686">
        <f t="shared" si="2"/>
        <v>2500443</v>
      </c>
      <c r="G41" s="1686">
        <f t="shared" si="2"/>
        <v>376773</v>
      </c>
      <c r="H41" s="1686">
        <f t="shared" si="2"/>
        <v>636703</v>
      </c>
      <c r="I41" s="1686">
        <f t="shared" si="2"/>
        <v>1102970</v>
      </c>
      <c r="J41" s="1686">
        <f t="shared" si="2"/>
        <v>412595</v>
      </c>
      <c r="K41" s="1686">
        <f t="shared" si="2"/>
        <v>358954</v>
      </c>
      <c r="L41" s="1686">
        <f t="shared" si="2"/>
        <v>812752</v>
      </c>
      <c r="M41" s="1686">
        <f>SUM(M40)</f>
        <v>59877002</v>
      </c>
      <c r="N41" s="1686">
        <f>SUM(N37)</f>
        <v>32305000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4" activePane="bottomLeft" state="frozen"/>
      <selection pane="bottomLeft" activeCell="C7" sqref="C7"/>
    </sheetView>
  </sheetViews>
  <sheetFormatPr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27" t="s">
        <v>1175</v>
      </c>
      <c r="B3" s="2128"/>
      <c r="C3" s="1572"/>
      <c r="D3" s="1573"/>
      <c r="E3" s="1573"/>
      <c r="F3" s="1573"/>
      <c r="G3" s="1573"/>
      <c r="H3" s="1573"/>
      <c r="I3" s="1573"/>
      <c r="J3" s="1573"/>
      <c r="K3" s="1574"/>
      <c r="L3" s="506"/>
    </row>
    <row r="4" spans="1:13" ht="15.75" customHeight="1" x14ac:dyDescent="0.2">
      <c r="A4" s="1925" t="s">
        <v>1499</v>
      </c>
      <c r="B4" s="1926">
        <v>1000</v>
      </c>
      <c r="C4" s="1740">
        <f>'Revenues 9-14'!C109</f>
        <v>19085206</v>
      </c>
      <c r="D4" s="1740">
        <f>'Revenues 9-14'!D109</f>
        <v>3380203</v>
      </c>
      <c r="E4" s="1740">
        <f>'Revenues 9-14'!E109</f>
        <v>3537209</v>
      </c>
      <c r="F4" s="1740">
        <f>'Revenues 9-14'!F109</f>
        <v>1421327</v>
      </c>
      <c r="G4" s="1740">
        <f>'Revenues 9-14'!G109</f>
        <v>725375</v>
      </c>
      <c r="H4" s="1740">
        <f>'Revenues 9-14'!H109</f>
        <v>31447</v>
      </c>
      <c r="I4" s="1740">
        <f>'Revenues 9-14'!I109</f>
        <v>223969</v>
      </c>
      <c r="J4" s="1740">
        <f>'Revenues 9-14'!J109</f>
        <v>223182</v>
      </c>
      <c r="K4" s="1740">
        <f>'Revenues 9-14'!K109</f>
        <v>39291</v>
      </c>
      <c r="L4" s="347"/>
    </row>
    <row r="5" spans="1:13" ht="15.75" customHeight="1" x14ac:dyDescent="0.2">
      <c r="A5" s="1575" t="s">
        <v>1500</v>
      </c>
      <c r="B5" s="1576">
        <v>2000</v>
      </c>
      <c r="C5" s="1741">
        <f>'Revenues 9-14'!C114</f>
        <v>22187</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5" t="s">
        <v>1501</v>
      </c>
      <c r="B6" s="1577">
        <v>3000</v>
      </c>
      <c r="C6" s="1741">
        <f>'Revenues 9-14'!C170</f>
        <v>1795267</v>
      </c>
      <c r="D6" s="1741">
        <f>'Revenues 9-14'!D170</f>
        <v>0</v>
      </c>
      <c r="E6" s="1741">
        <f>'Revenues 9-14'!E170</f>
        <v>0</v>
      </c>
      <c r="F6" s="1741">
        <f>'Revenues 9-14'!F170</f>
        <v>817065</v>
      </c>
      <c r="G6" s="1741">
        <f>'Revenues 9-14'!G170</f>
        <v>0</v>
      </c>
      <c r="H6" s="1741">
        <f>'Revenues 9-14'!H170</f>
        <v>0</v>
      </c>
      <c r="I6" s="1741">
        <f>'Revenues 9-14'!I170</f>
        <v>0</v>
      </c>
      <c r="J6" s="1741">
        <f>'Revenues 9-14'!J170</f>
        <v>0</v>
      </c>
      <c r="K6" s="1741">
        <f>'Revenues 9-14'!K170</f>
        <v>0</v>
      </c>
      <c r="L6" s="347"/>
      <c r="M6" s="513"/>
    </row>
    <row r="7" spans="1:13" ht="15.75" customHeight="1" x14ac:dyDescent="0.2">
      <c r="A7" s="1575" t="s">
        <v>1502</v>
      </c>
      <c r="B7" s="1577">
        <v>4000</v>
      </c>
      <c r="C7" s="1741">
        <f>'Revenues 9-14'!C267</f>
        <v>1206331</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22108991</v>
      </c>
      <c r="D8" s="1686">
        <f t="shared" ref="D8:K8" si="0">SUM(D4:D7)</f>
        <v>3380203</v>
      </c>
      <c r="E8" s="1686">
        <f t="shared" si="0"/>
        <v>3537209</v>
      </c>
      <c r="F8" s="1686">
        <f t="shared" si="0"/>
        <v>2238392</v>
      </c>
      <c r="G8" s="1686">
        <f t="shared" si="0"/>
        <v>725375</v>
      </c>
      <c r="H8" s="1686">
        <f t="shared" si="0"/>
        <v>31447</v>
      </c>
      <c r="I8" s="1686">
        <f t="shared" si="0"/>
        <v>223969</v>
      </c>
      <c r="J8" s="1686">
        <f t="shared" si="0"/>
        <v>223182</v>
      </c>
      <c r="K8" s="1686">
        <f t="shared" si="0"/>
        <v>39291</v>
      </c>
      <c r="L8" s="347"/>
    </row>
    <row r="9" spans="1:13" ht="15.75" thickTop="1" x14ac:dyDescent="0.2">
      <c r="A9" s="514" t="s">
        <v>1653</v>
      </c>
      <c r="B9" s="515">
        <v>3998</v>
      </c>
      <c r="C9" s="481">
        <v>1541052</v>
      </c>
      <c r="D9" s="516"/>
      <c r="E9" s="481"/>
      <c r="F9" s="481"/>
      <c r="G9" s="517"/>
      <c r="H9" s="481"/>
      <c r="I9" s="509" t="s">
        <v>1169</v>
      </c>
      <c r="J9" s="478"/>
      <c r="K9" s="481"/>
      <c r="L9" s="347"/>
    </row>
    <row r="10" spans="1:13" s="519" customFormat="1" ht="13.5" thickBot="1" x14ac:dyDescent="0.25">
      <c r="A10" s="1734" t="s">
        <v>1173</v>
      </c>
      <c r="B10" s="1707"/>
      <c r="C10" s="1686">
        <f>SUM(C8:C9)</f>
        <v>23650043</v>
      </c>
      <c r="D10" s="1686">
        <f t="shared" ref="D10:K10" si="1">SUM(D8:D9)</f>
        <v>3380203</v>
      </c>
      <c r="E10" s="1686">
        <f t="shared" si="1"/>
        <v>3537209</v>
      </c>
      <c r="F10" s="1686">
        <f t="shared" si="1"/>
        <v>2238392</v>
      </c>
      <c r="G10" s="1686">
        <f t="shared" si="1"/>
        <v>725375</v>
      </c>
      <c r="H10" s="1686">
        <f t="shared" si="1"/>
        <v>31447</v>
      </c>
      <c r="I10" s="1686">
        <f t="shared" si="1"/>
        <v>223969</v>
      </c>
      <c r="J10" s="1686">
        <f t="shared" si="1"/>
        <v>223182</v>
      </c>
      <c r="K10" s="1686">
        <f t="shared" si="1"/>
        <v>39291</v>
      </c>
      <c r="L10" s="518"/>
    </row>
    <row r="11" spans="1:13" s="519" customFormat="1" ht="16.7" customHeight="1" thickTop="1" x14ac:dyDescent="0.2">
      <c r="A11" s="2121" t="s">
        <v>1176</v>
      </c>
      <c r="B11" s="2122"/>
      <c r="C11" s="1569"/>
      <c r="D11" s="1570"/>
      <c r="E11" s="1570"/>
      <c r="F11" s="1570"/>
      <c r="G11" s="1570"/>
      <c r="H11" s="1570"/>
      <c r="I11" s="1570"/>
      <c r="J11" s="1570"/>
      <c r="K11" s="1571"/>
      <c r="L11" s="518"/>
    </row>
    <row r="12" spans="1:13" ht="15.75" customHeight="1" x14ac:dyDescent="0.2">
      <c r="A12" s="1575" t="s">
        <v>456</v>
      </c>
      <c r="B12" s="1577">
        <v>1000</v>
      </c>
      <c r="C12" s="1740">
        <f>'Expenditures 15-22'!K33</f>
        <v>15536885</v>
      </c>
      <c r="D12" s="520" t="s">
        <v>1169</v>
      </c>
      <c r="E12" s="468" t="s">
        <v>1169</v>
      </c>
      <c r="F12" s="468" t="s">
        <v>1169</v>
      </c>
      <c r="G12" s="1740">
        <f>'Expenditures 15-22'!K229</f>
        <v>300859</v>
      </c>
      <c r="H12" s="521"/>
      <c r="I12" s="468" t="s">
        <v>1169</v>
      </c>
      <c r="J12" s="468" t="s">
        <v>1169</v>
      </c>
      <c r="K12" s="521" t="s">
        <v>1169</v>
      </c>
      <c r="L12" s="347"/>
    </row>
    <row r="13" spans="1:13" ht="15.75" customHeight="1" x14ac:dyDescent="0.2">
      <c r="A13" s="1575" t="s">
        <v>457</v>
      </c>
      <c r="B13" s="1577">
        <v>2000</v>
      </c>
      <c r="C13" s="1741">
        <f>'Expenditures 15-22'!K74</f>
        <v>5880085</v>
      </c>
      <c r="D13" s="1741">
        <f>'Expenditures 15-22'!K129</f>
        <v>2911437</v>
      </c>
      <c r="E13" s="469" t="s">
        <v>1169</v>
      </c>
      <c r="F13" s="1741">
        <f>'Expenditures 15-22'!K184</f>
        <v>2103231</v>
      </c>
      <c r="G13" s="1741">
        <f>'Expenditures 15-22'!K279</f>
        <v>394242</v>
      </c>
      <c r="H13" s="1741">
        <f>'Expenditures 15-22'!K303</f>
        <v>399616</v>
      </c>
      <c r="I13" s="468" t="s">
        <v>1169</v>
      </c>
      <c r="J13" s="1741">
        <f>'Expenditures 15-22'!K330</f>
        <v>209813</v>
      </c>
      <c r="K13" s="1745">
        <f>'Expenditures 15-22'!K352</f>
        <v>67368</v>
      </c>
      <c r="L13" s="347"/>
    </row>
    <row r="14" spans="1:13" ht="15.75" customHeight="1" x14ac:dyDescent="0.2">
      <c r="A14" s="1575" t="s">
        <v>449</v>
      </c>
      <c r="B14" s="1577">
        <v>3000</v>
      </c>
      <c r="C14" s="1741">
        <f>'Expenditures 15-22'!K75</f>
        <v>137</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5" t="s">
        <v>107</v>
      </c>
      <c r="B15" s="1577">
        <v>4000</v>
      </c>
      <c r="C15" s="1741">
        <f>'Expenditures 15-22'!K102</f>
        <v>470385</v>
      </c>
      <c r="D15" s="1741">
        <f>'Expenditures 15-22'!K139</f>
        <v>188604</v>
      </c>
      <c r="E15" s="1741">
        <f>'Expenditures 15-22'!K160</f>
        <v>0</v>
      </c>
      <c r="F15" s="1741">
        <f>'Expenditures 15-22'!K196</f>
        <v>0</v>
      </c>
      <c r="G15" s="1741">
        <f>'Expenditures 15-22'!K285</f>
        <v>0</v>
      </c>
      <c r="H15" s="1741">
        <f>'Expenditures 15-22'!K310</f>
        <v>0</v>
      </c>
      <c r="I15" s="468" t="s">
        <v>1169</v>
      </c>
      <c r="J15" s="1832">
        <f>'Expenditures 15-22'!K334</f>
        <v>0</v>
      </c>
      <c r="K15" s="1741">
        <f>'Expenditures 15-22'!K357</f>
        <v>0</v>
      </c>
      <c r="L15" s="347"/>
    </row>
    <row r="16" spans="1:13" ht="15.75" customHeight="1" x14ac:dyDescent="0.2">
      <c r="A16" s="1575" t="s">
        <v>450</v>
      </c>
      <c r="B16" s="1577">
        <v>5000</v>
      </c>
      <c r="C16" s="1741">
        <f>'Expenditures 15-22'!K112</f>
        <v>0</v>
      </c>
      <c r="D16" s="1741">
        <f>'Expenditures 15-22'!K149</f>
        <v>0</v>
      </c>
      <c r="E16" s="1741">
        <f>'Expenditures 15-22'!K172</f>
        <v>3538030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21887492</v>
      </c>
      <c r="D17" s="1686">
        <f t="shared" si="2"/>
        <v>3100041</v>
      </c>
      <c r="E17" s="1686">
        <f t="shared" si="2"/>
        <v>3538030</v>
      </c>
      <c r="F17" s="1686">
        <f t="shared" si="2"/>
        <v>2103231</v>
      </c>
      <c r="G17" s="1686">
        <f t="shared" si="2"/>
        <v>695101</v>
      </c>
      <c r="H17" s="1686">
        <f t="shared" si="2"/>
        <v>399616</v>
      </c>
      <c r="I17" s="468"/>
      <c r="J17" s="1686">
        <f>SUM(J12:J16)</f>
        <v>209813</v>
      </c>
      <c r="K17" s="1686">
        <f>SUM(K12:K16)</f>
        <v>67368</v>
      </c>
      <c r="L17" s="347"/>
    </row>
    <row r="18" spans="1:12" ht="15" customHeight="1" thickTop="1" x14ac:dyDescent="0.2">
      <c r="A18" s="1742" t="s">
        <v>1654</v>
      </c>
      <c r="B18" s="1743">
        <v>4180</v>
      </c>
      <c r="C18" s="1740">
        <f t="shared" ref="C18:H18" si="3">C9</f>
        <v>1541052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23428544</v>
      </c>
      <c r="D19" s="1686">
        <f t="shared" si="4"/>
        <v>3100041</v>
      </c>
      <c r="E19" s="1686">
        <f t="shared" si="4"/>
        <v>3538030</v>
      </c>
      <c r="F19" s="1686">
        <f t="shared" si="4"/>
        <v>2103231</v>
      </c>
      <c r="G19" s="1686">
        <f t="shared" si="4"/>
        <v>695101</v>
      </c>
      <c r="H19" s="1686">
        <f t="shared" si="4"/>
        <v>399616</v>
      </c>
      <c r="I19" s="468"/>
      <c r="J19" s="1686">
        <f>SUM(J17:J18)</f>
        <v>209813</v>
      </c>
      <c r="K19" s="1686">
        <f>SUM(K17:K18)</f>
        <v>67368</v>
      </c>
      <c r="L19" s="347"/>
    </row>
    <row r="20" spans="1:12" ht="16.5" thickTop="1" thickBot="1" x14ac:dyDescent="0.25">
      <c r="A20" s="2147" t="s">
        <v>1655</v>
      </c>
      <c r="B20" s="2148"/>
      <c r="C20" s="1744">
        <f>C8-C17</f>
        <v>221499</v>
      </c>
      <c r="D20" s="1744">
        <f t="shared" ref="D20:K20" si="5">D8-D17</f>
        <v>280162</v>
      </c>
      <c r="E20" s="1744">
        <f t="shared" si="5"/>
        <v>-821</v>
      </c>
      <c r="F20" s="1744">
        <f t="shared" si="5"/>
        <v>135161</v>
      </c>
      <c r="G20" s="1744">
        <f t="shared" si="5"/>
        <v>30274</v>
      </c>
      <c r="H20" s="1744">
        <f t="shared" si="5"/>
        <v>-368169</v>
      </c>
      <c r="I20" s="1744">
        <f t="shared" si="5"/>
        <v>223969</v>
      </c>
      <c r="J20" s="1744">
        <f t="shared" si="5"/>
        <v>13369</v>
      </c>
      <c r="K20" s="1744">
        <f t="shared" si="5"/>
        <v>-28077</v>
      </c>
      <c r="L20" s="347"/>
    </row>
    <row r="21" spans="1:12" ht="16.7" customHeight="1" thickTop="1" x14ac:dyDescent="0.2">
      <c r="A21" s="2129" t="s">
        <v>595</v>
      </c>
      <c r="B21" s="2130"/>
      <c r="C21" s="1569"/>
      <c r="D21" s="1570"/>
      <c r="E21" s="1570"/>
      <c r="F21" s="1570"/>
      <c r="G21" s="1570"/>
      <c r="H21" s="1570"/>
      <c r="I21" s="1570"/>
      <c r="J21" s="1570"/>
      <c r="K21" s="1571"/>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51" t="s">
        <v>293</v>
      </c>
      <c r="B23" s="215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53" t="s">
        <v>981</v>
      </c>
      <c r="B32" s="215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150</v>
      </c>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195658</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1" t="s">
        <v>374</v>
      </c>
      <c r="B44" s="2132"/>
      <c r="C44" s="1701">
        <f>SUM(C24:C43)</f>
        <v>0</v>
      </c>
      <c r="D44" s="1701">
        <f t="shared" ref="D44:K44" si="6">SUM(D24:D43)</f>
        <v>150</v>
      </c>
      <c r="E44" s="1701">
        <f t="shared" si="6"/>
        <v>0</v>
      </c>
      <c r="F44" s="1701">
        <f t="shared" si="6"/>
        <v>0</v>
      </c>
      <c r="G44" s="1701">
        <f t="shared" si="6"/>
        <v>0</v>
      </c>
      <c r="H44" s="1701">
        <f t="shared" si="6"/>
        <v>195658</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35" t="s">
        <v>109</v>
      </c>
      <c r="B46" s="213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1">
        <f>D30</f>
        <v>0</v>
      </c>
      <c r="L52" s="524"/>
    </row>
    <row r="53" spans="1:12" s="485" customFormat="1" ht="26.25" x14ac:dyDescent="0.2">
      <c r="A53" s="1490" t="s">
        <v>1793</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v>195658</v>
      </c>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37" t="s">
        <v>440</v>
      </c>
      <c r="B76" s="2138"/>
      <c r="C76" s="1701">
        <f t="shared" ref="C76:K76" si="7">SUM(C47:C75)</f>
        <v>195658</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39" t="s">
        <v>1177</v>
      </c>
      <c r="B77" s="2140"/>
      <c r="C77" s="1701">
        <f t="shared" ref="C77:K77" si="8">C44-C76</f>
        <v>-195658</v>
      </c>
      <c r="D77" s="1701">
        <f t="shared" si="8"/>
        <v>150</v>
      </c>
      <c r="E77" s="1701">
        <f t="shared" si="8"/>
        <v>0</v>
      </c>
      <c r="F77" s="1701">
        <f t="shared" si="8"/>
        <v>0</v>
      </c>
      <c r="G77" s="1701">
        <f t="shared" si="8"/>
        <v>0</v>
      </c>
      <c r="H77" s="1701">
        <f t="shared" si="8"/>
        <v>195658</v>
      </c>
      <c r="I77" s="1701">
        <f t="shared" si="8"/>
        <v>0</v>
      </c>
      <c r="J77" s="1701">
        <f t="shared" si="8"/>
        <v>0</v>
      </c>
      <c r="K77" s="1701">
        <f t="shared" si="8"/>
        <v>0</v>
      </c>
      <c r="L77" s="347"/>
    </row>
    <row r="78" spans="1:12" ht="21.75" customHeight="1" thickTop="1" thickBot="1" x14ac:dyDescent="0.25">
      <c r="A78" s="2143" t="s">
        <v>597</v>
      </c>
      <c r="B78" s="2144"/>
      <c r="C78" s="1700">
        <f t="shared" ref="C78:K78" si="9">C20+C77</f>
        <v>25841</v>
      </c>
      <c r="D78" s="1700">
        <f t="shared" si="9"/>
        <v>280312</v>
      </c>
      <c r="E78" s="1700">
        <f t="shared" si="9"/>
        <v>-821</v>
      </c>
      <c r="F78" s="1700">
        <f t="shared" si="9"/>
        <v>135161</v>
      </c>
      <c r="G78" s="1700">
        <f t="shared" si="9"/>
        <v>30274</v>
      </c>
      <c r="H78" s="1700">
        <f t="shared" si="9"/>
        <v>-172511</v>
      </c>
      <c r="I78" s="1700">
        <f t="shared" si="9"/>
        <v>223969</v>
      </c>
      <c r="J78" s="1700">
        <f t="shared" si="9"/>
        <v>13369</v>
      </c>
      <c r="K78" s="1700">
        <f t="shared" si="9"/>
        <v>-28077</v>
      </c>
      <c r="L78" s="533"/>
    </row>
    <row r="79" spans="1:12" ht="13.5" thickTop="1" x14ac:dyDescent="0.2">
      <c r="A79" s="1494" t="s">
        <v>1944</v>
      </c>
      <c r="B79" s="534"/>
      <c r="C79" s="478">
        <v>12197025</v>
      </c>
      <c r="D79" s="535">
        <v>1209779</v>
      </c>
      <c r="E79" s="535">
        <v>89957</v>
      </c>
      <c r="F79" s="535">
        <v>2244200</v>
      </c>
      <c r="G79" s="535">
        <v>208087</v>
      </c>
      <c r="H79" s="535">
        <v>809214</v>
      </c>
      <c r="I79" s="535">
        <v>879001</v>
      </c>
      <c r="J79" s="535">
        <v>390863</v>
      </c>
      <c r="K79" s="535">
        <v>387031</v>
      </c>
      <c r="L79" s="347"/>
    </row>
    <row r="80" spans="1:12" x14ac:dyDescent="0.2">
      <c r="A80" s="2149" t="s">
        <v>1792</v>
      </c>
      <c r="B80" s="2150"/>
      <c r="C80" s="467"/>
      <c r="D80" s="467"/>
      <c r="E80" s="467"/>
      <c r="F80" s="467"/>
      <c r="G80" s="467"/>
      <c r="H80" s="467"/>
      <c r="I80" s="467"/>
      <c r="J80" s="467"/>
      <c r="K80" s="467"/>
      <c r="L80" s="347"/>
    </row>
    <row r="81" spans="1:12" ht="13.5" thickBot="1" x14ac:dyDescent="0.25">
      <c r="A81" s="2141" t="s">
        <v>1945</v>
      </c>
      <c r="B81" s="2142"/>
      <c r="C81" s="1686">
        <f>(SUM(C78:C80))</f>
        <v>12222866</v>
      </c>
      <c r="D81" s="1686">
        <f>SUM(D78:D80)</f>
        <v>1490091</v>
      </c>
      <c r="E81" s="1686">
        <f t="shared" ref="E81:K81" si="10">SUM(E78:E80)</f>
        <v>89136</v>
      </c>
      <c r="F81" s="1686">
        <f t="shared" si="10"/>
        <v>2379361</v>
      </c>
      <c r="G81" s="1686">
        <f t="shared" si="10"/>
        <v>238361</v>
      </c>
      <c r="H81" s="1686">
        <f t="shared" si="10"/>
        <v>636703</v>
      </c>
      <c r="I81" s="1686">
        <f t="shared" si="10"/>
        <v>1102970</v>
      </c>
      <c r="J81" s="1686">
        <f t="shared" si="10"/>
        <v>404232</v>
      </c>
      <c r="K81" s="1686">
        <f t="shared" si="10"/>
        <v>358954</v>
      </c>
      <c r="L81" s="347"/>
    </row>
    <row r="82" spans="1:12" ht="0.75" customHeight="1" thickTop="1" thickBot="1" x14ac:dyDescent="0.25">
      <c r="A82" s="536" t="s">
        <v>343</v>
      </c>
      <c r="B82" s="537"/>
      <c r="C82" s="538">
        <f>(C81-C79)</f>
        <v>25841</v>
      </c>
      <c r="D82" s="538">
        <f t="shared" ref="D82:K82" si="11">(D81-D79)</f>
        <v>280312</v>
      </c>
      <c r="E82" s="538">
        <f t="shared" si="11"/>
        <v>-821</v>
      </c>
      <c r="F82" s="538">
        <f t="shared" si="11"/>
        <v>135161</v>
      </c>
      <c r="G82" s="538">
        <f t="shared" si="11"/>
        <v>30274</v>
      </c>
      <c r="H82" s="538">
        <f t="shared" si="11"/>
        <v>-172511</v>
      </c>
      <c r="I82" s="538">
        <f t="shared" si="11"/>
        <v>223969</v>
      </c>
      <c r="J82" s="538">
        <f t="shared" si="11"/>
        <v>13369</v>
      </c>
      <c r="K82" s="538">
        <f t="shared" si="11"/>
        <v>-28077</v>
      </c>
    </row>
    <row r="83" spans="1:12" ht="14.25" hidden="1" thickTop="1" thickBot="1" x14ac:dyDescent="0.25">
      <c r="A83" s="539" t="s">
        <v>344</v>
      </c>
      <c r="B83" s="464"/>
      <c r="C83" s="540">
        <f>C82/C81</f>
        <v>2.114152278197274E-3</v>
      </c>
      <c r="D83" s="540">
        <f t="shared" ref="D83:K83" si="12">D82/D81</f>
        <v>0.18811737001297235</v>
      </c>
      <c r="E83" s="540">
        <f t="shared" si="12"/>
        <v>-9.2106444085442475E-3</v>
      </c>
      <c r="F83" s="540">
        <f t="shared" si="12"/>
        <v>5.6805587718719436E-2</v>
      </c>
      <c r="G83" s="540">
        <f t="shared" si="12"/>
        <v>0.12700903251790352</v>
      </c>
      <c r="H83" s="540">
        <f t="shared" si="12"/>
        <v>-0.27094422360189918</v>
      </c>
      <c r="I83" s="540">
        <f t="shared" si="12"/>
        <v>0.20305992003408976</v>
      </c>
      <c r="J83" s="540">
        <f t="shared" si="12"/>
        <v>3.3072591976884565E-2</v>
      </c>
      <c r="K83" s="540">
        <f t="shared" si="12"/>
        <v>-7.8218936131092001E-2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1:A2"/>
    <mergeCell ref="A20:B20"/>
    <mergeCell ref="A80:B80"/>
    <mergeCell ref="A23:B23"/>
    <mergeCell ref="A32:B32"/>
    <mergeCell ref="A22:B22"/>
    <mergeCell ref="A46:B46"/>
    <mergeCell ref="A76:B76"/>
    <mergeCell ref="A77:B77"/>
    <mergeCell ref="A81:B81"/>
    <mergeCell ref="A78:B78"/>
    <mergeCell ref="A3:B3"/>
    <mergeCell ref="A11:B11"/>
    <mergeCell ref="A21:B21"/>
    <mergeCell ref="A44:B44"/>
    <mergeCell ref="A45:B45"/>
  </mergeCells>
  <phoneticPr fontId="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107" activePane="bottomLeft" state="frozen"/>
      <selection pane="bottomLeft" activeCell="C148" sqref="C148"/>
    </sheetView>
  </sheetViews>
  <sheetFormatPr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5" t="s">
        <v>1799</v>
      </c>
      <c r="B1" s="452"/>
      <c r="C1" s="453" t="s">
        <v>425</v>
      </c>
      <c r="D1" s="453" t="s">
        <v>426</v>
      </c>
      <c r="E1" s="453" t="s">
        <v>427</v>
      </c>
      <c r="F1" s="453" t="s">
        <v>428</v>
      </c>
      <c r="G1" s="453" t="s">
        <v>429</v>
      </c>
      <c r="H1" s="453" t="s">
        <v>430</v>
      </c>
      <c r="I1" s="453" t="s">
        <v>431</v>
      </c>
      <c r="J1" s="453" t="s">
        <v>432</v>
      </c>
      <c r="K1" s="453" t="s">
        <v>756</v>
      </c>
    </row>
    <row r="2" spans="1:12" ht="36" x14ac:dyDescent="0.2">
      <c r="A2" s="214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15617842</v>
      </c>
      <c r="D5" s="481">
        <v>3323064</v>
      </c>
      <c r="E5" s="466">
        <v>3537209</v>
      </c>
      <c r="F5" s="548">
        <v>1414067</v>
      </c>
      <c r="G5" s="466">
        <v>314264</v>
      </c>
      <c r="H5" s="466"/>
      <c r="I5" s="466">
        <v>223969</v>
      </c>
      <c r="J5" s="467">
        <v>223182</v>
      </c>
      <c r="K5" s="466">
        <v>39291</v>
      </c>
    </row>
    <row r="6" spans="1:12" ht="15" x14ac:dyDescent="0.2">
      <c r="A6" s="463" t="s">
        <v>1662</v>
      </c>
      <c r="B6" s="470">
        <v>1130</v>
      </c>
      <c r="C6" s="466">
        <v>235918</v>
      </c>
      <c r="D6" s="466"/>
      <c r="E6" s="475"/>
      <c r="F6" s="475"/>
      <c r="G6" s="468"/>
      <c r="H6" s="468"/>
      <c r="I6" s="468"/>
      <c r="J6" s="468"/>
      <c r="K6" s="468"/>
    </row>
    <row r="7" spans="1:12" x14ac:dyDescent="0.2">
      <c r="A7" s="463" t="s">
        <v>110</v>
      </c>
      <c r="B7" s="549">
        <v>1140</v>
      </c>
      <c r="C7" s="466">
        <v>312613</v>
      </c>
      <c r="D7" s="466"/>
      <c r="E7" s="468"/>
      <c r="F7" s="467"/>
      <c r="G7" s="467"/>
      <c r="H7" s="467"/>
      <c r="I7" s="468"/>
      <c r="J7" s="468"/>
      <c r="K7" s="468"/>
    </row>
    <row r="8" spans="1:12" x14ac:dyDescent="0.2">
      <c r="A8" s="463" t="s">
        <v>413</v>
      </c>
      <c r="B8" s="470">
        <v>1150</v>
      </c>
      <c r="C8" s="475"/>
      <c r="D8" s="475"/>
      <c r="E8" s="477"/>
      <c r="F8" s="477"/>
      <c r="G8" s="481">
        <v>353555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16166373</v>
      </c>
      <c r="D12" s="1705">
        <f t="shared" si="0"/>
        <v>3323064</v>
      </c>
      <c r="E12" s="1705">
        <f t="shared" si="0"/>
        <v>3537209</v>
      </c>
      <c r="F12" s="1705">
        <f t="shared" si="0"/>
        <v>1414067</v>
      </c>
      <c r="G12" s="1705">
        <f t="shared" si="0"/>
        <v>667819</v>
      </c>
      <c r="H12" s="1705">
        <f t="shared" si="0"/>
        <v>0</v>
      </c>
      <c r="I12" s="1705">
        <f t="shared" si="0"/>
        <v>223969</v>
      </c>
      <c r="J12" s="1705">
        <f t="shared" si="0"/>
        <v>223182</v>
      </c>
      <c r="K12" s="1686">
        <f t="shared" si="0"/>
        <v>39291</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1373879</v>
      </c>
      <c r="D16" s="466"/>
      <c r="E16" s="466"/>
      <c r="F16" s="466"/>
      <c r="G16" s="466">
        <v>57556</v>
      </c>
      <c r="H16" s="466"/>
      <c r="I16" s="466"/>
      <c r="J16" s="467"/>
      <c r="K16" s="466"/>
    </row>
    <row r="17" spans="1:11" ht="12.75" customHeight="1" x14ac:dyDescent="0.2">
      <c r="A17" s="463" t="s">
        <v>807</v>
      </c>
      <c r="B17" s="470">
        <v>1290</v>
      </c>
      <c r="C17" s="551">
        <v>20339</v>
      </c>
      <c r="D17" s="466"/>
      <c r="E17" s="466"/>
      <c r="F17" s="466"/>
      <c r="G17" s="466"/>
      <c r="H17" s="466"/>
      <c r="I17" s="466"/>
      <c r="J17" s="467"/>
      <c r="K17" s="466"/>
    </row>
    <row r="18" spans="1:11" ht="12.75" customHeight="1" thickBot="1" x14ac:dyDescent="0.25">
      <c r="A18" s="1706" t="s">
        <v>537</v>
      </c>
      <c r="B18" s="1707"/>
      <c r="C18" s="1708">
        <f>SUM(C14:C17)</f>
        <v>1394218</v>
      </c>
      <c r="D18" s="1708">
        <f t="shared" ref="D18:K18" si="1">SUM(D14:D17)</f>
        <v>0</v>
      </c>
      <c r="E18" s="1708">
        <f t="shared" si="1"/>
        <v>0</v>
      </c>
      <c r="F18" s="1708">
        <f t="shared" si="1"/>
        <v>0</v>
      </c>
      <c r="G18" s="1708">
        <f t="shared" si="1"/>
        <v>57556</v>
      </c>
      <c r="H18" s="1708">
        <f t="shared" si="1"/>
        <v>0</v>
      </c>
      <c r="I18" s="1708">
        <f t="shared" si="1"/>
        <v>0</v>
      </c>
      <c r="J18" s="1708">
        <f t="shared" si="1"/>
        <v>0</v>
      </c>
      <c r="K18" s="1709">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15721</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3400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v>21615</v>
      </c>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v>35</v>
      </c>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40771</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7260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7260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481370</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481370</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526869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3690</v>
      </c>
      <c r="D72" s="468"/>
      <c r="E72" s="468"/>
      <c r="F72" s="468"/>
      <c r="G72" s="468"/>
      <c r="H72" s="468"/>
      <c r="I72" s="468"/>
      <c r="J72" s="468"/>
      <c r="K72" s="468"/>
    </row>
    <row r="73" spans="1:11" ht="12.75" customHeight="1" x14ac:dyDescent="0.2">
      <c r="A73" s="463" t="s">
        <v>998</v>
      </c>
      <c r="B73" s="470">
        <v>1620</v>
      </c>
      <c r="C73" s="551">
        <v>8345</v>
      </c>
      <c r="D73" s="468"/>
      <c r="E73" s="468"/>
      <c r="F73" s="468"/>
      <c r="G73" s="468"/>
      <c r="H73" s="468"/>
      <c r="I73" s="468"/>
      <c r="J73" s="468"/>
      <c r="K73" s="468"/>
    </row>
    <row r="74" spans="1:11" ht="12.75" customHeight="1" x14ac:dyDescent="0.2">
      <c r="A74" s="463" t="s">
        <v>25</v>
      </c>
      <c r="B74" s="470">
        <v>1690</v>
      </c>
      <c r="C74" s="551">
        <v>7644</v>
      </c>
      <c r="D74" s="468"/>
      <c r="E74" s="468"/>
      <c r="F74" s="468"/>
      <c r="G74" s="468"/>
      <c r="H74" s="468"/>
      <c r="I74" s="468"/>
      <c r="J74" s="468"/>
      <c r="K74" s="468"/>
    </row>
    <row r="75" spans="1:11" ht="12.75" customHeight="1" thickBot="1" x14ac:dyDescent="0.25">
      <c r="A75" s="1706" t="s">
        <v>548</v>
      </c>
      <c r="B75" s="1707"/>
      <c r="C75" s="1686">
        <f>SUM(C69:C74)</f>
        <v>546548</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40758</v>
      </c>
      <c r="D77" s="466"/>
      <c r="E77" s="468"/>
      <c r="F77" s="468"/>
      <c r="G77" s="468"/>
      <c r="H77" s="468"/>
      <c r="I77" s="468"/>
      <c r="J77" s="468"/>
      <c r="K77" s="468"/>
    </row>
    <row r="78" spans="1:11" ht="12.75" customHeight="1" x14ac:dyDescent="0.2">
      <c r="A78" s="463" t="s">
        <v>76</v>
      </c>
      <c r="B78" s="470">
        <v>1719</v>
      </c>
      <c r="C78" s="551">
        <v>31485</v>
      </c>
      <c r="D78" s="466"/>
      <c r="E78" s="468"/>
      <c r="F78" s="468"/>
      <c r="G78" s="468"/>
      <c r="H78" s="468"/>
      <c r="I78" s="468"/>
      <c r="J78" s="468"/>
      <c r="K78" s="468"/>
    </row>
    <row r="79" spans="1:11" ht="12.75" customHeight="1" x14ac:dyDescent="0.2">
      <c r="A79" s="463" t="s">
        <v>550</v>
      </c>
      <c r="B79" s="470">
        <v>1720</v>
      </c>
      <c r="C79" s="551">
        <v>6956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79199</v>
      </c>
      <c r="D82" s="1686">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92103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92103</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26429</v>
      </c>
      <c r="E95" s="521"/>
      <c r="F95" s="521"/>
      <c r="G95" s="521"/>
      <c r="H95" s="521"/>
      <c r="I95" s="521"/>
      <c r="J95" s="521"/>
      <c r="K95" s="521"/>
    </row>
    <row r="96" spans="1:11" ht="12.75" customHeight="1" x14ac:dyDescent="0.2">
      <c r="A96" s="463" t="s">
        <v>391</v>
      </c>
      <c r="B96" s="470">
        <v>1920</v>
      </c>
      <c r="C96" s="551">
        <v>3670</v>
      </c>
      <c r="D96" s="551"/>
      <c r="E96" s="479"/>
      <c r="F96" s="478"/>
      <c r="G96" s="478"/>
      <c r="H96" s="478"/>
      <c r="I96" s="478"/>
      <c r="J96" s="478"/>
      <c r="K96" s="478"/>
    </row>
    <row r="97" spans="1:12" ht="12.75" customHeight="1" x14ac:dyDescent="0.2">
      <c r="A97" s="1495" t="s">
        <v>244</v>
      </c>
      <c r="B97" s="559">
        <v>1930</v>
      </c>
      <c r="C97" s="489"/>
      <c r="D97" s="467"/>
      <c r="E97" s="474"/>
      <c r="F97" s="467"/>
      <c r="G97" s="467"/>
      <c r="H97" s="467">
        <v>31447</v>
      </c>
      <c r="I97" s="467"/>
      <c r="J97" s="467"/>
      <c r="K97" s="467"/>
    </row>
    <row r="98" spans="1:12" ht="12.75" customHeight="1" x14ac:dyDescent="0.2">
      <c r="A98" s="463" t="s">
        <v>189</v>
      </c>
      <c r="B98" s="470">
        <v>1940</v>
      </c>
      <c r="C98" s="489">
        <v>30000</v>
      </c>
      <c r="D98" s="466"/>
      <c r="E98" s="512"/>
      <c r="F98" s="466"/>
      <c r="G98" s="512"/>
      <c r="H98" s="512"/>
      <c r="I98" s="510"/>
      <c r="J98" s="512"/>
      <c r="K98" s="512"/>
    </row>
    <row r="99" spans="1:12" ht="12.75" customHeight="1" x14ac:dyDescent="0.2">
      <c r="A99" s="463" t="s">
        <v>821</v>
      </c>
      <c r="B99" s="470">
        <v>1950</v>
      </c>
      <c r="C99" s="489">
        <v>144872</v>
      </c>
      <c r="D99" s="466">
        <v>30710</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20045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86037</v>
      </c>
      <c r="D107" s="466"/>
      <c r="E107" s="466"/>
      <c r="F107" s="466"/>
      <c r="G107" s="466"/>
      <c r="H107" s="466"/>
      <c r="I107" s="466"/>
      <c r="J107" s="467"/>
      <c r="K107" s="466"/>
    </row>
    <row r="108" spans="1:12" ht="12.75" customHeight="1" thickBot="1" x14ac:dyDescent="0.25">
      <c r="A108" s="1706" t="s">
        <v>487</v>
      </c>
      <c r="B108" s="1710"/>
      <c r="C108" s="1705">
        <f>SUM(C95:C107)</f>
        <v>284624</v>
      </c>
      <c r="D108" s="1705">
        <f t="shared" ref="D108:K108" si="3">SUM(D95:D107)</f>
        <v>57139</v>
      </c>
      <c r="E108" s="1705">
        <f t="shared" si="3"/>
        <v>0</v>
      </c>
      <c r="F108" s="1705">
        <f t="shared" si="3"/>
        <v>0</v>
      </c>
      <c r="G108" s="1705">
        <f t="shared" si="3"/>
        <v>0</v>
      </c>
      <c r="H108" s="1705">
        <f t="shared" si="3"/>
        <v>31447</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19085206</v>
      </c>
      <c r="D109" s="1713">
        <f t="shared" si="4"/>
        <v>3380203</v>
      </c>
      <c r="E109" s="1713">
        <f t="shared" si="4"/>
        <v>3537209</v>
      </c>
      <c r="F109" s="1713">
        <f t="shared" si="4"/>
        <v>1421327</v>
      </c>
      <c r="G109" s="1713">
        <f t="shared" si="4"/>
        <v>725375</v>
      </c>
      <c r="H109" s="1713">
        <f t="shared" si="4"/>
        <v>31447</v>
      </c>
      <c r="I109" s="1713">
        <f t="shared" si="4"/>
        <v>223969</v>
      </c>
      <c r="J109" s="1713">
        <f t="shared" si="4"/>
        <v>223182</v>
      </c>
      <c r="K109" s="1700">
        <f t="shared" si="4"/>
        <v>39291</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22187</v>
      </c>
      <c r="D111" s="481"/>
      <c r="E111" s="561"/>
      <c r="F111" s="481"/>
      <c r="G111" s="481"/>
      <c r="H111" s="561"/>
      <c r="I111" s="468"/>
      <c r="J111" s="468"/>
      <c r="K111" s="468"/>
    </row>
    <row r="112" spans="1:12" ht="12.75" customHeight="1" x14ac:dyDescent="0.2">
      <c r="A112" s="463" t="s">
        <v>824</v>
      </c>
      <c r="B112" s="470">
        <v>2200</v>
      </c>
      <c r="C112" s="551">
        <v>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22187</v>
      </c>
      <c r="D114" s="1716">
        <f>SUM(D111:D113)</f>
        <v>0</v>
      </c>
      <c r="E114" s="561" t="s">
        <v>1169</v>
      </c>
      <c r="F114" s="1716">
        <f>SUM(F111:F113)</f>
        <v>0</v>
      </c>
      <c r="G114" s="1716">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1344732</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7"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1344732</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120608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120608</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4389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32542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275362</v>
      </c>
      <c r="G152" s="467"/>
      <c r="H152" s="468"/>
      <c r="I152" s="468"/>
      <c r="J152" s="468"/>
      <c r="K152" s="468"/>
    </row>
    <row r="153" spans="1:11" ht="12.75" customHeight="1" x14ac:dyDescent="0.2">
      <c r="A153" s="463" t="s">
        <v>1057</v>
      </c>
      <c r="B153" s="562">
        <v>3510</v>
      </c>
      <c r="C153" s="551"/>
      <c r="D153" s="466"/>
      <c r="E153" s="561"/>
      <c r="F153" s="466">
        <v>541703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817065</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212681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80315</v>
      </c>
      <c r="D168" s="580"/>
      <c r="E168" s="580"/>
      <c r="F168" s="580"/>
      <c r="G168" s="581"/>
      <c r="H168" s="582"/>
      <c r="I168" s="581"/>
      <c r="J168" s="581"/>
      <c r="K168" s="582"/>
    </row>
    <row r="169" spans="1:11" ht="12.75" customHeight="1" thickTop="1" thickBot="1" x14ac:dyDescent="0.25">
      <c r="A169" s="2155" t="s">
        <v>398</v>
      </c>
      <c r="B169" s="2156"/>
      <c r="C169" s="1720">
        <f t="shared" ref="C169:K169" si="6">SUM(C132,C141,C145,C146:C150,C155,C156:C167,C168)</f>
        <v>450535</v>
      </c>
      <c r="D169" s="1720">
        <f t="shared" si="6"/>
        <v>0</v>
      </c>
      <c r="E169" s="1720">
        <f t="shared" si="6"/>
        <v>0</v>
      </c>
      <c r="F169" s="1720">
        <f t="shared" si="6"/>
        <v>817065</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1795267</v>
      </c>
      <c r="D170" s="1713">
        <f t="shared" si="7"/>
        <v>0</v>
      </c>
      <c r="E170" s="1713">
        <f t="shared" si="7"/>
        <v>0</v>
      </c>
      <c r="F170" s="1713">
        <f t="shared" si="7"/>
        <v>817065</v>
      </c>
      <c r="G170" s="1713">
        <f t="shared" si="7"/>
        <v>0</v>
      </c>
      <c r="H170" s="1713">
        <f t="shared" si="7"/>
        <v>0</v>
      </c>
      <c r="I170" s="1713">
        <f t="shared" si="7"/>
        <v>0</v>
      </c>
      <c r="J170" s="1713">
        <f t="shared" si="7"/>
        <v>0</v>
      </c>
      <c r="K170" s="1700">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7" t="s">
        <v>1492</v>
      </c>
      <c r="B172" s="215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1" t="s">
        <v>1665</v>
      </c>
      <c r="B175" s="2162"/>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5" t="s">
        <v>1664</v>
      </c>
      <c r="B176" s="216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3" t="s">
        <v>785</v>
      </c>
      <c r="B181" s="2164"/>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9" t="s">
        <v>1800</v>
      </c>
      <c r="B182" s="2160"/>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263182</v>
      </c>
      <c r="D191" s="468"/>
      <c r="E191" s="561"/>
      <c r="F191" s="468"/>
      <c r="G191" s="585"/>
      <c r="H191" s="468"/>
      <c r="I191" s="468"/>
      <c r="J191" s="468"/>
      <c r="K191" s="468"/>
    </row>
    <row r="192" spans="1:11" ht="12.75" customHeight="1" x14ac:dyDescent="0.2">
      <c r="A192" s="463" t="s">
        <v>1047</v>
      </c>
      <c r="B192" s="470">
        <v>4215</v>
      </c>
      <c r="C192" s="551">
        <v>3181</v>
      </c>
      <c r="D192" s="468"/>
      <c r="E192" s="561"/>
      <c r="F192" s="468"/>
      <c r="G192" s="585"/>
      <c r="H192" s="468"/>
      <c r="I192" s="468"/>
      <c r="J192" s="468"/>
      <c r="K192" s="468"/>
    </row>
    <row r="193" spans="1:11" ht="12.75" customHeight="1" x14ac:dyDescent="0.2">
      <c r="A193" s="463" t="s">
        <v>1059</v>
      </c>
      <c r="B193" s="470">
        <v>4220</v>
      </c>
      <c r="C193" s="551">
        <v>27144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293507</v>
      </c>
      <c r="D198" s="468"/>
      <c r="E198" s="468"/>
      <c r="F198" s="468"/>
      <c r="G198" s="1686">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316112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316112</v>
      </c>
      <c r="D204" s="1705">
        <f>SUM(D200:D203)</f>
        <v>0</v>
      </c>
      <c r="E204" s="468"/>
      <c r="F204" s="1705">
        <f>SUM(F200:F203)</f>
        <v>0</v>
      </c>
      <c r="G204" s="1705">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19867</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19867</v>
      </c>
      <c r="D209" s="1705">
        <f>SUM(D206:D208)</f>
        <v>0</v>
      </c>
      <c r="E209" s="468" t="s">
        <v>1169</v>
      </c>
      <c r="F209" s="1705">
        <f>SUM(F206:F208)</f>
        <v>0</v>
      </c>
      <c r="G209" s="1705">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7494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390953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398447</v>
      </c>
      <c r="D217" s="1705">
        <f>SUM(D211:D216)</f>
        <v>0</v>
      </c>
      <c r="E217" s="468"/>
      <c r="F217" s="1705">
        <f>SUM(F211:F216)</f>
        <v>0</v>
      </c>
      <c r="G217" s="1705">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482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1932</v>
      </c>
      <c r="B261" s="470">
        <v>4981</v>
      </c>
      <c r="C261" s="575"/>
      <c r="D261" s="576"/>
      <c r="E261" s="468"/>
      <c r="F261" s="576"/>
      <c r="G261" s="576"/>
      <c r="H261" s="468"/>
      <c r="I261" s="468"/>
      <c r="J261" s="468"/>
      <c r="K261" s="468"/>
    </row>
    <row r="262" spans="1:11" ht="12.75" customHeight="1" thickTop="1" thickBot="1" x14ac:dyDescent="0.25">
      <c r="A262" s="1928"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36536</v>
      </c>
      <c r="D263" s="576"/>
      <c r="E263" s="468"/>
      <c r="F263" s="576"/>
      <c r="G263" s="576"/>
      <c r="H263" s="468"/>
      <c r="I263" s="468"/>
      <c r="J263" s="468"/>
      <c r="K263" s="468"/>
    </row>
    <row r="264" spans="1:11" ht="12.75" customHeight="1" thickTop="1" thickBot="1" x14ac:dyDescent="0.25">
      <c r="A264" s="463" t="s">
        <v>377</v>
      </c>
      <c r="B264" s="470">
        <v>4992</v>
      </c>
      <c r="C264" s="575">
        <v>141288</v>
      </c>
      <c r="D264" s="576"/>
      <c r="E264" s="468"/>
      <c r="F264" s="576"/>
      <c r="G264" s="576"/>
      <c r="H264" s="468"/>
      <c r="I264" s="468"/>
      <c r="J264" s="468"/>
      <c r="K264" s="468"/>
    </row>
    <row r="265" spans="1:11" s="593" customFormat="1" ht="12.75" customHeight="1" thickTop="1" thickBot="1" x14ac:dyDescent="0.25">
      <c r="A265" s="563" t="s">
        <v>75</v>
      </c>
      <c r="B265" s="557">
        <v>4999</v>
      </c>
      <c r="C265" s="575">
        <v>92</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1206331</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1206331</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22108991</v>
      </c>
      <c r="D268" s="1713">
        <f t="shared" si="12"/>
        <v>3380203</v>
      </c>
      <c r="E268" s="1713">
        <f t="shared" si="12"/>
        <v>3537209</v>
      </c>
      <c r="F268" s="1713">
        <f t="shared" si="12"/>
        <v>2238392</v>
      </c>
      <c r="G268" s="1713">
        <f t="shared" si="12"/>
        <v>725375</v>
      </c>
      <c r="H268" s="1713">
        <f t="shared" si="12"/>
        <v>31447</v>
      </c>
      <c r="I268" s="1713">
        <f t="shared" si="12"/>
        <v>223969</v>
      </c>
      <c r="J268" s="1713">
        <f t="shared" si="12"/>
        <v>223182</v>
      </c>
      <c r="K268" s="1700">
        <f t="shared" si="12"/>
        <v>39291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89" activePane="bottomLeft" state="frozen"/>
      <selection pane="bottomLeft" activeCell="M171" sqref="M171"/>
    </sheetView>
  </sheetViews>
  <sheetFormatPr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2" t="s">
        <v>297</v>
      </c>
      <c r="B3" s="2193"/>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4" t="s">
        <v>961</v>
      </c>
      <c r="B5" s="614">
        <v>1100</v>
      </c>
      <c r="C5" s="466">
        <v>8114472</v>
      </c>
      <c r="D5" s="466">
        <v>1991149</v>
      </c>
      <c r="E5" s="466">
        <v>72803</v>
      </c>
      <c r="F5" s="466">
        <v>176209</v>
      </c>
      <c r="G5" s="466">
        <v>42168</v>
      </c>
      <c r="H5" s="466"/>
      <c r="I5" s="467"/>
      <c r="J5" s="467"/>
      <c r="K5" s="1669">
        <f>SUM(C5:J5)</f>
        <v>10396801</v>
      </c>
      <c r="L5" s="466">
        <v>10292794</v>
      </c>
    </row>
    <row r="6" spans="1:14" x14ac:dyDescent="0.2">
      <c r="A6" s="1504" t="s">
        <v>1433</v>
      </c>
      <c r="B6" s="614" t="s">
        <v>1431</v>
      </c>
      <c r="C6" s="477"/>
      <c r="D6" s="477"/>
      <c r="E6" s="466"/>
      <c r="F6" s="477"/>
      <c r="G6" s="477"/>
      <c r="H6" s="477"/>
      <c r="I6" s="477"/>
      <c r="J6" s="477"/>
      <c r="K6" s="1669">
        <f>SUM(C6,E6)</f>
        <v>0</v>
      </c>
      <c r="L6" s="466">
        <v>29500</v>
      </c>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2016777</v>
      </c>
      <c r="D8" s="466">
        <v>460071</v>
      </c>
      <c r="E8" s="466">
        <v>59324</v>
      </c>
      <c r="F8" s="466">
        <v>66644</v>
      </c>
      <c r="G8" s="466">
        <v>12032</v>
      </c>
      <c r="H8" s="466">
        <v>328908</v>
      </c>
      <c r="I8" s="467"/>
      <c r="J8" s="467"/>
      <c r="K8" s="1669">
        <f t="shared" si="0"/>
        <v>2943756</v>
      </c>
      <c r="L8" s="466">
        <v>2985505</v>
      </c>
    </row>
    <row r="9" spans="1:14" x14ac:dyDescent="0.2">
      <c r="A9" s="1504" t="s">
        <v>721</v>
      </c>
      <c r="B9" s="614" t="s">
        <v>968</v>
      </c>
      <c r="C9" s="467">
        <v>239989</v>
      </c>
      <c r="D9" s="467">
        <v>58452</v>
      </c>
      <c r="E9" s="467"/>
      <c r="F9" s="467"/>
      <c r="G9" s="467"/>
      <c r="H9" s="467"/>
      <c r="I9" s="467"/>
      <c r="J9" s="467"/>
      <c r="K9" s="1669">
        <f t="shared" si="0"/>
        <v>298441</v>
      </c>
      <c r="L9" s="466">
        <v>235660</v>
      </c>
    </row>
    <row r="10" spans="1:14" x14ac:dyDescent="0.2">
      <c r="A10" s="1504" t="s">
        <v>722</v>
      </c>
      <c r="B10" s="614">
        <v>1250</v>
      </c>
      <c r="C10" s="466">
        <v>81916</v>
      </c>
      <c r="D10" s="466"/>
      <c r="E10" s="466"/>
      <c r="F10" s="466">
        <v>84295</v>
      </c>
      <c r="G10" s="466">
        <v>54343</v>
      </c>
      <c r="H10" s="466"/>
      <c r="I10" s="467"/>
      <c r="J10" s="467"/>
      <c r="K10" s="1669">
        <f t="shared" si="0"/>
        <v>220554</v>
      </c>
      <c r="L10" s="466">
        <v>242112</v>
      </c>
    </row>
    <row r="11" spans="1:14" x14ac:dyDescent="0.2">
      <c r="A11" s="1504" t="s">
        <v>1130</v>
      </c>
      <c r="B11" s="614" t="s">
        <v>161</v>
      </c>
      <c r="C11" s="467">
        <v>188788</v>
      </c>
      <c r="D11" s="467">
        <v>69871</v>
      </c>
      <c r="E11" s="467"/>
      <c r="F11" s="467">
        <v>1081</v>
      </c>
      <c r="G11" s="467">
        <v>1800</v>
      </c>
      <c r="H11" s="467"/>
      <c r="I11" s="467"/>
      <c r="J11" s="467"/>
      <c r="K11" s="1669">
        <f t="shared" si="0"/>
        <v>261540</v>
      </c>
      <c r="L11" s="466">
        <v>196000</v>
      </c>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v>327149</v>
      </c>
      <c r="D13" s="466">
        <v>64048</v>
      </c>
      <c r="E13" s="466">
        <v>2263</v>
      </c>
      <c r="F13" s="466">
        <v>15539</v>
      </c>
      <c r="G13" s="466">
        <v>7020</v>
      </c>
      <c r="H13" s="466"/>
      <c r="I13" s="467"/>
      <c r="J13" s="467"/>
      <c r="K13" s="1669">
        <f t="shared" si="0"/>
        <v>416019</v>
      </c>
      <c r="L13" s="466">
        <v>440100</v>
      </c>
    </row>
    <row r="14" spans="1:14" x14ac:dyDescent="0.2">
      <c r="A14" s="1504" t="s">
        <v>963</v>
      </c>
      <c r="B14" s="614">
        <v>1500</v>
      </c>
      <c r="C14" s="466">
        <v>586050</v>
      </c>
      <c r="D14" s="466">
        <v>126815</v>
      </c>
      <c r="E14" s="466">
        <v>99212</v>
      </c>
      <c r="F14" s="466">
        <v>66705</v>
      </c>
      <c r="G14" s="466">
        <v>33171</v>
      </c>
      <c r="H14" s="466">
        <v>28758</v>
      </c>
      <c r="I14" s="467"/>
      <c r="J14" s="467"/>
      <c r="K14" s="1669">
        <f t="shared" si="0"/>
        <v>940711</v>
      </c>
      <c r="L14" s="466">
        <v>957944</v>
      </c>
    </row>
    <row r="15" spans="1:14" x14ac:dyDescent="0.2">
      <c r="A15" s="1504" t="s">
        <v>964</v>
      </c>
      <c r="B15" s="614">
        <v>1600</v>
      </c>
      <c r="C15" s="466">
        <v>44724</v>
      </c>
      <c r="D15" s="466">
        <v>6365</v>
      </c>
      <c r="E15" s="466">
        <v>50</v>
      </c>
      <c r="F15" s="466">
        <v>7924</v>
      </c>
      <c r="G15" s="466"/>
      <c r="H15" s="466"/>
      <c r="I15" s="467"/>
      <c r="J15" s="467"/>
      <c r="K15" s="1669">
        <f t="shared" si="0"/>
        <v>59063</v>
      </c>
      <c r="L15" s="466">
        <v>42500</v>
      </c>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11599865</v>
      </c>
      <c r="D33" s="1668">
        <f t="shared" ref="D33:L33" si="1">SUM(D5:D32)</f>
        <v>2776771</v>
      </c>
      <c r="E33" s="1668">
        <f t="shared" si="1"/>
        <v>233652</v>
      </c>
      <c r="F33" s="1668">
        <f t="shared" si="1"/>
        <v>418397</v>
      </c>
      <c r="G33" s="1668">
        <f t="shared" si="1"/>
        <v>150534</v>
      </c>
      <c r="H33" s="1668">
        <f t="shared" si="1"/>
        <v>357666</v>
      </c>
      <c r="I33" s="1668">
        <f t="shared" si="1"/>
        <v>0</v>
      </c>
      <c r="J33" s="1668">
        <f t="shared" si="1"/>
        <v>0</v>
      </c>
      <c r="K33" s="1668">
        <f t="shared" si="1"/>
        <v>15536885</v>
      </c>
      <c r="L33" s="1668">
        <f t="shared" si="1"/>
        <v>15422115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291939</v>
      </c>
      <c r="D36" s="481">
        <v>69830</v>
      </c>
      <c r="E36" s="481"/>
      <c r="F36" s="481">
        <v>1629</v>
      </c>
      <c r="G36" s="481">
        <v>63</v>
      </c>
      <c r="H36" s="481"/>
      <c r="I36" s="467"/>
      <c r="J36" s="467"/>
      <c r="K36" s="1669">
        <f t="shared" ref="K36:K41" si="2">SUM(C36:J36)</f>
        <v>363461</v>
      </c>
      <c r="L36" s="466">
        <v>363980</v>
      </c>
    </row>
    <row r="37" spans="1:14" x14ac:dyDescent="0.2">
      <c r="A37" s="1504" t="s">
        <v>1090</v>
      </c>
      <c r="B37" s="614">
        <v>2120</v>
      </c>
      <c r="C37" s="466">
        <v>200755</v>
      </c>
      <c r="D37" s="466">
        <v>60169</v>
      </c>
      <c r="E37" s="466"/>
      <c r="F37" s="466"/>
      <c r="G37" s="466"/>
      <c r="H37" s="466"/>
      <c r="I37" s="467"/>
      <c r="J37" s="467"/>
      <c r="K37" s="1669">
        <f t="shared" si="2"/>
        <v>260924</v>
      </c>
      <c r="L37" s="466">
        <v>253850</v>
      </c>
    </row>
    <row r="38" spans="1:14" x14ac:dyDescent="0.2">
      <c r="A38" s="1504" t="s">
        <v>198</v>
      </c>
      <c r="B38" s="614">
        <v>2130</v>
      </c>
      <c r="C38" s="466">
        <v>103378</v>
      </c>
      <c r="D38" s="466">
        <v>22912</v>
      </c>
      <c r="E38" s="466">
        <v>984</v>
      </c>
      <c r="F38" s="466">
        <v>2054</v>
      </c>
      <c r="G38" s="466"/>
      <c r="H38" s="466"/>
      <c r="I38" s="467"/>
      <c r="J38" s="467"/>
      <c r="K38" s="1669">
        <f t="shared" si="2"/>
        <v>129328</v>
      </c>
      <c r="L38" s="466">
        <v>134850</v>
      </c>
    </row>
    <row r="39" spans="1:14" x14ac:dyDescent="0.2">
      <c r="A39" s="1504" t="s">
        <v>199</v>
      </c>
      <c r="B39" s="614">
        <v>2140</v>
      </c>
      <c r="C39" s="466">
        <v>134281</v>
      </c>
      <c r="D39" s="466">
        <v>30237</v>
      </c>
      <c r="E39" s="466">
        <v>156</v>
      </c>
      <c r="F39" s="466"/>
      <c r="G39" s="466"/>
      <c r="H39" s="466"/>
      <c r="I39" s="467"/>
      <c r="J39" s="467"/>
      <c r="K39" s="1669">
        <f t="shared" si="2"/>
        <v>164674</v>
      </c>
      <c r="L39" s="466">
        <v>166550</v>
      </c>
    </row>
    <row r="40" spans="1:14" x14ac:dyDescent="0.2">
      <c r="A40" s="1504" t="s">
        <v>200</v>
      </c>
      <c r="B40" s="614">
        <v>2150</v>
      </c>
      <c r="C40" s="466">
        <v>237281</v>
      </c>
      <c r="D40" s="466">
        <v>35462</v>
      </c>
      <c r="E40" s="466"/>
      <c r="F40" s="466"/>
      <c r="G40" s="466"/>
      <c r="H40" s="466"/>
      <c r="I40" s="467"/>
      <c r="J40" s="467"/>
      <c r="K40" s="1669">
        <f t="shared" si="2"/>
        <v>272743</v>
      </c>
      <c r="L40" s="466">
        <v>273295</v>
      </c>
    </row>
    <row r="41" spans="1:14" x14ac:dyDescent="0.2">
      <c r="A41" s="1504" t="s">
        <v>1669</v>
      </c>
      <c r="B41" s="614">
        <v>2190</v>
      </c>
      <c r="C41" s="466">
        <v>99927</v>
      </c>
      <c r="D41" s="466">
        <v>22543</v>
      </c>
      <c r="E41" s="466">
        <v>81561</v>
      </c>
      <c r="F41" s="466">
        <v>11266</v>
      </c>
      <c r="G41" s="466"/>
      <c r="H41" s="466"/>
      <c r="I41" s="467"/>
      <c r="J41" s="467"/>
      <c r="K41" s="1669">
        <f t="shared" si="2"/>
        <v>215297</v>
      </c>
      <c r="L41" s="466">
        <v>255600</v>
      </c>
    </row>
    <row r="42" spans="1:14" ht="12.75" customHeight="1" thickBot="1" x14ac:dyDescent="0.25">
      <c r="A42" s="1666" t="s">
        <v>560</v>
      </c>
      <c r="B42" s="1667" t="s">
        <v>716</v>
      </c>
      <c r="C42" s="1668">
        <f>SUM(C36:C41)</f>
        <v>1067561</v>
      </c>
      <c r="D42" s="1668">
        <f t="shared" ref="D42:L42" si="3">SUM(D36:D41)</f>
        <v>241153</v>
      </c>
      <c r="E42" s="1668">
        <f t="shared" si="3"/>
        <v>82701</v>
      </c>
      <c r="F42" s="1668">
        <f t="shared" si="3"/>
        <v>14949</v>
      </c>
      <c r="G42" s="1668">
        <f t="shared" si="3"/>
        <v>63</v>
      </c>
      <c r="H42" s="1668">
        <f t="shared" si="3"/>
        <v>0</v>
      </c>
      <c r="I42" s="1668">
        <f t="shared" si="3"/>
        <v>0</v>
      </c>
      <c r="J42" s="1668">
        <f t="shared" si="3"/>
        <v>0</v>
      </c>
      <c r="K42" s="1668">
        <f t="shared" si="3"/>
        <v>1406427</v>
      </c>
      <c r="L42" s="1668">
        <f t="shared" si="3"/>
        <v>1448125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213065</v>
      </c>
      <c r="D44" s="481">
        <v>59918</v>
      </c>
      <c r="E44" s="481">
        <v>108671</v>
      </c>
      <c r="F44" s="481">
        <v>990</v>
      </c>
      <c r="G44" s="481"/>
      <c r="H44" s="481">
        <v>288</v>
      </c>
      <c r="I44" s="467"/>
      <c r="J44" s="467"/>
      <c r="K44" s="1670">
        <f>SUM(C44:J44)</f>
        <v>382932</v>
      </c>
      <c r="L44" s="481">
        <v>445418</v>
      </c>
    </row>
    <row r="45" spans="1:14" x14ac:dyDescent="0.2">
      <c r="A45" s="1504" t="s">
        <v>815</v>
      </c>
      <c r="B45" s="614">
        <v>2220</v>
      </c>
      <c r="C45" s="466">
        <v>370905</v>
      </c>
      <c r="D45" s="466">
        <v>73065</v>
      </c>
      <c r="E45" s="466">
        <v>481018</v>
      </c>
      <c r="F45" s="466">
        <v>29390</v>
      </c>
      <c r="G45" s="466">
        <v>97151</v>
      </c>
      <c r="H45" s="466"/>
      <c r="I45" s="467"/>
      <c r="J45" s="467"/>
      <c r="K45" s="1670">
        <f>SUM(C45:J45)</f>
        <v>1051529</v>
      </c>
      <c r="L45" s="466">
        <v>1117917</v>
      </c>
    </row>
    <row r="46" spans="1:14" x14ac:dyDescent="0.2">
      <c r="A46" s="1504" t="s">
        <v>816</v>
      </c>
      <c r="B46" s="614">
        <v>2230</v>
      </c>
      <c r="C46" s="466"/>
      <c r="D46" s="466"/>
      <c r="E46" s="466">
        <v>5739</v>
      </c>
      <c r="F46" s="466">
        <v>60590</v>
      </c>
      <c r="G46" s="466">
        <v>2412</v>
      </c>
      <c r="H46" s="466"/>
      <c r="I46" s="467"/>
      <c r="J46" s="467"/>
      <c r="K46" s="1670">
        <f>SUM(C46:J46)</f>
        <v>68741</v>
      </c>
      <c r="L46" s="466">
        <v>110500</v>
      </c>
    </row>
    <row r="47" spans="1:14" ht="12.75" customHeight="1" thickBot="1" x14ac:dyDescent="0.25">
      <c r="A47" s="1666" t="s">
        <v>561</v>
      </c>
      <c r="B47" s="1667" t="s">
        <v>32</v>
      </c>
      <c r="C47" s="1668">
        <f>SUM(C44:C46)</f>
        <v>583970</v>
      </c>
      <c r="D47" s="1668">
        <f t="shared" ref="D47:K47" si="4">SUM(D44:D46)</f>
        <v>132983</v>
      </c>
      <c r="E47" s="1668">
        <f t="shared" si="4"/>
        <v>595428</v>
      </c>
      <c r="F47" s="1668">
        <f t="shared" si="4"/>
        <v>90970</v>
      </c>
      <c r="G47" s="1668">
        <f t="shared" si="4"/>
        <v>99563</v>
      </c>
      <c r="H47" s="1668">
        <f t="shared" si="4"/>
        <v>288</v>
      </c>
      <c r="I47" s="1668">
        <f t="shared" si="4"/>
        <v>0</v>
      </c>
      <c r="J47" s="1668">
        <f t="shared" si="4"/>
        <v>0</v>
      </c>
      <c r="K47" s="1668">
        <f t="shared" si="4"/>
        <v>1503202</v>
      </c>
      <c r="L47" s="1668">
        <f>SUM(L44:L46)</f>
        <v>1673835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349587</v>
      </c>
      <c r="F49" s="481">
        <v>8284</v>
      </c>
      <c r="G49" s="481"/>
      <c r="H49" s="481">
        <v>24823</v>
      </c>
      <c r="I49" s="467"/>
      <c r="J49" s="467"/>
      <c r="K49" s="1670">
        <f>SUM(C49:J49)</f>
        <v>382694</v>
      </c>
      <c r="L49" s="481">
        <v>518500</v>
      </c>
    </row>
    <row r="50" spans="1:14" x14ac:dyDescent="0.2">
      <c r="A50" s="1504" t="s">
        <v>818</v>
      </c>
      <c r="B50" s="614">
        <v>2320</v>
      </c>
      <c r="C50" s="466">
        <v>234662</v>
      </c>
      <c r="D50" s="466">
        <v>58311</v>
      </c>
      <c r="E50" s="466">
        <v>5132</v>
      </c>
      <c r="F50" s="466">
        <v>1124</v>
      </c>
      <c r="G50" s="466"/>
      <c r="H50" s="466">
        <v>1914</v>
      </c>
      <c r="I50" s="467"/>
      <c r="J50" s="467"/>
      <c r="K50" s="1670">
        <f>SUM(C50:J50)</f>
        <v>301143</v>
      </c>
      <c r="L50" s="466">
        <v>297500</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234662</v>
      </c>
      <c r="D53" s="1668">
        <f t="shared" ref="D53:L53" si="5">SUM(D49:D52)</f>
        <v>58311</v>
      </c>
      <c r="E53" s="1668">
        <f t="shared" si="5"/>
        <v>354719</v>
      </c>
      <c r="F53" s="1668">
        <f t="shared" si="5"/>
        <v>9408</v>
      </c>
      <c r="G53" s="1668">
        <f t="shared" si="5"/>
        <v>0</v>
      </c>
      <c r="H53" s="1668">
        <f t="shared" si="5"/>
        <v>26737</v>
      </c>
      <c r="I53" s="1668">
        <f t="shared" si="5"/>
        <v>0</v>
      </c>
      <c r="J53" s="1668">
        <f t="shared" si="5"/>
        <v>0</v>
      </c>
      <c r="K53" s="1668">
        <f t="shared" si="5"/>
        <v>683837</v>
      </c>
      <c r="L53" s="1668">
        <f t="shared" si="5"/>
        <v>816000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859001</v>
      </c>
      <c r="D55" s="481">
        <v>256256</v>
      </c>
      <c r="E55" s="481">
        <v>6535</v>
      </c>
      <c r="F55" s="481">
        <v>27079</v>
      </c>
      <c r="G55" s="481">
        <v>2771</v>
      </c>
      <c r="H55" s="481">
        <v>1875</v>
      </c>
      <c r="I55" s="467"/>
      <c r="J55" s="467"/>
      <c r="K55" s="1670">
        <f>SUM(C55:J55)</f>
        <v>1153517</v>
      </c>
      <c r="L55" s="481">
        <v>1145500</v>
      </c>
    </row>
    <row r="56" spans="1:14" ht="12.75" customHeight="1" x14ac:dyDescent="0.2">
      <c r="A56" s="1508" t="s">
        <v>376</v>
      </c>
      <c r="B56" s="628">
        <v>2490</v>
      </c>
      <c r="C56" s="466"/>
      <c r="D56" s="466"/>
      <c r="E56" s="466">
        <v>2560</v>
      </c>
      <c r="F56" s="466"/>
      <c r="G56" s="466"/>
      <c r="H56" s="466"/>
      <c r="I56" s="467"/>
      <c r="J56" s="467"/>
      <c r="K56" s="1670">
        <f>SUM(C56:J56)</f>
        <v>2560</v>
      </c>
      <c r="L56" s="466">
        <v>3000</v>
      </c>
    </row>
    <row r="57" spans="1:14" s="343" customFormat="1" ht="12.75" customHeight="1" thickBot="1" x14ac:dyDescent="0.25">
      <c r="A57" s="1666" t="s">
        <v>263</v>
      </c>
      <c r="B57" s="1671" t="s">
        <v>34</v>
      </c>
      <c r="C57" s="1672">
        <f>SUM(C55:C56)</f>
        <v>859001</v>
      </c>
      <c r="D57" s="1672">
        <f t="shared" ref="D57:K57" si="6">SUM(D55:D56)</f>
        <v>256256</v>
      </c>
      <c r="E57" s="1672">
        <f t="shared" si="6"/>
        <v>9095</v>
      </c>
      <c r="F57" s="1672">
        <f t="shared" si="6"/>
        <v>27079</v>
      </c>
      <c r="G57" s="1672">
        <f t="shared" si="6"/>
        <v>2771</v>
      </c>
      <c r="H57" s="1672">
        <f t="shared" si="6"/>
        <v>1875</v>
      </c>
      <c r="I57" s="1672">
        <f t="shared" si="6"/>
        <v>0</v>
      </c>
      <c r="J57" s="1672">
        <f t="shared" si="6"/>
        <v>0</v>
      </c>
      <c r="K57" s="1672">
        <f t="shared" si="6"/>
        <v>1156077</v>
      </c>
      <c r="L57" s="1668">
        <f>SUM(L55:L56)</f>
        <v>1148500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75000</v>
      </c>
      <c r="D59" s="481">
        <v>22903</v>
      </c>
      <c r="E59" s="481">
        <v>4475</v>
      </c>
      <c r="F59" s="481">
        <v>320</v>
      </c>
      <c r="G59" s="481"/>
      <c r="H59" s="481">
        <v>1296</v>
      </c>
      <c r="I59" s="467"/>
      <c r="J59" s="467"/>
      <c r="K59" s="1670">
        <f t="shared" ref="K59:K64" si="7">SUM(C59:J59)</f>
        <v>103994</v>
      </c>
      <c r="L59" s="481">
        <v>90200</v>
      </c>
      <c r="M59" s="609"/>
      <c r="N59" s="609"/>
    </row>
    <row r="60" spans="1:14" s="343" customFormat="1" x14ac:dyDescent="0.2">
      <c r="A60" s="1504" t="s">
        <v>463</v>
      </c>
      <c r="B60" s="614">
        <v>2520</v>
      </c>
      <c r="C60" s="466">
        <v>107520</v>
      </c>
      <c r="D60" s="466">
        <v>20103</v>
      </c>
      <c r="E60" s="466">
        <v>4025</v>
      </c>
      <c r="F60" s="466">
        <v>23824</v>
      </c>
      <c r="G60" s="466">
        <v>2904</v>
      </c>
      <c r="H60" s="466">
        <v>6068</v>
      </c>
      <c r="I60" s="467"/>
      <c r="J60" s="467"/>
      <c r="K60" s="1670">
        <f t="shared" si="7"/>
        <v>164444</v>
      </c>
      <c r="L60" s="466">
        <v>204250</v>
      </c>
      <c r="M60" s="609"/>
      <c r="N60" s="609"/>
    </row>
    <row r="61" spans="1:14" s="343" customFormat="1" x14ac:dyDescent="0.2">
      <c r="A61" s="1504" t="s">
        <v>197</v>
      </c>
      <c r="B61" s="614">
        <v>2540</v>
      </c>
      <c r="C61" s="466"/>
      <c r="D61" s="466"/>
      <c r="E61" s="466"/>
      <c r="F61" s="466">
        <v>3554</v>
      </c>
      <c r="G61" s="466"/>
      <c r="H61" s="466"/>
      <c r="I61" s="467"/>
      <c r="J61" s="467"/>
      <c r="K61" s="1670">
        <f t="shared" si="7"/>
        <v>3554</v>
      </c>
      <c r="L61" s="466">
        <v>5000</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349503</v>
      </c>
      <c r="D63" s="466">
        <v>44189</v>
      </c>
      <c r="E63" s="466">
        <v>16464</v>
      </c>
      <c r="F63" s="466">
        <v>397546</v>
      </c>
      <c r="G63" s="466">
        <v>49429</v>
      </c>
      <c r="H63" s="466"/>
      <c r="I63" s="467"/>
      <c r="J63" s="467"/>
      <c r="K63" s="1670">
        <f t="shared" si="7"/>
        <v>857131</v>
      </c>
      <c r="L63" s="466">
        <v>878450</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532023</v>
      </c>
      <c r="D65" s="1668">
        <f t="shared" ref="D65:L65" si="8">SUM(D59:D64)</f>
        <v>87195</v>
      </c>
      <c r="E65" s="1668">
        <f t="shared" si="8"/>
        <v>24964</v>
      </c>
      <c r="F65" s="1668">
        <f t="shared" si="8"/>
        <v>425244</v>
      </c>
      <c r="G65" s="1668">
        <f t="shared" si="8"/>
        <v>52333</v>
      </c>
      <c r="H65" s="1668">
        <f t="shared" si="8"/>
        <v>7364</v>
      </c>
      <c r="I65" s="1668">
        <f t="shared" si="8"/>
        <v>0</v>
      </c>
      <c r="J65" s="1668">
        <f t="shared" si="8"/>
        <v>0</v>
      </c>
      <c r="K65" s="1668">
        <f t="shared" si="8"/>
        <v>1129123</v>
      </c>
      <c r="L65" s="1668">
        <f t="shared" si="8"/>
        <v>1177900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v>1419</v>
      </c>
      <c r="F69" s="466"/>
      <c r="G69" s="466"/>
      <c r="H69" s="466"/>
      <c r="I69" s="467"/>
      <c r="J69" s="467"/>
      <c r="K69" s="1670">
        <f>SUM(C69:J69)</f>
        <v>1419</v>
      </c>
      <c r="L69" s="466">
        <v>0</v>
      </c>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1419</v>
      </c>
      <c r="F72" s="1668">
        <f t="shared" si="9"/>
        <v>0</v>
      </c>
      <c r="G72" s="1668">
        <f t="shared" si="9"/>
        <v>0</v>
      </c>
      <c r="H72" s="1668">
        <f t="shared" si="9"/>
        <v>0</v>
      </c>
      <c r="I72" s="1668">
        <f t="shared" si="9"/>
        <v>0</v>
      </c>
      <c r="J72" s="1668">
        <f t="shared" si="9"/>
        <v>0</v>
      </c>
      <c r="K72" s="1668">
        <f t="shared" si="9"/>
        <v>1419</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v>3000</v>
      </c>
      <c r="M73" s="609"/>
      <c r="N73" s="609"/>
    </row>
    <row r="74" spans="1:14" ht="12.75" customHeight="1" thickTop="1" thickBot="1" x14ac:dyDescent="0.25">
      <c r="A74" s="1666" t="s">
        <v>811</v>
      </c>
      <c r="B74" s="1674">
        <v>2000</v>
      </c>
      <c r="C74" s="1675">
        <f>SUM(C42,C47,C53,C57,C65,C72,C73)</f>
        <v>3277217</v>
      </c>
      <c r="D74" s="1675">
        <f t="shared" ref="D74:K74" si="10">SUM(D42,D47,D53,D57,D65,D72,D73)</f>
        <v>775898</v>
      </c>
      <c r="E74" s="1675">
        <f t="shared" si="10"/>
        <v>1068326</v>
      </c>
      <c r="F74" s="1675">
        <f t="shared" si="10"/>
        <v>567650</v>
      </c>
      <c r="G74" s="1675">
        <f t="shared" si="10"/>
        <v>154730</v>
      </c>
      <c r="H74" s="1675">
        <f t="shared" si="10"/>
        <v>36264</v>
      </c>
      <c r="I74" s="1675">
        <f t="shared" si="10"/>
        <v>0</v>
      </c>
      <c r="J74" s="1675">
        <f t="shared" si="10"/>
        <v>0</v>
      </c>
      <c r="K74" s="1675">
        <f t="shared" si="10"/>
        <v>5880085</v>
      </c>
      <c r="L74" s="1675">
        <f>SUM(L42,L47,L53,L57,L65,L72,L73)</f>
        <v>6267360</v>
      </c>
    </row>
    <row r="75" spans="1:14" s="259" customFormat="1" ht="15.75" customHeight="1" thickTop="1" thickBot="1" x14ac:dyDescent="0.25">
      <c r="A75" s="1609" t="s">
        <v>47</v>
      </c>
      <c r="B75" s="1610" t="s">
        <v>575</v>
      </c>
      <c r="C75" s="573"/>
      <c r="D75" s="573"/>
      <c r="E75" s="573"/>
      <c r="F75" s="573">
        <v>137</v>
      </c>
      <c r="G75" s="573"/>
      <c r="H75" s="573"/>
      <c r="I75" s="531"/>
      <c r="J75" s="531"/>
      <c r="K75" s="1668">
        <f>SUM(C75:J75)</f>
        <v>137</v>
      </c>
      <c r="L75" s="576">
        <v>23200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6737</v>
      </c>
      <c r="F78" s="616"/>
      <c r="G78" s="616"/>
      <c r="H78" s="634"/>
      <c r="I78" s="477"/>
      <c r="J78" s="477"/>
      <c r="K78" s="1669">
        <f t="shared" ref="K78:K83" si="11">SUM(C78:J78)</f>
        <v>6737</v>
      </c>
      <c r="L78" s="481">
        <v>25000</v>
      </c>
    </row>
    <row r="79" spans="1:14" x14ac:dyDescent="0.2">
      <c r="A79" s="1504" t="s">
        <v>304</v>
      </c>
      <c r="B79" s="614">
        <v>4120</v>
      </c>
      <c r="C79" s="616"/>
      <c r="D79" s="616"/>
      <c r="E79" s="466">
        <v>61591</v>
      </c>
      <c r="F79" s="616"/>
      <c r="G79" s="616"/>
      <c r="H79" s="466"/>
      <c r="I79" s="477"/>
      <c r="J79" s="477"/>
      <c r="K79" s="1669">
        <f t="shared" si="11"/>
        <v>61591</v>
      </c>
      <c r="L79" s="466">
        <v>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68328</v>
      </c>
      <c r="F84" s="616"/>
      <c r="G84" s="616"/>
      <c r="H84" s="1668">
        <f>SUM(H78:H83)</f>
        <v>0</v>
      </c>
      <c r="I84" s="477"/>
      <c r="J84" s="477"/>
      <c r="K84" s="1668">
        <f>SUM(K78:K83)</f>
        <v>68328</v>
      </c>
      <c r="L84" s="1668">
        <f>SUM(L78:L83)</f>
        <v>25000</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22824</v>
      </c>
      <c r="I86" s="477"/>
      <c r="J86" s="477"/>
      <c r="K86" s="1675">
        <f t="shared" ref="K86:K98" si="12">H86</f>
        <v>22824</v>
      </c>
      <c r="L86" s="530">
        <v>10000</v>
      </c>
    </row>
    <row r="87" spans="1:12" ht="14.25" thickTop="1" thickBot="1" x14ac:dyDescent="0.25">
      <c r="A87" s="1513" t="s">
        <v>700</v>
      </c>
      <c r="B87" s="639">
        <v>4230</v>
      </c>
      <c r="C87" s="616"/>
      <c r="D87" s="616"/>
      <c r="E87" s="638"/>
      <c r="F87" s="616"/>
      <c r="G87" s="616"/>
      <c r="H87" s="467">
        <v>379233</v>
      </c>
      <c r="I87" s="477"/>
      <c r="J87" s="477"/>
      <c r="K87" s="1675">
        <f t="shared" si="12"/>
        <v>379233</v>
      </c>
      <c r="L87" s="530">
        <v>350000</v>
      </c>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402057</v>
      </c>
      <c r="I92" s="477"/>
      <c r="J92" s="477"/>
      <c r="K92" s="1675">
        <f t="shared" si="12"/>
        <v>402057</v>
      </c>
      <c r="L92" s="1668">
        <f>SUM(L85:L91)</f>
        <v>360000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68328</v>
      </c>
      <c r="F102" s="616"/>
      <c r="G102" s="616"/>
      <c r="H102" s="1675">
        <f>SUM(H84,H92,H100,H101)</f>
        <v>402057</v>
      </c>
      <c r="I102" s="477"/>
      <c r="J102" s="477"/>
      <c r="K102" s="1675">
        <f>SUM(K84,K92,K100,K101)</f>
        <v>470385</v>
      </c>
      <c r="L102" s="1675">
        <f>SUM(L84,L92,L100,L101)</f>
        <v>385000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14877082</v>
      </c>
      <c r="D114" s="1668">
        <f t="shared" ref="D114:K114" si="13">SUM(D33,D74,D75,D102,D112,D113)</f>
        <v>3552669</v>
      </c>
      <c r="E114" s="1668">
        <f t="shared" si="13"/>
        <v>1370306</v>
      </c>
      <c r="F114" s="1668">
        <f t="shared" si="13"/>
        <v>986184</v>
      </c>
      <c r="G114" s="1668">
        <f t="shared" si="13"/>
        <v>305264</v>
      </c>
      <c r="H114" s="1668">
        <f>SUM(H33,H74,H75,H102,H112,H113)</f>
        <v>795987</v>
      </c>
      <c r="I114" s="1668">
        <f t="shared" si="13"/>
        <v>0</v>
      </c>
      <c r="J114" s="1668">
        <f t="shared" si="13"/>
        <v>0</v>
      </c>
      <c r="K114" s="1668">
        <f t="shared" si="13"/>
        <v>21887492</v>
      </c>
      <c r="L114" s="1668">
        <f>SUM(L33,L74,L75,L102,L112,L113)</f>
        <v>22097675</v>
      </c>
    </row>
    <row r="115" spans="1:14" ht="13.5" thickTop="1" x14ac:dyDescent="0.2">
      <c r="A115" s="2185" t="s">
        <v>996</v>
      </c>
      <c r="B115" s="2186"/>
      <c r="C115" s="618"/>
      <c r="D115" s="618"/>
      <c r="E115" s="618"/>
      <c r="F115" s="618"/>
      <c r="G115" s="618"/>
      <c r="H115" s="618"/>
      <c r="I115" s="618"/>
      <c r="J115" s="618"/>
      <c r="K115" s="1682">
        <f>'Revenues 9-14'!C268-'Expenditures 15-22'!K114</f>
        <v>221499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9" t="s">
        <v>296</v>
      </c>
      <c r="B117" s="2190"/>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v>78744</v>
      </c>
      <c r="F123" s="466"/>
      <c r="G123" s="466"/>
      <c r="H123" s="466"/>
      <c r="I123" s="467"/>
      <c r="J123" s="467"/>
      <c r="K123" s="1668">
        <f>SUM(C123:J123)</f>
        <v>78744</v>
      </c>
      <c r="L123" s="466">
        <v>100000</v>
      </c>
    </row>
    <row r="124" spans="1:14" ht="14.25" thickTop="1" thickBot="1" x14ac:dyDescent="0.25">
      <c r="A124" s="1504" t="s">
        <v>197</v>
      </c>
      <c r="B124" s="614">
        <v>2540</v>
      </c>
      <c r="C124" s="466">
        <v>1117598</v>
      </c>
      <c r="D124" s="466">
        <v>233324</v>
      </c>
      <c r="E124" s="466">
        <v>395949</v>
      </c>
      <c r="F124" s="466">
        <v>906854</v>
      </c>
      <c r="G124" s="466">
        <v>178935</v>
      </c>
      <c r="H124" s="466">
        <v>33</v>
      </c>
      <c r="I124" s="467"/>
      <c r="J124" s="467"/>
      <c r="K124" s="1668">
        <f>SUM(C124:J124)</f>
        <v>2832693</v>
      </c>
      <c r="L124" s="466">
        <v>3060550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1117598</v>
      </c>
      <c r="D127" s="1668">
        <f t="shared" ref="D127:L127" si="14">SUM(D122:D126)</f>
        <v>233324</v>
      </c>
      <c r="E127" s="1668">
        <f t="shared" si="14"/>
        <v>474693</v>
      </c>
      <c r="F127" s="1668">
        <f t="shared" si="14"/>
        <v>906854</v>
      </c>
      <c r="G127" s="1668">
        <f t="shared" si="14"/>
        <v>178935</v>
      </c>
      <c r="H127" s="1668">
        <f t="shared" si="14"/>
        <v>33</v>
      </c>
      <c r="I127" s="1668">
        <f t="shared" si="14"/>
        <v>0</v>
      </c>
      <c r="J127" s="1668">
        <f t="shared" si="14"/>
        <v>0</v>
      </c>
      <c r="K127" s="1668">
        <f t="shared" si="14"/>
        <v>2911437</v>
      </c>
      <c r="L127" s="1668">
        <f t="shared" si="14"/>
        <v>3160550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1117598</v>
      </c>
      <c r="D129" s="1675">
        <f t="shared" ref="D129:L129" si="15">SUM(D120,D127,D128)</f>
        <v>233324</v>
      </c>
      <c r="E129" s="1675">
        <f t="shared" si="15"/>
        <v>474693</v>
      </c>
      <c r="F129" s="1675">
        <f t="shared" si="15"/>
        <v>906854</v>
      </c>
      <c r="G129" s="1675">
        <f t="shared" si="15"/>
        <v>178935</v>
      </c>
      <c r="H129" s="1675">
        <f t="shared" si="15"/>
        <v>33</v>
      </c>
      <c r="I129" s="1675">
        <f t="shared" si="15"/>
        <v>0</v>
      </c>
      <c r="J129" s="1675">
        <f t="shared" si="15"/>
        <v>0</v>
      </c>
      <c r="K129" s="1675">
        <f t="shared" si="15"/>
        <v>2911437</v>
      </c>
      <c r="L129" s="1675">
        <f t="shared" si="15"/>
        <v>3160550</v>
      </c>
    </row>
    <row r="130" spans="1:14" ht="15.75" customHeight="1" thickTop="1" thickBot="1" x14ac:dyDescent="0.25">
      <c r="A130" s="1609" t="s">
        <v>1036</v>
      </c>
      <c r="B130" s="1610" t="s">
        <v>575</v>
      </c>
      <c r="C130" s="576"/>
      <c r="D130" s="576"/>
      <c r="E130" s="576"/>
      <c r="F130" s="576"/>
      <c r="G130" s="576"/>
      <c r="H130" s="576"/>
      <c r="I130" s="531"/>
      <c r="J130" s="531"/>
      <c r="K130" s="1668">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1841</v>
      </c>
      <c r="C133" s="468"/>
      <c r="D133" s="468"/>
      <c r="E133" s="641"/>
      <c r="F133" s="468"/>
      <c r="G133" s="468"/>
      <c r="H133" s="641"/>
      <c r="I133" s="468"/>
      <c r="J133" s="468"/>
      <c r="K133" s="1818">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v>188604</v>
      </c>
      <c r="F135" s="616"/>
      <c r="G135" s="616"/>
      <c r="H135" s="466"/>
      <c r="I135" s="477"/>
      <c r="J135" s="616"/>
      <c r="K135" s="1670">
        <f>SUM(E135,H135)</f>
        <v>188604</v>
      </c>
      <c r="L135" s="466">
        <v>220000</v>
      </c>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188604</v>
      </c>
      <c r="F137" s="616"/>
      <c r="G137" s="616"/>
      <c r="H137" s="1668">
        <f>SUM(H133:H136)</f>
        <v>0</v>
      </c>
      <c r="I137" s="477"/>
      <c r="J137" s="616"/>
      <c r="K137" s="1668">
        <f>SUM(K133:K136)</f>
        <v>188604</v>
      </c>
      <c r="L137" s="1668">
        <f>SUM(L133:L136)</f>
        <v>220000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188604</v>
      </c>
      <c r="F139" s="616"/>
      <c r="G139" s="616"/>
      <c r="H139" s="1677">
        <f>SUM(H137:H138)</f>
        <v>0</v>
      </c>
      <c r="I139" s="477"/>
      <c r="J139" s="616"/>
      <c r="K139" s="1670">
        <f>SUM(K137,K138)</f>
        <v>188604</v>
      </c>
      <c r="L139" s="1677">
        <f>SUM(L137,L138)</f>
        <v>220000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50000</v>
      </c>
    </row>
    <row r="151" spans="1:14" ht="12.75" customHeight="1" thickTop="1" thickBot="1" x14ac:dyDescent="0.25">
      <c r="A151" s="2175" t="s">
        <v>620</v>
      </c>
      <c r="B151" s="2164"/>
      <c r="C151" s="1668">
        <f>SUM(C129,C130,C139,C149,C150)</f>
        <v>1117598</v>
      </c>
      <c r="D151" s="1668">
        <f t="shared" ref="D151:K151" si="16">SUM(D129,D130,D139,D149,D150)</f>
        <v>233324</v>
      </c>
      <c r="E151" s="1668">
        <f t="shared" si="16"/>
        <v>663297</v>
      </c>
      <c r="F151" s="1668">
        <f t="shared" si="16"/>
        <v>906854</v>
      </c>
      <c r="G151" s="1668">
        <f t="shared" si="16"/>
        <v>178935</v>
      </c>
      <c r="H151" s="1668">
        <f t="shared" si="16"/>
        <v>33</v>
      </c>
      <c r="I151" s="1668">
        <f t="shared" si="16"/>
        <v>0</v>
      </c>
      <c r="J151" s="1668">
        <f t="shared" si="16"/>
        <v>0</v>
      </c>
      <c r="K151" s="1668">
        <f t="shared" si="16"/>
        <v>3100041</v>
      </c>
      <c r="L151" s="1668">
        <f>SUM(L129,L130,L139,L149,L150)</f>
        <v>3430550</v>
      </c>
    </row>
    <row r="152" spans="1:14" ht="12.75" customHeight="1" thickTop="1" x14ac:dyDescent="0.2">
      <c r="A152" s="2178" t="s">
        <v>1178</v>
      </c>
      <c r="B152" s="2179"/>
      <c r="C152" s="618"/>
      <c r="D152" s="618"/>
      <c r="E152" s="618"/>
      <c r="F152" s="618"/>
      <c r="G152" s="618"/>
      <c r="H152" s="618"/>
      <c r="I152" s="618"/>
      <c r="J152" s="616"/>
      <c r="K152" s="1682">
        <f>'Revenues 9-14'!D268-'Expenditures 15-22'!K151</f>
        <v>280162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9" t="s">
        <v>621</v>
      </c>
      <c r="B154" s="2191"/>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1842</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1841</v>
      </c>
      <c r="C157" s="616"/>
      <c r="D157" s="616"/>
      <c r="E157" s="616"/>
      <c r="F157" s="616"/>
      <c r="G157" s="616"/>
      <c r="H157" s="641"/>
      <c r="I157" s="616"/>
      <c r="J157" s="616"/>
      <c r="K157" s="1669">
        <f>H157</f>
        <v>0</v>
      </c>
      <c r="L157" s="467"/>
      <c r="M157" s="619"/>
      <c r="N157" s="619"/>
    </row>
    <row r="158" spans="1:14" s="620" customFormat="1" ht="12" x14ac:dyDescent="0.2">
      <c r="A158" s="1823" t="s">
        <v>304</v>
      </c>
      <c r="B158" s="1824" t="s">
        <v>1843</v>
      </c>
      <c r="C158" s="616"/>
      <c r="D158" s="616"/>
      <c r="E158" s="616"/>
      <c r="F158" s="616"/>
      <c r="G158" s="616"/>
      <c r="H158" s="467"/>
      <c r="I158" s="616"/>
      <c r="J158" s="616"/>
      <c r="K158" s="1669">
        <f>H158</f>
        <v>0</v>
      </c>
      <c r="L158" s="467"/>
      <c r="M158" s="619"/>
      <c r="N158" s="619"/>
    </row>
    <row r="159" spans="1:14" s="620" customFormat="1" ht="12" x14ac:dyDescent="0.2">
      <c r="A159" s="1823" t="s">
        <v>1844</v>
      </c>
      <c r="B159" s="1824"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5" t="s">
        <v>1845</v>
      </c>
      <c r="B160" s="1826"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v>1291130</v>
      </c>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1291130</v>
      </c>
    </row>
    <row r="169" spans="1:14" ht="15.75" customHeight="1" thickTop="1" x14ac:dyDescent="0.2">
      <c r="A169" s="669" t="s">
        <v>83</v>
      </c>
      <c r="B169" s="670" t="s">
        <v>38</v>
      </c>
      <c r="C169" s="616"/>
      <c r="D169" s="616"/>
      <c r="E169" s="616"/>
      <c r="F169" s="616"/>
      <c r="G169" s="616"/>
      <c r="H169" s="656">
        <v>1291130</v>
      </c>
      <c r="I169" s="616"/>
      <c r="J169" s="616"/>
      <c r="K169" s="1669">
        <f>SUM(C169:H169)</f>
        <v>1291130</v>
      </c>
      <c r="L169" s="656">
        <v>2245000</v>
      </c>
    </row>
    <row r="170" spans="1:14" ht="33.75" customHeight="1" x14ac:dyDescent="0.2">
      <c r="A170" s="669" t="s">
        <v>1670</v>
      </c>
      <c r="B170" s="671" t="s">
        <v>31</v>
      </c>
      <c r="C170" s="616"/>
      <c r="D170" s="616"/>
      <c r="E170" s="616"/>
      <c r="F170" s="616"/>
      <c r="G170" s="616"/>
      <c r="H170" s="569">
        <v>2245000</v>
      </c>
      <c r="I170" s="616"/>
      <c r="J170" s="616"/>
      <c r="K170" s="1669">
        <f>SUM(C170:J170)</f>
        <v>2245000</v>
      </c>
      <c r="L170" s="569"/>
    </row>
    <row r="171" spans="1:14" ht="15.75" customHeight="1" x14ac:dyDescent="0.2">
      <c r="A171" s="621" t="s">
        <v>766</v>
      </c>
      <c r="B171" s="672" t="s">
        <v>84</v>
      </c>
      <c r="C171" s="616"/>
      <c r="D171" s="616"/>
      <c r="E171" s="466"/>
      <c r="F171" s="616"/>
      <c r="G171" s="616"/>
      <c r="H171" s="569">
        <v>1900</v>
      </c>
      <c r="I171" s="477"/>
      <c r="J171" s="616"/>
      <c r="K171" s="1669">
        <f>SUM(C171:J171)</f>
        <v>1900</v>
      </c>
      <c r="L171" s="569">
        <v>5000</v>
      </c>
    </row>
    <row r="172" spans="1:14" ht="12.75" customHeight="1" thickBot="1" x14ac:dyDescent="0.25">
      <c r="A172" s="1666" t="s">
        <v>638</v>
      </c>
      <c r="B172" s="1667" t="s">
        <v>492</v>
      </c>
      <c r="C172" s="616"/>
      <c r="D172" s="616"/>
      <c r="E172" s="1675">
        <f>SUM(E168,E169,E170,E171)</f>
        <v>0</v>
      </c>
      <c r="F172" s="616"/>
      <c r="G172" s="616"/>
      <c r="H172" s="1675">
        <f>SUM(H168,H169,H170,H171)</f>
        <v>3538030</v>
      </c>
      <c r="I172" s="638"/>
      <c r="J172" s="616"/>
      <c r="K172" s="1675">
        <f>SUM(K168,K169,K170,K171)</f>
        <v>3538030</v>
      </c>
      <c r="L172" s="1675">
        <f>SUM(L168,L169,L170,L171)</f>
        <v>3541130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3538030</v>
      </c>
      <c r="I174" s="638"/>
      <c r="J174" s="616"/>
      <c r="K174" s="1675">
        <f>SUM(K160,K172,K173)</f>
        <v>3538030</v>
      </c>
      <c r="L174" s="1675">
        <f>SUM(L160,L172,L173)</f>
        <v>3541130</v>
      </c>
    </row>
    <row r="175" spans="1:14" ht="13.5" thickTop="1" x14ac:dyDescent="0.2">
      <c r="A175" s="2185" t="s">
        <v>996</v>
      </c>
      <c r="B175" s="2186"/>
      <c r="C175" s="616"/>
      <c r="D175" s="616"/>
      <c r="E175" s="616"/>
      <c r="F175" s="616"/>
      <c r="G175" s="616"/>
      <c r="H175" s="618"/>
      <c r="I175" s="616"/>
      <c r="J175" s="616"/>
      <c r="K175" s="1682">
        <f>'Revenues 9-14'!E268-'Expenditures 15-22'!K174</f>
        <v>-821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2067929</v>
      </c>
      <c r="F182" s="466">
        <v>2123</v>
      </c>
      <c r="G182" s="466">
        <v>33179</v>
      </c>
      <c r="H182" s="466"/>
      <c r="I182" s="467"/>
      <c r="J182" s="467"/>
      <c r="K182" s="1669">
        <f>SUM(C182:J182)</f>
        <v>2103231</v>
      </c>
      <c r="L182" s="466">
        <v>2197500</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0</v>
      </c>
      <c r="D184" s="1675">
        <f t="shared" ref="D184:J184" si="17">SUM(D180,D182,D183)</f>
        <v>0</v>
      </c>
      <c r="E184" s="1675">
        <f t="shared" si="17"/>
        <v>2067929</v>
      </c>
      <c r="F184" s="1675">
        <f t="shared" si="17"/>
        <v>2123</v>
      </c>
      <c r="G184" s="1675">
        <f t="shared" si="17"/>
        <v>33179</v>
      </c>
      <c r="H184" s="1675">
        <f t="shared" si="17"/>
        <v>0</v>
      </c>
      <c r="I184" s="1675">
        <f t="shared" si="17"/>
        <v>0</v>
      </c>
      <c r="J184" s="1675">
        <f t="shared" si="17"/>
        <v>0</v>
      </c>
      <c r="K184" s="1675">
        <f>SUM(K180,K182,K183)</f>
        <v>2103231</v>
      </c>
      <c r="L184" s="1675">
        <f>SUM(L180, L182:L183)</f>
        <v>2197500</v>
      </c>
    </row>
    <row r="185" spans="1:14" ht="15.75" customHeight="1" thickTop="1" thickBot="1" x14ac:dyDescent="0.25">
      <c r="A185" s="1621" t="s">
        <v>939</v>
      </c>
      <c r="B185" s="1610">
        <v>3000</v>
      </c>
      <c r="C185" s="576"/>
      <c r="D185" s="576"/>
      <c r="E185" s="576"/>
      <c r="F185" s="576"/>
      <c r="G185" s="576"/>
      <c r="H185" s="576"/>
      <c r="I185" s="531"/>
      <c r="J185" s="531"/>
      <c r="K185" s="1668">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50000</v>
      </c>
    </row>
    <row r="210" spans="1:14" ht="12.75" customHeight="1" thickTop="1" thickBot="1" x14ac:dyDescent="0.25">
      <c r="A210" s="1690" t="s">
        <v>277</v>
      </c>
      <c r="B210" s="1691"/>
      <c r="C210" s="1668">
        <f>SUM(C184,C185)</f>
        <v>0</v>
      </c>
      <c r="D210" s="1668">
        <f>SUM(D184,D185)</f>
        <v>0</v>
      </c>
      <c r="E210" s="1668">
        <f>SUM(E184,E185,E196)</f>
        <v>2067929</v>
      </c>
      <c r="F210" s="1668">
        <f>SUM(F184,F185)</f>
        <v>2123</v>
      </c>
      <c r="G210" s="1668">
        <f>SUM(G184,G185)</f>
        <v>33179</v>
      </c>
      <c r="H210" s="1668">
        <f>SUM(H184,H185,H196,H208,H209)</f>
        <v>0</v>
      </c>
      <c r="I210" s="1668">
        <f>SUM(I184,I185)</f>
        <v>0</v>
      </c>
      <c r="J210" s="1668">
        <f>SUM(J184,J185)</f>
        <v>0</v>
      </c>
      <c r="K210" s="1669">
        <f>SUM(K184,K185,K196,K208,K209)</f>
        <v>2103231</v>
      </c>
      <c r="L210" s="1668">
        <f>SUM(L184,L185,L196,L208,L209)</f>
        <v>2247500</v>
      </c>
    </row>
    <row r="211" spans="1:14" ht="13.5" thickTop="1" x14ac:dyDescent="0.2">
      <c r="A211" s="2185" t="s">
        <v>996</v>
      </c>
      <c r="B211" s="2186"/>
      <c r="C211" s="618"/>
      <c r="D211" s="618"/>
      <c r="E211" s="618"/>
      <c r="F211" s="618"/>
      <c r="G211" s="618"/>
      <c r="H211" s="618"/>
      <c r="I211" s="616"/>
      <c r="J211" s="616"/>
      <c r="K211" s="1682">
        <f>'Revenues 9-14'!F268-'Expenditures 15-22'!K210</f>
        <v>135161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4302+89582+163</f>
        <v>94047</v>
      </c>
      <c r="E215" s="616"/>
      <c r="F215" s="616"/>
      <c r="G215" s="616"/>
      <c r="H215" s="616"/>
      <c r="I215" s="616"/>
      <c r="J215" s="616"/>
      <c r="K215" s="1669">
        <f>D215</f>
        <v>94047</v>
      </c>
      <c r="L215" s="466">
        <v>93900</v>
      </c>
    </row>
    <row r="216" spans="1:14" x14ac:dyDescent="0.2">
      <c r="A216" s="1504" t="s">
        <v>163</v>
      </c>
      <c r="B216" s="614" t="s">
        <v>967</v>
      </c>
      <c r="C216" s="616"/>
      <c r="D216" s="467">
        <v>28900</v>
      </c>
      <c r="E216" s="616"/>
      <c r="F216" s="616"/>
      <c r="G216" s="616"/>
      <c r="H216" s="616"/>
      <c r="I216" s="616"/>
      <c r="J216" s="616"/>
      <c r="K216" s="1669">
        <f t="shared" ref="K216:K228" si="19">D216</f>
        <v>28900</v>
      </c>
      <c r="L216" s="466">
        <v>29000</v>
      </c>
    </row>
    <row r="217" spans="1:14" x14ac:dyDescent="0.2">
      <c r="A217" s="1504" t="s">
        <v>164</v>
      </c>
      <c r="B217" s="614">
        <v>1200</v>
      </c>
      <c r="C217" s="616"/>
      <c r="D217" s="466">
        <f>57048+65222</f>
        <v>122270</v>
      </c>
      <c r="E217" s="616"/>
      <c r="F217" s="616"/>
      <c r="G217" s="616"/>
      <c r="H217" s="616"/>
      <c r="I217" s="616"/>
      <c r="J217" s="616"/>
      <c r="K217" s="1669">
        <f t="shared" si="19"/>
        <v>122270</v>
      </c>
      <c r="L217" s="466">
        <v>126000</v>
      </c>
    </row>
    <row r="218" spans="1:14" x14ac:dyDescent="0.2">
      <c r="A218" s="1504" t="s">
        <v>278</v>
      </c>
      <c r="B218" s="614" t="s">
        <v>968</v>
      </c>
      <c r="C218" s="616"/>
      <c r="D218" s="467">
        <f>6295+8449</f>
        <v>14744</v>
      </c>
      <c r="E218" s="616"/>
      <c r="F218" s="616"/>
      <c r="G218" s="616"/>
      <c r="H218" s="616"/>
      <c r="I218" s="616"/>
      <c r="J218" s="616"/>
      <c r="K218" s="1669">
        <f t="shared" si="19"/>
        <v>14744</v>
      </c>
      <c r="L218" s="466">
        <v>13300</v>
      </c>
    </row>
    <row r="219" spans="1:14" x14ac:dyDescent="0.2">
      <c r="A219" s="1504" t="s">
        <v>279</v>
      </c>
      <c r="B219" s="614">
        <v>1250</v>
      </c>
      <c r="C219" s="616"/>
      <c r="D219" s="466">
        <v>5967</v>
      </c>
      <c r="E219" s="616"/>
      <c r="F219" s="616"/>
      <c r="G219" s="616"/>
      <c r="H219" s="616"/>
      <c r="I219" s="616"/>
      <c r="J219" s="616"/>
      <c r="K219" s="1669">
        <f t="shared" si="19"/>
        <v>5967</v>
      </c>
      <c r="L219" s="466">
        <v>7200</v>
      </c>
    </row>
    <row r="220" spans="1:14" x14ac:dyDescent="0.2">
      <c r="A220" s="1504" t="s">
        <v>280</v>
      </c>
      <c r="B220" s="614" t="s">
        <v>161</v>
      </c>
      <c r="C220" s="616"/>
      <c r="D220" s="467">
        <f>7232+7082</f>
        <v>14314</v>
      </c>
      <c r="E220" s="616"/>
      <c r="F220" s="616"/>
      <c r="G220" s="616"/>
      <c r="H220" s="616"/>
      <c r="I220" s="616"/>
      <c r="J220" s="616"/>
      <c r="K220" s="1669">
        <f t="shared" si="19"/>
        <v>14314</v>
      </c>
      <c r="L220" s="466">
        <v>9300</v>
      </c>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v>4639</v>
      </c>
      <c r="E222" s="616"/>
      <c r="F222" s="616"/>
      <c r="G222" s="616"/>
      <c r="H222" s="616"/>
      <c r="I222" s="616"/>
      <c r="J222" s="616"/>
      <c r="K222" s="1669">
        <f t="shared" si="19"/>
        <v>4639</v>
      </c>
      <c r="L222" s="466">
        <v>4800</v>
      </c>
    </row>
    <row r="223" spans="1:14" x14ac:dyDescent="0.2">
      <c r="A223" s="1504" t="s">
        <v>963</v>
      </c>
      <c r="B223" s="614">
        <v>1500</v>
      </c>
      <c r="C223" s="616"/>
      <c r="D223" s="466">
        <f>1394+13181</f>
        <v>14575</v>
      </c>
      <c r="E223" s="616"/>
      <c r="F223" s="616"/>
      <c r="G223" s="616"/>
      <c r="H223" s="616"/>
      <c r="I223" s="616"/>
      <c r="J223" s="616"/>
      <c r="K223" s="1669">
        <f t="shared" si="19"/>
        <v>14575</v>
      </c>
      <c r="L223" s="466">
        <v>13975</v>
      </c>
    </row>
    <row r="224" spans="1:14" x14ac:dyDescent="0.2">
      <c r="A224" s="1504" t="s">
        <v>964</v>
      </c>
      <c r="B224" s="614">
        <v>1600</v>
      </c>
      <c r="C224" s="616"/>
      <c r="D224" s="466">
        <f>284+1119</f>
        <v>1403</v>
      </c>
      <c r="E224" s="616"/>
      <c r="F224" s="616"/>
      <c r="G224" s="616"/>
      <c r="H224" s="616"/>
      <c r="I224" s="616"/>
      <c r="J224" s="616"/>
      <c r="K224" s="1669">
        <f t="shared" si="19"/>
        <v>1403</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300859</v>
      </c>
      <c r="E229" s="616"/>
      <c r="F229" s="616"/>
      <c r="G229" s="616"/>
      <c r="H229" s="616"/>
      <c r="I229" s="616"/>
      <c r="J229" s="616"/>
      <c r="K229" s="1668">
        <f>SUM(K215:K228)</f>
        <v>300859</v>
      </c>
      <c r="L229" s="1668">
        <f>SUM(L215:L228)</f>
        <v>297475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f>4109+6549</f>
        <v>10658</v>
      </c>
      <c r="E232" s="616"/>
      <c r="F232" s="616"/>
      <c r="G232" s="616"/>
      <c r="H232" s="616"/>
      <c r="I232" s="616"/>
      <c r="J232" s="616"/>
      <c r="K232" s="1669">
        <f t="shared" ref="K232:K237" si="20">D232</f>
        <v>10658</v>
      </c>
      <c r="L232" s="466">
        <v>3600</v>
      </c>
    </row>
    <row r="233" spans="1:12" x14ac:dyDescent="0.2">
      <c r="A233" s="1504" t="s">
        <v>1090</v>
      </c>
      <c r="B233" s="614">
        <v>2120</v>
      </c>
      <c r="C233" s="616"/>
      <c r="D233" s="466">
        <v>2777</v>
      </c>
      <c r="E233" s="616"/>
      <c r="F233" s="616"/>
      <c r="G233" s="616"/>
      <c r="H233" s="616"/>
      <c r="I233" s="616"/>
      <c r="J233" s="616"/>
      <c r="K233" s="1669">
        <f t="shared" si="20"/>
        <v>2777</v>
      </c>
      <c r="L233" s="466">
        <v>3200</v>
      </c>
    </row>
    <row r="234" spans="1:12" x14ac:dyDescent="0.2">
      <c r="A234" s="1504" t="s">
        <v>198</v>
      </c>
      <c r="B234" s="614">
        <v>2130</v>
      </c>
      <c r="C234" s="616"/>
      <c r="D234" s="466">
        <f>8237+7474</f>
        <v>15711</v>
      </c>
      <c r="E234" s="616"/>
      <c r="F234" s="616"/>
      <c r="G234" s="616"/>
      <c r="H234" s="616"/>
      <c r="I234" s="616"/>
      <c r="J234" s="616"/>
      <c r="K234" s="1669">
        <f t="shared" si="20"/>
        <v>15711</v>
      </c>
      <c r="L234" s="466">
        <v>18700</v>
      </c>
    </row>
    <row r="235" spans="1:12" x14ac:dyDescent="0.2">
      <c r="A235" s="1504" t="s">
        <v>199</v>
      </c>
      <c r="B235" s="614">
        <v>2140</v>
      </c>
      <c r="C235" s="616"/>
      <c r="D235" s="466">
        <v>1887</v>
      </c>
      <c r="E235" s="616"/>
      <c r="F235" s="616"/>
      <c r="G235" s="616"/>
      <c r="H235" s="616"/>
      <c r="I235" s="616"/>
      <c r="J235" s="616"/>
      <c r="K235" s="1669">
        <f t="shared" si="20"/>
        <v>1887</v>
      </c>
      <c r="L235" s="466">
        <v>1000</v>
      </c>
    </row>
    <row r="236" spans="1:12" x14ac:dyDescent="0.2">
      <c r="A236" s="1504" t="s">
        <v>200</v>
      </c>
      <c r="B236" s="614">
        <v>2150</v>
      </c>
      <c r="C236" s="616"/>
      <c r="D236" s="466">
        <v>3422</v>
      </c>
      <c r="E236" s="616"/>
      <c r="F236" s="616"/>
      <c r="G236" s="616"/>
      <c r="H236" s="616"/>
      <c r="I236" s="616"/>
      <c r="J236" s="616"/>
      <c r="K236" s="1669">
        <f t="shared" si="20"/>
        <v>3422</v>
      </c>
      <c r="L236" s="466">
        <v>2500</v>
      </c>
    </row>
    <row r="237" spans="1:12" x14ac:dyDescent="0.2">
      <c r="A237" s="1504" t="s">
        <v>165</v>
      </c>
      <c r="B237" s="614">
        <v>2190</v>
      </c>
      <c r="C237" s="616"/>
      <c r="D237" s="466">
        <v>1170</v>
      </c>
      <c r="E237" s="616"/>
      <c r="F237" s="616"/>
      <c r="G237" s="616"/>
      <c r="H237" s="616"/>
      <c r="I237" s="616"/>
      <c r="J237" s="616"/>
      <c r="K237" s="1669">
        <f t="shared" si="20"/>
        <v>1170</v>
      </c>
      <c r="L237" s="466"/>
    </row>
    <row r="238" spans="1:12" ht="12.75" customHeight="1" thickBot="1" x14ac:dyDescent="0.25">
      <c r="A238" s="1666" t="s">
        <v>560</v>
      </c>
      <c r="B238" s="1673" t="s">
        <v>716</v>
      </c>
      <c r="C238" s="616"/>
      <c r="D238" s="1668">
        <f>SUM(D232:D237)</f>
        <v>35625</v>
      </c>
      <c r="E238" s="616"/>
      <c r="F238" s="616"/>
      <c r="G238" s="616"/>
      <c r="H238" s="616"/>
      <c r="I238" s="616"/>
      <c r="J238" s="616"/>
      <c r="K238" s="1668">
        <f>SUM(K232:K237)</f>
        <v>35625</v>
      </c>
      <c r="L238" s="1668">
        <f>SUM(L232:L237)</f>
        <v>29000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4243+5495</f>
        <v>9738</v>
      </c>
      <c r="E240" s="616"/>
      <c r="F240" s="616"/>
      <c r="G240" s="616"/>
      <c r="H240" s="616"/>
      <c r="I240" s="616"/>
      <c r="J240" s="616"/>
      <c r="K240" s="1670">
        <f>D240</f>
        <v>9738</v>
      </c>
      <c r="L240" s="481">
        <v>10900</v>
      </c>
    </row>
    <row r="241" spans="1:12" x14ac:dyDescent="0.2">
      <c r="A241" s="1504" t="s">
        <v>815</v>
      </c>
      <c r="B241" s="614">
        <v>2220</v>
      </c>
      <c r="C241" s="616"/>
      <c r="D241" s="466">
        <f>23879+20091</f>
        <v>43970</v>
      </c>
      <c r="E241" s="616"/>
      <c r="F241" s="616"/>
      <c r="G241" s="616"/>
      <c r="H241" s="616"/>
      <c r="I241" s="616"/>
      <c r="J241" s="616"/>
      <c r="K241" s="1670">
        <f>D241</f>
        <v>43970</v>
      </c>
      <c r="L241" s="466">
        <v>43300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53708</v>
      </c>
      <c r="E243" s="616"/>
      <c r="F243" s="616"/>
      <c r="G243" s="616"/>
      <c r="H243" s="616"/>
      <c r="I243" s="616"/>
      <c r="J243" s="616"/>
      <c r="K243" s="1668">
        <f>SUM(K240:K242)</f>
        <v>53708</v>
      </c>
      <c r="L243" s="1668">
        <f>SUM(L240:L242)</f>
        <v>54200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f>5507+6945</f>
        <v>12452</v>
      </c>
      <c r="E246" s="616"/>
      <c r="F246" s="616"/>
      <c r="G246" s="616"/>
      <c r="H246" s="616"/>
      <c r="I246" s="616"/>
      <c r="J246" s="616"/>
      <c r="K246" s="1670">
        <f t="shared" ref="K246:K256" si="21">D246</f>
        <v>12452</v>
      </c>
      <c r="L246" s="466">
        <v>14700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1802</v>
      </c>
      <c r="B249" s="683" t="s">
        <v>282</v>
      </c>
      <c r="C249" s="616"/>
      <c r="D249" s="474"/>
      <c r="E249" s="616"/>
      <c r="F249" s="616"/>
      <c r="G249" s="616"/>
      <c r="H249" s="616"/>
      <c r="I249" s="616"/>
      <c r="J249" s="616"/>
      <c r="K249" s="1670">
        <f t="shared" si="21"/>
        <v>0</v>
      </c>
      <c r="L249" s="466"/>
    </row>
    <row r="250" spans="1:12" x14ac:dyDescent="0.2">
      <c r="A250" s="1505" t="s">
        <v>1803</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12452</v>
      </c>
      <c r="E257" s="616"/>
      <c r="F257" s="616"/>
      <c r="G257" s="616"/>
      <c r="H257" s="616"/>
      <c r="I257" s="616"/>
      <c r="J257" s="616"/>
      <c r="K257" s="1668">
        <f>SUM(K245:K256)</f>
        <v>12452</v>
      </c>
      <c r="L257" s="1668">
        <f>SUM(L245:L256)</f>
        <v>14700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18452+23962+1174</f>
        <v>43588</v>
      </c>
      <c r="E259" s="616"/>
      <c r="F259" s="616"/>
      <c r="G259" s="616"/>
      <c r="H259" s="616"/>
      <c r="I259" s="616"/>
      <c r="J259" s="616"/>
      <c r="K259" s="1670">
        <f>D259</f>
        <v>43588</v>
      </c>
      <c r="L259" s="481">
        <v>48700</v>
      </c>
    </row>
    <row r="260" spans="1:14" s="597" customFormat="1" x14ac:dyDescent="0.2">
      <c r="A260" s="1522" t="s">
        <v>1801</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43588</v>
      </c>
      <c r="E261" s="616"/>
      <c r="F261" s="616"/>
      <c r="G261" s="616"/>
      <c r="H261" s="616"/>
      <c r="I261" s="616"/>
      <c r="J261" s="616"/>
      <c r="K261" s="1668">
        <f>SUM(K259:K260)</f>
        <v>43588</v>
      </c>
      <c r="L261" s="1668">
        <f>SUM(L259:L260)</f>
        <v>48700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1087</v>
      </c>
      <c r="E263" s="616"/>
      <c r="F263" s="616"/>
      <c r="G263" s="616"/>
      <c r="H263" s="616"/>
      <c r="I263" s="616"/>
      <c r="J263" s="616"/>
      <c r="K263" s="1670">
        <f>D263</f>
        <v>1087</v>
      </c>
      <c r="L263" s="481">
        <v>1000</v>
      </c>
    </row>
    <row r="264" spans="1:14" x14ac:dyDescent="0.2">
      <c r="A264" s="1504" t="s">
        <v>463</v>
      </c>
      <c r="B264" s="685">
        <v>2520</v>
      </c>
      <c r="C264" s="616"/>
      <c r="D264" s="466">
        <f>10354+8137</f>
        <v>18491</v>
      </c>
      <c r="E264" s="616"/>
      <c r="F264" s="616"/>
      <c r="G264" s="616"/>
      <c r="H264" s="616"/>
      <c r="I264" s="616"/>
      <c r="J264" s="616"/>
      <c r="K264" s="1670">
        <f t="shared" ref="K264:K269" si="22">D264</f>
        <v>18491</v>
      </c>
      <c r="L264" s="466">
        <v>29000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f>101635+80901</f>
        <v>182536</v>
      </c>
      <c r="E266" s="616"/>
      <c r="F266" s="616"/>
      <c r="G266" s="616"/>
      <c r="H266" s="616"/>
      <c r="I266" s="616"/>
      <c r="J266" s="616"/>
      <c r="K266" s="1670">
        <f t="shared" si="22"/>
        <v>182536</v>
      </c>
      <c r="L266" s="466">
        <v>221000</v>
      </c>
    </row>
    <row r="267" spans="1:14" x14ac:dyDescent="0.2">
      <c r="A267" s="1504" t="s">
        <v>953</v>
      </c>
      <c r="B267" s="614">
        <v>2550</v>
      </c>
      <c r="C267" s="616"/>
      <c r="D267" s="466">
        <f>20935</f>
        <v>20935</v>
      </c>
      <c r="E267" s="616"/>
      <c r="F267" s="616"/>
      <c r="G267" s="616"/>
      <c r="H267" s="616"/>
      <c r="I267" s="616"/>
      <c r="J267" s="616"/>
      <c r="K267" s="1670">
        <f t="shared" si="22"/>
        <v>20935</v>
      </c>
      <c r="L267" s="466"/>
    </row>
    <row r="268" spans="1:14" x14ac:dyDescent="0.2">
      <c r="A268" s="1504" t="s">
        <v>100</v>
      </c>
      <c r="B268" s="614">
        <v>2560</v>
      </c>
      <c r="C268" s="616"/>
      <c r="D268" s="466">
        <v>25820</v>
      </c>
      <c r="E268" s="616"/>
      <c r="F268" s="616"/>
      <c r="G268" s="616"/>
      <c r="H268" s="616"/>
      <c r="I268" s="616"/>
      <c r="J268" s="616"/>
      <c r="K268" s="1670">
        <f t="shared" si="22"/>
        <v>25820</v>
      </c>
      <c r="L268" s="466">
        <v>49900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248869</v>
      </c>
      <c r="E270" s="616"/>
      <c r="F270" s="616"/>
      <c r="G270" s="616"/>
      <c r="H270" s="616"/>
      <c r="I270" s="616"/>
      <c r="J270" s="616"/>
      <c r="K270" s="1668">
        <f>SUM(K263:K269)</f>
        <v>248869</v>
      </c>
      <c r="L270" s="1668">
        <f>SUM(L263:L269)</f>
        <v>300900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v>24025</v>
      </c>
    </row>
    <row r="279" spans="1:12" ht="12.75" customHeight="1" thickBot="1" x14ac:dyDescent="0.25">
      <c r="A279" s="1696" t="s">
        <v>811</v>
      </c>
      <c r="B279" s="1679">
        <v>2000</v>
      </c>
      <c r="C279" s="616"/>
      <c r="D279" s="1675">
        <f>SUM(D238,D243,D257,D261,D270,D277,D278)</f>
        <v>394242</v>
      </c>
      <c r="E279" s="616"/>
      <c r="F279" s="616"/>
      <c r="G279" s="616"/>
      <c r="H279" s="616"/>
      <c r="I279" s="616"/>
      <c r="J279" s="616"/>
      <c r="K279" s="1675">
        <f>SUM(K238,K243,K257,K261,K270,K277,K278)</f>
        <v>394242</v>
      </c>
      <c r="L279" s="1675">
        <f>SUM(L238,L243,L257,L261,L270,L277,L278)</f>
        <v>471525</v>
      </c>
    </row>
    <row r="280" spans="1:12" ht="15.75" customHeight="1" thickTop="1" thickBot="1" x14ac:dyDescent="0.25">
      <c r="A280" s="1623" t="s">
        <v>875</v>
      </c>
      <c r="B280" s="1612">
        <v>3000</v>
      </c>
      <c r="C280" s="616"/>
      <c r="D280" s="576"/>
      <c r="E280" s="616"/>
      <c r="F280" s="616"/>
      <c r="G280" s="616"/>
      <c r="H280" s="616"/>
      <c r="I280" s="616"/>
      <c r="J280" s="616"/>
      <c r="K280" s="1677">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1841</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68">
        <f>SUM(D229,D279,D280,D285)</f>
        <v>695101</v>
      </c>
      <c r="E295" s="616"/>
      <c r="F295" s="616"/>
      <c r="G295" s="616"/>
      <c r="H295" s="1668">
        <f>H293</f>
        <v>0</v>
      </c>
      <c r="I295" s="616"/>
      <c r="J295" s="616"/>
      <c r="K295" s="1668">
        <f>SUM(K229,K279,K280,K285,K293,K294)</f>
        <v>695101</v>
      </c>
      <c r="L295" s="1668">
        <f>SUM(L229,L279,L280,L285,L293,L294)</f>
        <v>769000</v>
      </c>
    </row>
    <row r="296" spans="1:14" ht="13.5" thickTop="1" x14ac:dyDescent="0.2">
      <c r="A296" s="2185" t="s">
        <v>996</v>
      </c>
      <c r="B296" s="2186"/>
      <c r="C296" s="616"/>
      <c r="D296" s="618"/>
      <c r="E296" s="616"/>
      <c r="F296" s="616"/>
      <c r="G296" s="616"/>
      <c r="H296" s="687"/>
      <c r="I296" s="616"/>
      <c r="J296" s="616"/>
      <c r="K296" s="1682">
        <f>'Revenues 9-14'!G268-'Expenditures 15-22'!K295</f>
        <v>30274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8"/>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69649</v>
      </c>
      <c r="F301" s="466"/>
      <c r="G301" s="466">
        <v>329967</v>
      </c>
      <c r="H301" s="466"/>
      <c r="I301" s="467"/>
      <c r="J301" s="467"/>
      <c r="K301" s="1669">
        <f>SUM(C301:J301)</f>
        <v>399616</v>
      </c>
      <c r="L301" s="467">
        <v>402200</v>
      </c>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69649</v>
      </c>
      <c r="F303" s="1675">
        <f t="shared" si="23"/>
        <v>0</v>
      </c>
      <c r="G303" s="1675">
        <f t="shared" si="23"/>
        <v>329967</v>
      </c>
      <c r="H303" s="1675">
        <f t="shared" si="23"/>
        <v>0</v>
      </c>
      <c r="I303" s="1675">
        <f t="shared" si="23"/>
        <v>0</v>
      </c>
      <c r="J303" s="1675">
        <f t="shared" si="23"/>
        <v>0</v>
      </c>
      <c r="K303" s="1675">
        <f t="shared" si="23"/>
        <v>399616</v>
      </c>
      <c r="L303" s="1675">
        <f t="shared" si="23"/>
        <v>402200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68">
        <f>SUM(C303)</f>
        <v>0</v>
      </c>
      <c r="D312" s="1668">
        <f>SUM(D303)</f>
        <v>0</v>
      </c>
      <c r="E312" s="1668">
        <f>SUM(E303,E310)</f>
        <v>69649</v>
      </c>
      <c r="F312" s="1668">
        <f>SUM(F303)</f>
        <v>0</v>
      </c>
      <c r="G312" s="1668">
        <f>SUM(G303)</f>
        <v>329967</v>
      </c>
      <c r="H312" s="1668">
        <f>SUM(H303,H310)</f>
        <v>0</v>
      </c>
      <c r="I312" s="1668">
        <f>SUM(I303)</f>
        <v>0</v>
      </c>
      <c r="J312" s="1668">
        <f>SUM(J303)</f>
        <v>0</v>
      </c>
      <c r="K312" s="1668">
        <f>SUM(K303,K310,K311)</f>
        <v>399616</v>
      </c>
      <c r="L312" s="1668">
        <f>SUM(L303,L310,L311)</f>
        <v>402200</v>
      </c>
      <c r="M312" s="665"/>
      <c r="N312" s="665"/>
    </row>
    <row r="313" spans="1:14" ht="13.5" thickTop="1" x14ac:dyDescent="0.2">
      <c r="A313" s="2169" t="s">
        <v>996</v>
      </c>
      <c r="B313" s="2170"/>
      <c r="C313" s="626"/>
      <c r="D313" s="626"/>
      <c r="E313" s="626"/>
      <c r="F313" s="626"/>
      <c r="G313" s="626"/>
      <c r="H313" s="626"/>
      <c r="I313" s="626"/>
      <c r="J313" s="626"/>
      <c r="K313" s="1683">
        <f>'Revenues 9-14'!H268-'Expenditures 15-22'!K312</f>
        <v>-368169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284</v>
      </c>
      <c r="C322" s="467"/>
      <c r="D322" s="467"/>
      <c r="E322" s="467">
        <v>96392</v>
      </c>
      <c r="F322" s="467"/>
      <c r="G322" s="467"/>
      <c r="H322" s="467"/>
      <c r="I322" s="467"/>
      <c r="J322" s="467"/>
      <c r="K322" s="1669">
        <f t="shared" si="24"/>
        <v>96392</v>
      </c>
      <c r="L322" s="467">
        <v>110000</v>
      </c>
      <c r="M322" s="665"/>
      <c r="N322" s="665"/>
    </row>
    <row r="323" spans="1:14" s="674" customFormat="1" x14ac:dyDescent="0.2">
      <c r="A323" s="1519" t="s">
        <v>702</v>
      </c>
      <c r="B323" s="697" t="s">
        <v>285</v>
      </c>
      <c r="C323" s="467"/>
      <c r="D323" s="467"/>
      <c r="E323" s="467">
        <v>108588</v>
      </c>
      <c r="F323" s="467"/>
      <c r="G323" s="467"/>
      <c r="H323" s="467"/>
      <c r="I323" s="467"/>
      <c r="J323" s="467"/>
      <c r="K323" s="1669">
        <f t="shared" si="24"/>
        <v>108588</v>
      </c>
      <c r="L323" s="467">
        <v>101000</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v>4833</v>
      </c>
      <c r="F325" s="467"/>
      <c r="G325" s="467"/>
      <c r="H325" s="467"/>
      <c r="I325" s="467"/>
      <c r="J325" s="467"/>
      <c r="K325" s="1669">
        <f t="shared" si="24"/>
        <v>4833</v>
      </c>
      <c r="L325" s="467">
        <v>41000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209813</v>
      </c>
      <c r="F330" s="1668">
        <f t="shared" si="25"/>
        <v>0</v>
      </c>
      <c r="G330" s="1668">
        <f t="shared" si="25"/>
        <v>0</v>
      </c>
      <c r="H330" s="1668">
        <f t="shared" si="25"/>
        <v>0</v>
      </c>
      <c r="I330" s="1668">
        <f t="shared" si="25"/>
        <v>0</v>
      </c>
      <c r="J330" s="1668">
        <f t="shared" si="25"/>
        <v>0</v>
      </c>
      <c r="K330" s="1668">
        <f>SUM(K319:K329)</f>
        <v>209813</v>
      </c>
      <c r="L330" s="1668">
        <f>SUM(L319:L329)</f>
        <v>252000</v>
      </c>
      <c r="M330" s="665"/>
      <c r="N330" s="665"/>
    </row>
    <row r="331" spans="1:14" s="674" customFormat="1" ht="12.75" customHeight="1" thickTop="1" x14ac:dyDescent="0.2">
      <c r="A331" s="1828" t="s">
        <v>1847</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1841</v>
      </c>
      <c r="C332" s="1830"/>
      <c r="D332" s="1830"/>
      <c r="E332" s="1830"/>
      <c r="F332" s="1830"/>
      <c r="G332" s="1830"/>
      <c r="H332" s="467"/>
      <c r="I332" s="1830"/>
      <c r="J332" s="1830"/>
      <c r="K332" s="1669">
        <f>H332</f>
        <v>0</v>
      </c>
      <c r="L332" s="467"/>
      <c r="M332" s="665"/>
      <c r="N332" s="665"/>
    </row>
    <row r="333" spans="1:14" s="674" customFormat="1" ht="12.75" customHeight="1" x14ac:dyDescent="0.2">
      <c r="A333" s="1829" t="s">
        <v>304</v>
      </c>
      <c r="B333" s="1824" t="s">
        <v>1843</v>
      </c>
      <c r="C333" s="1830"/>
      <c r="D333" s="1830"/>
      <c r="E333" s="1830"/>
      <c r="F333" s="1830"/>
      <c r="G333" s="1830"/>
      <c r="H333" s="467"/>
      <c r="I333" s="1830"/>
      <c r="J333" s="1830"/>
      <c r="K333" s="1669">
        <f>H333</f>
        <v>0</v>
      </c>
      <c r="L333" s="467"/>
      <c r="M333" s="665"/>
      <c r="N333" s="665"/>
    </row>
    <row r="334" spans="1:14" s="674" customFormat="1" ht="12.75" customHeight="1" thickBot="1" x14ac:dyDescent="0.25">
      <c r="A334" s="1829" t="s">
        <v>1848</v>
      </c>
      <c r="B334" s="1824" t="s">
        <v>860</v>
      </c>
      <c r="C334" s="1830"/>
      <c r="D334" s="1830"/>
      <c r="E334" s="1830"/>
      <c r="F334" s="1830"/>
      <c r="G334" s="1830"/>
      <c r="H334" s="1668">
        <f>SUM(H332:H333)</f>
        <v>0</v>
      </c>
      <c r="I334" s="1830"/>
      <c r="J334" s="1830"/>
      <c r="K334" s="1668">
        <f>SUM(K332:K333)</f>
        <v>0</v>
      </c>
      <c r="L334" s="1668">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209813</v>
      </c>
      <c r="F342" s="1668">
        <f>SUM(F330)</f>
        <v>0</v>
      </c>
      <c r="G342" s="1668">
        <f>SUM(G330)</f>
        <v>0</v>
      </c>
      <c r="H342" s="1668">
        <f>SUM(H330,H334,H340)</f>
        <v>0</v>
      </c>
      <c r="I342" s="1668">
        <f>SUM(I330)</f>
        <v>0</v>
      </c>
      <c r="J342" s="1668">
        <f>SUM(J330)</f>
        <v>0</v>
      </c>
      <c r="K342" s="1668">
        <f>SUM(K330,K334,K340)</f>
        <v>209813</v>
      </c>
      <c r="L342" s="1675">
        <f>SUM(L330,L340,L341)</f>
        <v>252000</v>
      </c>
    </row>
    <row r="343" spans="1:14" ht="12.75" customHeight="1" thickTop="1" x14ac:dyDescent="0.2">
      <c r="A343" s="2171" t="s">
        <v>996</v>
      </c>
      <c r="B343" s="2172"/>
      <c r="C343" s="616"/>
      <c r="D343" s="616"/>
      <c r="E343" s="616"/>
      <c r="F343" s="616"/>
      <c r="G343" s="616"/>
      <c r="H343" s="616"/>
      <c r="I343" s="616"/>
      <c r="J343" s="616"/>
      <c r="K343" s="1682">
        <f>'Revenues 9-14'!J268-'Expenditures 15-22'!K342</f>
        <v>13369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8" t="s">
        <v>966</v>
      </c>
      <c r="B345" s="2168"/>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67368</v>
      </c>
      <c r="H348" s="466"/>
      <c r="I348" s="467"/>
      <c r="J348" s="467"/>
      <c r="K348" s="1669">
        <f>SUM(C348:J348)</f>
        <v>67368</v>
      </c>
      <c r="L348" s="466">
        <v>110000</v>
      </c>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67368</v>
      </c>
      <c r="H350" s="1668">
        <f t="shared" si="26"/>
        <v>0</v>
      </c>
      <c r="I350" s="1668">
        <f t="shared" si="26"/>
        <v>0</v>
      </c>
      <c r="J350" s="1668">
        <f t="shared" si="26"/>
        <v>0</v>
      </c>
      <c r="K350" s="1668">
        <f t="shared" si="26"/>
        <v>67368</v>
      </c>
      <c r="L350" s="1668">
        <f t="shared" si="26"/>
        <v>110000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67368</v>
      </c>
      <c r="H352" s="1668">
        <f t="shared" si="27"/>
        <v>0</v>
      </c>
      <c r="I352" s="1668">
        <f t="shared" si="27"/>
        <v>0</v>
      </c>
      <c r="J352" s="1668">
        <f t="shared" si="27"/>
        <v>0</v>
      </c>
      <c r="K352" s="1668">
        <f t="shared" si="27"/>
        <v>67368</v>
      </c>
      <c r="L352" s="1668">
        <f t="shared" si="27"/>
        <v>110000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1849</v>
      </c>
      <c r="B354" s="683" t="s">
        <v>1841</v>
      </c>
      <c r="C354" s="616"/>
      <c r="D354" s="616"/>
      <c r="E354" s="616"/>
      <c r="F354" s="616"/>
      <c r="G354" s="616"/>
      <c r="H354" s="474"/>
      <c r="I354" s="701"/>
      <c r="J354" s="616"/>
      <c r="K354" s="1697">
        <f>H354</f>
        <v>0</v>
      </c>
      <c r="L354" s="471"/>
    </row>
    <row r="355" spans="1:14" ht="12.75" customHeight="1" x14ac:dyDescent="0.2">
      <c r="A355" s="1513" t="s">
        <v>1850</v>
      </c>
      <c r="B355" s="690" t="s">
        <v>1843</v>
      </c>
      <c r="C355" s="616"/>
      <c r="D355" s="616"/>
      <c r="E355" s="616"/>
      <c r="F355" s="616"/>
      <c r="G355" s="616"/>
      <c r="H355" s="467"/>
      <c r="I355" s="701"/>
      <c r="J355" s="616"/>
      <c r="K355" s="1741">
        <f>H355</f>
        <v>0</v>
      </c>
      <c r="L355" s="467"/>
    </row>
    <row r="356" spans="1:14" ht="12.75" customHeight="1" x14ac:dyDescent="0.2">
      <c r="A356" s="1831"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67368</v>
      </c>
      <c r="H367" s="1668">
        <f t="shared" si="28"/>
        <v>0</v>
      </c>
      <c r="I367" s="1668">
        <f t="shared" si="28"/>
        <v>0</v>
      </c>
      <c r="J367" s="1668">
        <f t="shared" si="28"/>
        <v>0</v>
      </c>
      <c r="K367" s="1668">
        <f t="shared" si="28"/>
        <v>67368</v>
      </c>
      <c r="L367" s="1668">
        <f t="shared" si="28"/>
        <v>110000</v>
      </c>
    </row>
    <row r="368" spans="1:14" ht="13.5" thickTop="1" x14ac:dyDescent="0.2">
      <c r="A368" s="2185" t="s">
        <v>996</v>
      </c>
      <c r="B368" s="2186"/>
      <c r="C368" s="654"/>
      <c r="D368" s="654"/>
      <c r="E368" s="626"/>
      <c r="F368" s="626"/>
      <c r="G368" s="626"/>
      <c r="H368" s="626"/>
      <c r="I368" s="626"/>
      <c r="J368" s="623"/>
      <c r="K368" s="1669">
        <f>'Revenues 9-14'!K268-'Expenditures 15-22'!K367</f>
        <v>-28077</v>
      </c>
      <c r="L368" s="654"/>
    </row>
  </sheetData>
  <sheetProtection password="F60E" sheet="1" objects="1" scenarios="1"/>
  <mergeCells count="20">
    <mergeCell ref="A1:A2"/>
    <mergeCell ref="A345:B345"/>
    <mergeCell ref="A117:B117"/>
    <mergeCell ref="A154:B154"/>
    <mergeCell ref="A3:B3"/>
    <mergeCell ref="A368:B368"/>
    <mergeCell ref="A175:B175"/>
    <mergeCell ref="A211:B211"/>
    <mergeCell ref="A296:B296"/>
    <mergeCell ref="A115:B115"/>
    <mergeCell ref="A298:B298"/>
    <mergeCell ref="A313:B313"/>
    <mergeCell ref="A343:B343"/>
    <mergeCell ref="A312:B312"/>
    <mergeCell ref="A151:B151"/>
    <mergeCell ref="A295:B295"/>
    <mergeCell ref="A152:B152"/>
    <mergeCell ref="A213:B213"/>
    <mergeCell ref="A315:B315"/>
    <mergeCell ref="A317:B317"/>
  </mergeCells>
  <phoneticPr fontId="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D8EF2736-D1F8-4D58-993D-608C3DF4EFCA}">
  <ds:schemaRefs>
    <ds:schemaRef ds:uri="http://purl.org/dc/elements/1.1/"/>
    <ds:schemaRef ds:uri="4d435f69-8686-490b-bd6d-b153bf22ab50"/>
    <ds:schemaRef ds:uri="http://schemas.microsoft.com/sharepoint/v3"/>
    <ds:schemaRef ds:uri="http://www.w3.org/XML/1998/namespace"/>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d21dc803-237d-4c68-8692-8d731fd29118"/>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SEFA(2)</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2019-09-11T18:00:25Z</cp:lastPrinted>
  <dcterms:created xsi:type="dcterms:W3CDTF">2003-10-29T19:06:34Z</dcterms:created>
  <dcterms:modified xsi:type="dcterms:W3CDTF">2019-10-22T19:22:26Z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3c727d49-d8cd-4039-ba6d-a641e1d366b6</vt:lpwstr>
  </property>
</Properties>
</file>