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A5A2AD2-799B-431E-8A3D-5B401DA20C0A}"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1" sheetId="179" r:id="rId28"/>
    <sheet name=" SEFA-2" sheetId="185" r:id="rId29"/>
    <sheet name=" SEFA-3" sheetId="187" r:id="rId30"/>
    <sheet name=" SEFA-4" sheetId="186" r:id="rId31"/>
    <sheet name="SEFA NOTES" sheetId="188" r:id="rId32"/>
    <sheet name="SF&amp;QC Sec-1" sheetId="174" r:id="rId33"/>
    <sheet name="SF&amp;QC Sec-2" sheetId="175" r:id="rId34"/>
    <sheet name="SF&amp;QC Sec-3" sheetId="176" r:id="rId35"/>
    <sheet name="SSPAF" sheetId="177" r:id="rId36"/>
  </sheets>
  <externalReferences>
    <externalReference r:id="rId37"/>
  </externalReferences>
  <definedNames>
    <definedName name="p">#REF!</definedName>
    <definedName name="_xlnm.Print_Area" localSheetId="27">' SEFA-1'!$B$1:$M$46</definedName>
    <definedName name="_xlnm.Print_Area" localSheetId="28">' SEFA-2'!$B$1:$M$46</definedName>
    <definedName name="_xlnm.Print_Area" localSheetId="29">' SEFA-3'!$B$1:$M$46</definedName>
    <definedName name="_xlnm.Print_Area" localSheetId="30">' SEFA-4'!$B$1:$M$46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EFA" localSheetId="31">#REF!</definedName>
    <definedName name="SEFA">#REF!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88" l="1"/>
  <c r="E34" i="188"/>
  <c r="I22" i="185" l="1"/>
  <c r="G22" i="185"/>
  <c r="F22" i="185"/>
  <c r="E22" i="185"/>
  <c r="I19" i="187"/>
  <c r="I25" i="187" s="1"/>
  <c r="L25" i="187" s="1"/>
  <c r="F19" i="187"/>
  <c r="F25" i="187" s="1"/>
  <c r="L23" i="187"/>
  <c r="L18" i="187"/>
  <c r="L15" i="187"/>
  <c r="B4" i="187"/>
  <c r="L16" i="187" l="1"/>
  <c r="L19" i="187" s="1"/>
  <c r="L20" i="185" l="1"/>
  <c r="L21" i="185"/>
  <c r="I17" i="185"/>
  <c r="I27" i="187" s="1"/>
  <c r="G17" i="185"/>
  <c r="G27" i="187" s="1"/>
  <c r="E17" i="185"/>
  <c r="E27" i="187" s="1"/>
  <c r="F15" i="185"/>
  <c r="F17" i="185" s="1"/>
  <c r="F27" i="187" s="1"/>
  <c r="L19" i="186"/>
  <c r="L14" i="186"/>
  <c r="B4" i="186"/>
  <c r="L25" i="185"/>
  <c r="L15" i="185"/>
  <c r="L14" i="185"/>
  <c r="B4" i="185"/>
  <c r="I24" i="179"/>
  <c r="G24" i="179"/>
  <c r="F24" i="179"/>
  <c r="E24" i="179"/>
  <c r="I17" i="179"/>
  <c r="G17" i="179"/>
  <c r="F17" i="179"/>
  <c r="E17" i="179"/>
  <c r="L22" i="185" l="1"/>
  <c r="L17" i="185"/>
  <c r="L16" i="185"/>
  <c r="I26" i="179"/>
  <c r="F26" i="179"/>
  <c r="F23" i="186" s="1"/>
  <c r="E26" i="179"/>
  <c r="E23" i="186" s="1"/>
  <c r="G26" i="179"/>
  <c r="G23" i="186" s="1"/>
  <c r="L27" i="187" l="1"/>
  <c r="I23" i="186"/>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3" i="186" s="1"/>
  <c r="L24" i="179"/>
  <c r="L23" i="179"/>
  <c r="L22" i="179"/>
  <c r="L21" i="179"/>
  <c r="L20" i="179"/>
  <c r="L17" i="179"/>
  <c r="L16" i="179"/>
  <c r="L15" i="179"/>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8" l="1"/>
  <c r="B1" i="187"/>
  <c r="A2" i="188"/>
  <c r="B2" i="187"/>
  <c r="B1" i="185"/>
  <c r="B1" i="186"/>
  <c r="B2" i="186"/>
  <c r="B2" i="185"/>
  <c r="B2" i="179"/>
  <c r="B2" i="177"/>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F27" i="108"/>
  <c r="G27" i="108"/>
  <c r="F31" i="108"/>
  <c r="F37"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G33" i="108" l="1"/>
  <c r="B7727" i="106"/>
  <c r="D7727" i="106" s="1"/>
  <c r="H112" i="29"/>
  <c r="B7018" i="106" s="1"/>
  <c r="D7018" i="106" s="1"/>
  <c r="D6103" i="106"/>
  <c r="D24" i="37"/>
  <c r="B4270" i="106" s="1"/>
  <c r="D4270" i="106" s="1"/>
  <c r="G39" i="108"/>
  <c r="H28" i="118"/>
  <c r="E28" i="108"/>
  <c r="D54" i="36"/>
  <c r="D31" i="36"/>
  <c r="D11" i="37"/>
  <c r="C14" i="4"/>
  <c r="B2558" i="106" s="1"/>
  <c r="D2558" i="106" s="1"/>
  <c r="E38" i="108"/>
  <c r="F28" i="108"/>
  <c r="F70" i="34"/>
  <c r="L5" i="11"/>
  <c r="B2056" i="106" s="1"/>
  <c r="D2056" i="106" s="1"/>
  <c r="D22" i="37"/>
  <c r="D7245" i="106"/>
  <c r="F38" i="34"/>
  <c r="G38" i="108"/>
  <c r="F26" i="108"/>
  <c r="D26" i="108"/>
  <c r="L13" i="11"/>
  <c r="B2060" i="106" s="1"/>
  <c r="D2060" i="106" s="1"/>
  <c r="L15" i="11"/>
  <c r="B3459" i="106" s="1"/>
  <c r="D3459" i="106" s="1"/>
  <c r="I24" i="12"/>
  <c r="F19" i="7"/>
  <c r="B1807" i="106" s="1"/>
  <c r="D1807" i="106" s="1"/>
  <c r="L22" i="37"/>
  <c r="D68" i="36"/>
  <c r="J22" i="37"/>
  <c r="D69" i="36"/>
  <c r="N22" i="3"/>
  <c r="B283" i="106" s="1"/>
  <c r="D283" i="106" s="1"/>
  <c r="F69" i="34"/>
  <c r="B7047" i="106"/>
  <c r="D7047" i="106" s="1"/>
  <c r="F50" i="34"/>
  <c r="D37" i="108"/>
  <c r="F44" i="34"/>
  <c r="G29" i="108"/>
  <c r="E29" i="108"/>
  <c r="D17" i="7"/>
  <c r="B4104" i="106" s="1"/>
  <c r="D4104" i="106" s="1"/>
  <c r="F42" i="34"/>
  <c r="D9" i="7"/>
  <c r="B1767" i="106" s="1"/>
  <c r="D1767" i="106" s="1"/>
  <c r="H33" i="118"/>
  <c r="H29" i="118"/>
  <c r="K41" i="3"/>
  <c r="F36" i="34"/>
  <c r="F34" i="34"/>
  <c r="B1124" i="106"/>
  <c r="D1124" i="106" s="1"/>
  <c r="B6995" i="106"/>
  <c r="D6995" i="106" s="1"/>
  <c r="F46" i="34"/>
  <c r="G34" i="108"/>
  <c r="G15" i="145"/>
  <c r="B2724" i="106"/>
  <c r="D2724" i="106" s="1"/>
  <c r="B1274" i="106"/>
  <c r="D1274" i="106" s="1"/>
  <c r="B6289" i="106"/>
  <c r="D6289" i="106" s="1"/>
  <c r="J77" i="4"/>
  <c r="B6262" i="106" s="1"/>
  <c r="D6262" i="106" s="1"/>
  <c r="L367" i="29"/>
  <c r="H342" i="29"/>
  <c r="B7221" i="106" s="1"/>
  <c r="D7221" i="106" s="1"/>
  <c r="D36" i="108"/>
  <c r="F49" i="34"/>
  <c r="F36" i="108"/>
  <c r="F77" i="4"/>
  <c r="B3255" i="106" s="1"/>
  <c r="D3255" i="106" s="1"/>
  <c r="E35" i="108"/>
  <c r="B7076" i="106"/>
  <c r="D7076" i="106" s="1"/>
  <c r="G35" i="108"/>
  <c r="L342" i="29"/>
  <c r="H76" i="4"/>
  <c r="B3298" i="106" s="1"/>
  <c r="D3298" i="106" s="1"/>
  <c r="B7235" i="106"/>
  <c r="D7235" i="106" s="1"/>
  <c r="B7231" i="106"/>
  <c r="D7231" i="106" s="1"/>
  <c r="H365" i="29"/>
  <c r="B7242" i="106" s="1"/>
  <c r="D7242" i="106" s="1"/>
  <c r="B1126" i="106"/>
  <c r="D1126" i="106" s="1"/>
  <c r="I210" i="29"/>
  <c r="B7071" i="106" s="1"/>
  <c r="D7071" i="106" s="1"/>
  <c r="C352" i="29"/>
  <c r="B3621" i="106" s="1"/>
  <c r="D3621" i="106" s="1"/>
  <c r="B6261" i="106"/>
  <c r="D6261" i="106" s="1"/>
  <c r="B3647" i="106"/>
  <c r="D3647" i="106" s="1"/>
  <c r="K184" i="29"/>
  <c r="F13" i="4" s="1"/>
  <c r="B2596" i="106" s="1"/>
  <c r="D2596" i="106" s="1"/>
  <c r="G210" i="29"/>
  <c r="J210" i="29"/>
  <c r="B7072" i="106" s="1"/>
  <c r="D7072" i="106" s="1"/>
  <c r="C342" i="29"/>
  <c r="B7216" i="106" s="1"/>
  <c r="D7216" i="106" s="1"/>
  <c r="B1308" i="106"/>
  <c r="D1308" i="106" s="1"/>
  <c r="E174" i="29"/>
  <c r="B1309" i="106" s="1"/>
  <c r="D1309" i="106" s="1"/>
  <c r="J129" i="29"/>
  <c r="B7038" i="106" s="1"/>
  <c r="D7038" i="106" s="1"/>
  <c r="I129" i="29"/>
  <c r="B7037" i="106" s="1"/>
  <c r="D7037" i="106" s="1"/>
  <c r="C129" i="29"/>
  <c r="B1225" i="106" s="1"/>
  <c r="D1225" i="106" s="1"/>
  <c r="K76" i="4"/>
  <c r="B3586" i="106" s="1"/>
  <c r="D3586" i="106" s="1"/>
  <c r="B3254" i="106"/>
  <c r="D3254" i="106" s="1"/>
  <c r="J41" i="3"/>
  <c r="B6216" i="106" s="1"/>
  <c r="D6216"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I7" i="4"/>
  <c r="B4444" i="106" s="1"/>
  <c r="D4444" i="106" s="1"/>
  <c r="F41" i="108"/>
  <c r="G43" i="108" s="1"/>
  <c r="D7251" i="106"/>
  <c r="D7252" i="106"/>
  <c r="D7253" i="106"/>
  <c r="D7255" i="106"/>
  <c r="D7256" i="106"/>
  <c r="D7254" i="106"/>
  <c r="D7250" i="106"/>
  <c r="L16" i="11"/>
  <c r="B2061" i="106" s="1"/>
  <c r="D2061" i="106" s="1"/>
  <c r="I26" i="12"/>
  <c r="B7741" i="106" s="1"/>
  <c r="D7741" i="106" s="1"/>
  <c r="B1996" i="106"/>
  <c r="D1996" i="106" s="1"/>
  <c r="N23" i="3"/>
  <c r="B284" i="106" s="1"/>
  <c r="D284" i="106" s="1"/>
  <c r="D41" i="108"/>
  <c r="E43" i="108" s="1"/>
  <c r="B1328" i="106"/>
  <c r="D1328" i="106" s="1"/>
  <c r="B5527" i="106"/>
  <c r="D5527" i="106" s="1"/>
  <c r="B3568" i="106"/>
  <c r="D3568" i="106" s="1"/>
  <c r="D52" i="36"/>
  <c r="H77" i="4"/>
  <c r="B3299" i="106" s="1"/>
  <c r="D3299" i="106" s="1"/>
  <c r="K365" i="29"/>
  <c r="K16" i="4" s="1"/>
  <c r="L114" i="29"/>
  <c r="B7215" i="106"/>
  <c r="D7215" i="106" s="1"/>
  <c r="B1381" i="106"/>
  <c r="D1381" i="106" s="1"/>
  <c r="B1317" i="106"/>
  <c r="D1317" i="106" s="1"/>
  <c r="C367" i="29"/>
  <c r="B3622" i="106" s="1"/>
  <c r="D3622" i="106" s="1"/>
  <c r="C151" i="29"/>
  <c r="B1226" i="106" s="1"/>
  <c r="D1226" i="106" s="1"/>
  <c r="H151" i="29"/>
  <c r="B1273" i="106" s="1"/>
  <c r="D1273" i="106" s="1"/>
  <c r="I151" i="29"/>
  <c r="F59" i="34" s="1"/>
  <c r="K342" i="29"/>
  <c r="F13" i="34" s="1"/>
  <c r="F66" i="34"/>
  <c r="K77" i="4"/>
  <c r="B3587" i="106" s="1"/>
  <c r="D3587" i="106" s="1"/>
  <c r="B5778" i="106"/>
  <c r="D5778" i="106" s="1"/>
  <c r="G6" i="4"/>
  <c r="B2604" i="106" s="1"/>
  <c r="D2604" i="106" s="1"/>
  <c r="B5770" i="106"/>
  <c r="D5770" i="106" s="1"/>
  <c r="C114" i="29"/>
  <c r="B757" i="106" s="1"/>
  <c r="D757" i="106" s="1"/>
  <c r="B1365" i="106"/>
  <c r="D1365" i="106" s="1"/>
  <c r="F65" i="34"/>
  <c r="J151" i="29"/>
  <c r="B7052" i="106" s="1"/>
  <c r="D7052" i="106" s="1"/>
  <c r="F174" i="34"/>
  <c r="D51" i="36"/>
  <c r="D44"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F24" i="37"/>
  <c r="B7243" i="106"/>
  <c r="D7243" i="106" s="1"/>
  <c r="K367" i="29"/>
  <c r="K368" i="29" s="1"/>
  <c r="B3681" i="106" s="1"/>
  <c r="D3681"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3" i="106"/>
  <c r="D6223" i="106" s="1"/>
  <c r="K17" i="4"/>
  <c r="K20" i="4" s="1"/>
  <c r="J20" i="4"/>
  <c r="B6230" i="106" s="1"/>
  <c r="D6230" i="106" s="1"/>
  <c r="B6227" i="106"/>
  <c r="D6227"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J78" i="4"/>
  <c r="J81" i="4"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F8" i="146"/>
  <c r="D78" i="4"/>
  <c r="D81" i="4" s="1"/>
  <c r="B6263" i="106"/>
  <c r="D6263" i="106"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<sst xmlns="http://schemas.openxmlformats.org/spreadsheetml/2006/main" count="5551" uniqueCount="2258">
  <si>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</si>
  <si>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</si>
  <si>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</si>
  <si>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</si>
  <si>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</si>
  <si>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</si>
  <si>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</si>
  <si>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</si>
  <si>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</si>
  <si>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</si>
  <si>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</si>
  <si>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</si>
  <si>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</si>
  <si>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</si>
  <si>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</si>
  <si>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</si>
  <si>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</si>
  <si>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</si>
  <si>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</si>
  <si>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</si>
  <si>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</si>
  <si>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</si>
  <si>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</si>
  <si>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</si>
  <si>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</si>
  <si>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</si>
  <si>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</si>
  <si>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</si>
  <si>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</si>
  <si>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</si>
  <si>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</si>
  <si>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</si>
  <si>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</si>
  <si>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</si>
  <si>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</si>
  <si>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</si>
  <si>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</si>
  <si>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</si>
  <si>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</si>
  <si>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</si>
  <si>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</si>
  <si>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</si>
  <si>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</si>
  <si>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</si>
  <si>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</si>
  <si>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</si>
  <si>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</si>
  <si>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</si>
  <si>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</si>
  <si>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</si>
  <si>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</si>
  <si>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</si>
  <si>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</si>
  <si>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</si>
  <si>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</si>
  <si>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</si>
  <si>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</si>
  <si>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</si>
  <si>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</si>
  <si>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</si>
  <si>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</si>
  <si>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</si>
  <si>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</si>
  <si>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</si>
  <si>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</si>
  <si>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</si>
  <si>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</si>
  <si>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</si>
  <si>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</si>
  <si>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</si>
  <si>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</si>
  <si>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</si>
  <si>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</si>
  <si>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</si>
  <si>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</si>
  <si>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</si>
  <si>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</si>
  <si>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</si>
  <si>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</si>
  <si>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</si>
  <si>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</si>
  <si>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</si>
  <si>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</si>
  <si>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</si>
  <si>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</si>
  <si>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</si>
  <si>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</si>
  <si>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</si>
  <si>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</si>
  <si>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</si>
  <si>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</si>
  <si>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</si>
  <si>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</si>
  <si>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</si>
  <si>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</si>
  <si>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</si>
  <si>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</si>
  <si>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</si>
  <si>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</si>
  <si>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</si>
  <si>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</si>
  <si>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</si>
  <si>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</si>
  <si>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</si>
  <si>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</si>
  <si>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</si>
  <si>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</si>
  <si>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</si>
  <si>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</si>
  <si>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</si>
  <si>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</si>
  <si>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</si>
  <si>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</si>
  <si>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</si>
  <si>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</si>
  <si>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</si>
  <si>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</si>
  <si>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</si>
  <si>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</si>
  <si>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</si>
  <si>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</si>
  <si>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</si>
  <si>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</si>
  <si>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</si>
  <si>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</si>
  <si>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</si>
  <si>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</si>
  <si>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</si>
  <si>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</si>
  <si>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</si>
  <si>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</si>
  <si>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</si>
  <si>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</si>
  <si>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</si>
  <si>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</si>
  <si>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</si>
  <si>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</si>
  <si>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</si>
  <si>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</si>
  <si>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</si>
  <si>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</si>
  <si>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</si>
  <si>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</si>
  <si>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</si>
  <si>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</si>
  <si>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</si>
  <si>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</si>
  <si>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</si>
  <si>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</si>
  <si>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</si>
  <si>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</si>
  <si>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</si>
  <si>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</si>
  <si>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</si>
  <si>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</si>
  <si>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</si>
  <si>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</si>
  <si>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</si>
  <si>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</si>
  <si>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</si>
  <si>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</si>
  <si>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</si>
  <si>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</si>
  <si>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</si>
  <si>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</si>
  <si>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</si>
  <si>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</si>
  <si>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</si>
  <si>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</si>
  <si>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</si>
  <si>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</si>
  <si>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</si>
  <si>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</si>
  <si>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</si>
  <si>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</si>
  <si>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</si>
  <si>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</si>
  <si>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</si>
  <si>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</si>
  <si>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</si>
  <si>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</si>
  <si>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</si>
  <si>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</si>
  <si>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</si>
  <si>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</si>
  <si>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</si>
  <si>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</si>
  <si>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</si>
  <si>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</si>
  <si>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</si>
  <si>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</si>
  <si>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</si>
  <si>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</si>
  <si>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</si>
  <si>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</si>
  <si>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</si>
  <si>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</si>
  <si>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</si>
  <si>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</si>
  <si>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</si>
  <si>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</si>
  <si>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</si>
  <si>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</si>
  <si>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</si>
  <si>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</si>
  <si>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</si>
  <si>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</si>
  <si>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</si>
  <si>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</si>
  <si>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</si>
  <si>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</si>
  <si>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</si>
  <si>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</si>
  <si>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</si>
  <si>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</si>
  <si>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</si>
  <si>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</si>
  <si>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</si>
  <si>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</si>
  <si>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</si>
  <si>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</si>
  <si>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</si>
  <si>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</si>
  <si>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</si>
  <si>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</si>
  <si>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</si>
  <si>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</si>
  <si>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</si>
  <si>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</si>
  <si>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</si>
  <si>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</si>
  <si>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</si>
  <si>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</si>
  <si>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</si>
  <si>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</si>
  <si>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</si>
  <si>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</si>
  <si>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</si>
  <si>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</si>
  <si>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</si>
  <si>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</si>
  <si>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</si>
  <si>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</si>
  <si>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</si>
  <si>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</si>
  <si>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</si>
  <si>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</si>
  <si>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</si>
  <si>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</si>
  <si>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</si>
  <si>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</si>
  <si>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</si>
  <si>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</si>
  <si>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</si>
  <si>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</si>
  <si>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</si>
  <si>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</si>
  <si>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</si>
  <si>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</si>
  <si>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</si>
  <si>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</si>
  <si>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</si>
  <si>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</si>
  <si>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</si>
  <si>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</si>
  <si>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</si>
  <si>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</si>
  <si>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</si>
  <si>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</si>
  <si>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</si>
  <si>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</si>
  <si>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</si>
  <si>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</si>
  <si>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</si>
  <si>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</si>
  <si>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</si>
  <si>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</si>
  <si>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</si>
  <si>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</si>
  <si>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</si>
  <si>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</si>
  <si>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</si>
  <si>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</si>
  <si>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</si>
  <si>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</si>
  <si>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</si>
  <si>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</si>
  <si>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</si>
  <si>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</si>
  <si>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</si>
  <si>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</si>
  <si>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</si>
  <si>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</si>
  <si>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</si>
  <si>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</si>
  <si>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</si>
  <si>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</si>
  <si>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</si>
  <si>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</si>
  <si>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</si>
  <si>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</si>
  <si>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</si>
  <si>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</si>
  <si>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</si>
  <si>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</si>
  <si>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</si>
  <si>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</si>
  <si>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</si>
  <si>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</si>
  <si>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</si>
  <si>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</si>
  <si>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</si>
  <si>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</si>
  <si>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</si>
  <si>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</si>
  <si>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</si>
  <si>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</si>
  <si>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</si>
  <si>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</si>
  <si>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</si>
  <si>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</si>
  <si>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</si>
  <si>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</si>
  <si>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</si>
  <si>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</si>
  <si>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</si>
  <si>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</si>
  <si>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</si>
  <si>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</si>
  <si>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</si>
  <si>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</si>
  <si>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</si>
  <si>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</si>
  <si>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</si>
  <si>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</si>
  <si>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</si>
  <si>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</si>
  <si>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</si>
  <si>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</si>
  <si>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</si>
  <si>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</si>
  <si>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</si>
  <si>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</si>
  <si>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</si>
  <si>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</si>
  <si>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</si>
  <si>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</si>
  <si>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</si>
  <si>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</si>
  <si>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</si>
  <si>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</si>
  <si>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</si>
  <si>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</si>
  <si>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</si>
  <si>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</si>
  <si>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</si>
  <si>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</si>
  <si>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</si>
  <si>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</si>
  <si>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</si>
  <si>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</si>
  <si>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</si>
  <si>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</si>
  <si>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</si>
  <si>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</si>
  <si>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</si>
  <si>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</si>
  <si>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</si>
  <si>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</si>
  <si>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</si>
  <si>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</si>
  <si>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</si>
  <si>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</si>
  <si>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</si>
  <si>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</si>
  <si>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</si>
  <si>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</si>
  <si>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</si>
  <si>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</si>
  <si>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</si>
  <si>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</si>
  <si>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</si>
  <si>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</si>
  <si>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</si>
  <si>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</si>
  <si>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</si>
  <si>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</si>
  <si>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</si>
  <si>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</si>
  <si>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</si>
  <si>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</si>
  <si>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</si>
  <si>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</si>
  <si>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</si>
  <si>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</si>
  <si>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</si>
  <si>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</si>
  <si>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</si>
  <si>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</si>
  <si>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</si>
  <si>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</si>
  <si>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</si>
  <si>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</si>
  <si>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</si>
  <si>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</si>
  <si>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</si>
  <si>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</si>
  <si>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</si>
  <si>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</si>
  <si>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</si>
  <si>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</si>
  <si>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</si>
  <si>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</si>
  <si>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</si>
  <si>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</si>
  <si>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</si>
  <si>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</si>
  <si>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</si>
  <si>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</si>
  <si>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</si>
  <si>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</si>
  <si>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</si>
  <si>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</si>
  <si>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</si>
  <si>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</si>
  <si>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</si>
  <si>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</si>
  <si>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</si>
  <si>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</si>
  <si>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</si>
  <si>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</si>
  <si>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</si>
  <si>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</si>
  <si>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</si>
  <si>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</si>
  <si>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</si>
  <si>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</si>
  <si>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</si>
  <si>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</si>
  <si>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</si>
  <si>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</si>
  <si>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</si>
  <si>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</si>
  <si>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</si>
  <si>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</si>
  <si>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</si>
  <si>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</si>
  <si>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</si>
  <si>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</si>
  <si>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</si>
  <si>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</si>
  <si>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</si>
  <si>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</si>
  <si>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</si>
  <si>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</si>
  <si>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</si>
  <si>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</si>
  <si>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</si>
  <si>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</si>
  <si>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</si>
  <si>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</si>
  <si>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</si>
  <si>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</si>
  <si>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</si>
  <si>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</si>
  <si>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</si>
  <si>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</si>
  <si>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</si>
  <si>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</si>
  <si>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</si>
  <si>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</si>
  <si>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</si>
  <si>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</si>
  <si>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</si>
  <si>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</si>
  <si>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</si>
  <si>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</si>
  <si>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</si>
  <si>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</si>
  <si>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</si>
  <si>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</si>
  <si>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</si>
  <si>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</si>
  <si>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</si>
  <si>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</si>
  <si>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</si>
  <si>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</si>
  <si>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</si>
  <si>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</si>
  <si>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</si>
  <si>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</si>
  <si>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</si>
  <si>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</si>
  <si>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</si>
  <si>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</si>
  <si>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</si>
  <si>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</si>
  <si>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</si>
  <si>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</si>
  <si>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</si>
  <si>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</si>
  <si>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</si>
  <si>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</si>
  <si>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</si>
  <si>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</si>
  <si>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</si>
  <si>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</si>
  <si>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</si>
  <si>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</si>
  <si>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</si>
  <si>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</si>
  <si>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</si>
  <si>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</si>
  <si>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</si>
  <si>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</si>
  <si>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</si>
  <si>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</si>
  <si>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</si>
  <si>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</si>
  <si>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</si>
  <si>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</si>
  <si>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</si>
  <si>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</si>
  <si>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</si>
  <si>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</si>
  <si>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</si>
  <si>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</si>
  <si>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</si>
  <si>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</si>
  <si>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</si>
  <si>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</si>
  <si>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</si>
  <si>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</si>
  <si>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</si>
  <si>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</si>
  <si>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</si>
  <si>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</si>
  <si>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</si>
  <si>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</si>
  <si>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</si>
  <si>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</si>
  <si>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</si>
  <si>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</si>
  <si>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</si>
  <si>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</si>
  <si>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</si>
  <si>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</si>
  <si>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</si>
  <si>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</si>
  <si>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</si>
  <si>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</si>
  <si>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</si>
  <si>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</si>
  <si>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</si>
  <si>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</si>
  <si>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</si>
  <si>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</si>
  <si>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</si>
  <si>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</si>
  <si>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</si>
  <si>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</si>
  <si>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</si>
  <si>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</si>
  <si>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</si>
  <si>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</si>
  <si>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</si>
  <si>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</si>
  <si>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</si>
  <si>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</si>
  <si>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</si>
  <si>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</si>
  <si>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</si>
  <si>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</si>
  <si>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</si>
  <si>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</si>
  <si>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</si>
  <si>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</si>
  <si>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</si>
  <si>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</si>
  <si>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</si>
  <si>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</si>
  <si>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</si>
  <si>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</si>
  <si>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</si>
  <si>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</si>
  <si>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</si>
  <si>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</si>
  <si>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</si>
  <si>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</si>
  <si>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</si>
  <si>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</si>
  <si>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</si>
  <si>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</si>
  <si>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</si>
  <si>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</si>
  <si>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</si>
  <si>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</si>
  <si>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</si>
  <si>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</si>
  <si>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</si>
  <si>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</si>
  <si>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</si>
  <si>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</si>
  <si>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</si>
  <si>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</si>
  <si>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</si>
  <si>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</si>
  <si>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</si>
  <si>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</si>
  <si>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</si>
  <si>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</si>
  <si>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</si>
  <si>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</si>
  <si>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</si>
  <si>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</si>
  <si>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</si>
  <si>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</si>
  <si>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</si>
  <si>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</si>
  <si>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</si>
  <si>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</si>
  <si>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</si>
  <si>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</si>
  <si>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</si>
  <si>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</si>
  <si>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</si>
  <si>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</si>
  <si>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</si>
  <si>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</si>
  <si>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</si>
  <si>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</si>
  <si>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</si>
  <si>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</si>
  <si>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</si>
  <si>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</si>
  <si>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</si>
  <si>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</si>
  <si>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</si>
  <si>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</si>
  <si>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</si>
  <si>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</si>
  <si>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</si>
  <si>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</si>
  <si>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</si>
  <si>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</si>
  <si>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</si>
  <si>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</si>
  <si>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</si>
  <si>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</si>
  <si>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</si>
  <si>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</si>
  <si>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</si>
  <si>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</si>
  <si>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</si>
  <si>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</si>
  <si>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</si>
  <si>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</si>
  <si>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</si>
  <si>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</si>
  <si>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</si>
  <si>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</si>
  <si>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</si>
  <si>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</si>
  <si>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</si>
  <si>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</si>
  <si>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</si>
  <si>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</si>
  <si>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</si>
  <si>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</si>
  <si>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</si>
  <si>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</si>
  <si>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</si>
  <si>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</si>
  <si>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</si>
  <si>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</si>
  <si>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</si>
  <si>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</si>
  <si>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</si>
  <si>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</si>
  <si>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</si>
  <si>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</si>
  <si>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</si>
  <si>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</si>
  <si>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</si>
  <si>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</si>
  <si>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</si>
  <si>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</si>
  <si>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</si>
  <si>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</si>
  <si>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</si>
  <si>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</si>
  <si>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</si>
  <si>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</si>
  <si>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</si>
  <si>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</si>
  <si>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</si>
  <si>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</si>
  <si>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</si>
  <si>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</si>
  <si>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</si>
  <si>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</si>
  <si>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</si>
  <si>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</si>
  <si>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</si>
  <si>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</si>
  <si>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</si>
  <si>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</si>
  <si>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</si>
  <si>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</si>
  <si>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</si>
  <si>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</si>
  <si>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</si>
  <si>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</si>
  <si>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</si>
  <si>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</si>
  <si>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</si>
  <si>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</si>
  <si>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</si>
  <si>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</si>
  <si>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</si>
  <si>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</si>
  <si>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</si>
  <si>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</si>
  <si>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</si>
  <si>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</si>
  <si>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</si>
  <si>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</si>
  <si>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</si>
  <si>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</si>
  <si>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</si>
  <si>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</si>
  <si>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</si>
  <si>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</si>
  <si>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</si>
  <si>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</si>
  <si>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</si>
  <si>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</si>
  <si>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</si>
  <si>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</si>
  <si>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</si>
  <si>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</si>
  <si>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</si>
  <si>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</si>
  <si>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</si>
  <si>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</si>
  <si>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</si>
  <si>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</si>
  <si>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</si>
  <si>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</si>
  <si>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</si>
  <si>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</si>
  <si>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</si>
  <si>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</si>
  <si>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</si>
  <si>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</si>
  <si>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</si>
  <si>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</si>
  <si>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</si>
  <si>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</si>
  <si>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</si>
  <si>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</si>
  <si>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</si>
  <si>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</si>
  <si>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</si>
  <si>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</si>
  <si>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</si>
  <si>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</si>
  <si>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</si>
  <si>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</si>
  <si>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</si>
  <si>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</si>
  <si>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</si>
  <si>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</si>
  <si>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</si>
  <si>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</si>
  <si>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</si>
  <si>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</si>
  <si>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</si>
  <si>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</si>
  <si>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</si>
  <si>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</si>
  <si>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</si>
  <si>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</si>
  <si>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</si>
  <si>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</si>
  <si>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</si>
  <si>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</si>
  <si>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</si>
  <si>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</si>
  <si>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</si>
  <si>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</si>
  <si>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</si>
  <si>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</si>
  <si>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</si>
  <si>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</si>
  <si>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</si>
  <si>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</si>
  <si>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</si>
  <si>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</si>
  <si>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</si>
  <si>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</si>
  <si>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</si>
  <si>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</si>
  <si>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</si>
  <si>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</si>
  <si>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</si>
  <si>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</si>
  <si>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</si>
  <si>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</si>
  <si>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</si>
  <si>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</si>
  <si>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</si>
  <si>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</si>
  <si>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</si>
  <si>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</si>
  <si>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</si>
  <si>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</si>
  <si>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</si>
  <si>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</si>
  <si>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</si>
  <si>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</si>
  <si>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</si>
  <si>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</si>
  <si>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</si>
  <si>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</si>
  <si>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</si>
  <si>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</si>
  <si>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</si>
  <si>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</si>
  <si>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</si>
  <si>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</si>
  <si>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</si>
  <si>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</si>
  <si>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</si>
  <si>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</si>
  <si>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</si>
  <si>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</si>
  <si>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</si>
  <si>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</si>
  <si>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</si>
  <si>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</si>
  <si>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</si>
  <si>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</si>
  <si>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</si>
  <si>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</si>
  <si>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</si>
  <si>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</si>
  <si>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</si>
  <si>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</si>
  <si>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</si>
  <si>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</si>
  <si>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</si>
  <si>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</si>
  <si>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</si>
  <si>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</si>
  <si>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</si>
  <si>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</si>
  <si>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</si>
  <si>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</si>
  <si>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</si>
  <si>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</si>
  <si>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</si>
  <si>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</si>
  <si>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</si>
  <si>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</si>
  <si>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</si>
  <si>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</si>
  <si>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</si>
  <si>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</si>
  <si>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</si>
  <si>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</si>
  <si>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</si>
  <si>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</si>
  <si>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</si>
  <si>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</si>
  <si>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</si>
  <si>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</si>
  <si>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</si>
  <si>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</si>
  <si>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</si>
  <si>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</si>
  <si>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</si>
  <si>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</si>
  <si>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</si>
  <si>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</si>
  <si>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</si>
  <si>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</si>
  <si>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</si>
  <si>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</si>
  <si>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</si>
  <si>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</si>
  <si>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</si>
  <si>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</si>
  <si>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</si>
  <si>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</si>
  <si>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</si>
  <si>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</si>
  <si>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</si>
  <si>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</si>
  <si>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</si>
  <si>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</si>
  <si>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</si>
  <si>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</si>
  <si>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</si>
  <si>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</si>
  <si>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</si>
  <si>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</si>
  <si>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</si>
  <si>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</si>
  <si>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</si>
  <si>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</si>
  <si>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</si>
  <si>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</si>
  <si>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</si>
  <si>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</si>
  <si>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</si>
  <si>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</si>
  <si>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</si>
  <si>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</si>
  <si>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</si>
  <si>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</si>
  <si>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</si>
  <si>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</si>
  <si>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</si>
  <si>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</si>
  <si>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</si>
  <si>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</si>
  <si>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</si>
  <si>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</si>
  <si>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</si>
  <si>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</si>
  <si>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</si>
  <si>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</si>
  <si>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</si>
  <si>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</si>
  <si>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</si>
  <si>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</si>
  <si>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</si>
  <si>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</si>
  <si>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</si>
  <si>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</si>
  <si>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</si>
  <si>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</si>
  <si>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</si>
  <si>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</si>
  <si>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</si>
  <si>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</si>
  <si>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</si>
  <si>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</si>
  <si>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</si>
  <si>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</si>
  <si>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</si>
  <si>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</si>
  <si>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</si>
  <si>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</si>
  <si>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</si>
  <si>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</si>
  <si>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</si>
  <si>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</si>
  <si>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</si>
  <si>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</si>
  <si>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</si>
  <si>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</si>
  <si>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</si>
  <si>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</si>
  <si>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</si>
  <si>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</si>
  <si>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</si>
  <si>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</si>
  <si>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</si>
  <si>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</si>
  <si>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</si>
  <si>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</si>
  <si>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</si>
  <si>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</si>
  <si>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</si>
  <si>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</si>
  <si>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</si>
  <si>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</si>
  <si>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</si>
  <si>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</si>
  <si>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</si>
  <si>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</si>
  <si>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</si>
  <si>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</si>
  <si>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</si>
  <si>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</si>
  <si>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</si>
  <si>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</si>
  <si>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</si>
  <si>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</si>
  <si>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</si>
  <si>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</si>
  <si>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</si>
  <si>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</si>
  <si>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</si>
  <si>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</si>
  <si>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</si>
  <si>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</si>
  <si>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</si>
  <si>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</si>
  <si>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</si>
  <si>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</si>
  <si>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</si>
  <si>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</si>
  <si>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</si>
  <si>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</si>
  <si>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</si>
  <si>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</si>
  <si>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</si>
  <si>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</si>
  <si>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</si>
  <si>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</si>
  <si>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</si>
  <si>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</si>
  <si>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</si>
  <si>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</si>
  <si>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</si>
  <si>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</si>
  <si>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</si>
  <si>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</si>
  <si>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</si>
  <si>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</si>
  <si>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</si>
  <si>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</si>
  <si>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</si>
  <si>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</si>
  <si>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</si>
  <si>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</si>
  <si>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</si>
  <si>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</si>
  <si>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</si>
  <si>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</si>
  <si>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</si>
  <si>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</si>
  <si>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</si>
  <si>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</si>
  <si>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</si>
  <si>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</si>
  <si>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</si>
  <si>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</si>
  <si>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</si>
  <si>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</si>
  <si>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</si>
  <si>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</si>
  <si>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</si>
  <si>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</si>
  <si>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</si>
  <si>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</si>
  <si>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</si>
  <si>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</si>
  <si>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</si>
  <si>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</si>
  <si>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</si>
  <si>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</si>
  <si>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</si>
  <si>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</si>
  <si>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</si>
  <si>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</si>
  <si>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</si>
  <si>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</si>
  <si>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</si>
  <si>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</si>
  <si>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</si>
  <si>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</si>
  <si>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</si>
  <si>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</si>
  <si>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</si>
  <si>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</si>
  <si>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</si>
  <si>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</si>
  <si>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</si>
  <si>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</si>
  <si>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</si>
  <si>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</si>
  <si>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</si>
  <si>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</si>
  <si>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</si>
  <si>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</si>
  <si>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</si>
  <si>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</si>
  <si>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</si>
  <si>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</si>
  <si>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</si>
  <si>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</si>
  <si>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</si>
  <si>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</si>
  <si>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</si>
  <si>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</si>
  <si>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</si>
  <si>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</si>
  <si>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</si>
  <si>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</si>
  <si>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</si>
  <si>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</si>
  <si>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</si>
  <si>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</si>
  <si>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</si>
  <si>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</si>
  <si>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</si>
  <si>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</si>
  <si>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</si>
  <si>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</si>
  <si>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</si>
  <si>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</si>
  <si>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</si>
  <si>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</si>
  <si>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</si>
  <si>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</si>
  <si>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</si>
  <si>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</si>
  <si>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</si>
  <si>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</si>
  <si>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</si>
  <si>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</si>
  <si>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</si>
  <si>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</si>
  <si>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</si>
  <si>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</si>
  <si>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</si>
  <si>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</si>
  <si>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</si>
  <si>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</si>
  <si>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</si>
  <si>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</si>
  <si>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</si>
  <si>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</si>
  <si>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</si>
  <si>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</si>
  <si>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</si>
  <si>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</si>
  <si>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</si>
  <si>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</si>
  <si>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</si>
  <si>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</si>
  <si>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</si>
  <si>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</si>
  <si>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</si>
  <si>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</si>
  <si>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</si>
  <si>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</si>
  <si>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</si>
  <si>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</si>
  <si>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</si>
  <si>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</si>
  <si>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</si>
  <si>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</si>
  <si>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</si>
  <si>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</si>
  <si>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</si>
  <si>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</si>
  <si>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</si>
  <si>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</si>
  <si>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</si>
  <si>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</si>
  <si>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</si>
  <si>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</si>
  <si>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</si>
  <si>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</si>
  <si>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</si>
  <si>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</si>
  <si>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</si>
  <si>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</si>
  <si>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</si>
  <si>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</si>
  <si>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</si>
  <si>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</si>
  <si>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</si>
  <si>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</si>
  <si>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</si>
  <si>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</si>
  <si>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</si>
  <si>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</si>
  <si>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</si>
  <si>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</si>
  <si>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</si>
  <si>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</si>
  <si>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</si>
  <si>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</si>
  <si>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</si>
  <si>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</si>
  <si>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</si>
  <si>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</si>
  <si>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</si>
  <si>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</si>
  <si>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</si>
  <si>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</si>
  <si>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</si>
  <si>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</si>
  <si>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</si>
  <si>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</si>
  <si>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</si>
  <si>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</si>
  <si>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</si>
  <si>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</si>
  <si>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</si>
  <si>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</si>
  <si>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</si>
  <si>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</si>
  <si>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</si>
  <si>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</si>
  <si>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</si>
  <si>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</si>
  <si>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</si>
  <si>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</si>
  <si>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</si>
  <si>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</si>
  <si>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</si>
  <si>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</si>
  <si>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</si>
  <si>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</si>
  <si>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</si>
  <si>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</si>
  <si>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</si>
  <si>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</si>
  <si>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</si>
  <si>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</si>
  <si>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</si>
  <si>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</si>
  <si>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</si>
  <si>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</si>
  <si>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</si>
  <si>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</si>
  <si>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</si>
  <si>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</si>
  <si>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</si>
  <si>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</si>
  <si>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</si>
  <si>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</si>
  <si>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</si>
  <si>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</si>
  <si>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</si>
  <si>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</si>
  <si>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</si>
  <si>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</si>
  <si>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</si>
  <si>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</si>
  <si>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</si>
  <si>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</si>
  <si>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</si>
  <si>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</si>
  <si>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</si>
  <si>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</si>
  <si>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</si>
  <si>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</si>
  <si>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</si>
  <si>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</si>
  <si>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</si>
  <si>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</si>
  <si>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</si>
  <si>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</si>
  <si>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</si>
  <si>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</si>
  <si>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</si>
  <si>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</si>
  <si>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</si>
  <si>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</si>
  <si>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</si>
  <si>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</si>
  <si>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</si>
  <si>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</si>
  <si>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</si>
  <si>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</si>
  <si>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</si>
  <si>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</si>
  <si>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</si>
  <si>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</si>
  <si>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</si>
  <si>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</si>
  <si>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</si>
  <si>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</si>
  <si>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</si>
  <si>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</si>
  <si>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</si>
  <si>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</si>
  <si>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</si>
  <si>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</si>
  <si>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</si>
  <si>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</si>
  <si>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</si>
  <si>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</si>
  <si>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</si>
  <si>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</si>
  <si>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</si>
  <si>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</si>
  <si>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</si>
  <si>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</si>
  <si>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</si>
  <si>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</si>
  <si>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</si>
  <si>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</si>
  <si>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</si>
  <si>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</si>
  <si>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</si>
  <si>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</si>
  <si>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</si>
  <si>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</si>
  <si>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</si>
  <si>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</si>
  <si>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</si>
  <si>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</si>
  <si>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</si>
  <si>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</si>
  <si>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</si>
  <si>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</si>
  <si>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</si>
  <si>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</si>
  <si>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</si>
  <si>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</si>
  <si>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</si>
  <si>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</si>
  <si>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</si>
  <si>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</si>
  <si>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</si>
  <si>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</si>
  <si>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</si>
  <si>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</si>
  <si>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</si>
  <si>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</si>
  <si>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</si>
  <si>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</si>
  <si>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</si>
  <si>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</si>
  <si>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</si>
  <si>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</si>
  <si>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</si>
  <si>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</si>
  <si>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</si>
  <si>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</si>
  <si>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</si>
  <si>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</si>
  <si>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</si>
  <si>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</si>
  <si>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</si>
  <si>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</si>
  <si>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</si>
  <si>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</si>
  <si>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</si>
  <si>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</si>
  <si>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</si>
  <si>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</si>
  <si>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</si>
  <si>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</si>
  <si>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</si>
  <si>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</si>
  <si>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</si>
  <si>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</si>
  <si>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</si>
  <si>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</si>
  <si>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</si>
  <si>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</si>
  <si>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</si>
  <si>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</si>
  <si>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</si>
  <si>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</si>
  <si>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</si>
  <si>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</si>
  <si>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</si>
  <si>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</si>
  <si>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</si>
  <si>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</si>
  <si>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</si>
  <si>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</si>
  <si>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</si>
  <si>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</si>
  <si>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</si>
  <si>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</si>
  <si>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</si>
  <si>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</si>
  <si>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</si>
  <si>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</si>
  <si>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</si>
  <si>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</si>
  <si>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</si>
  <si>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</si>
  <si>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</si>
  <si>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</si>
  <si>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</si>
  <si>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</si>
  <si>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</si>
  <si>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</si>
  <si>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</si>
  <si>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</si>
  <si>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</si>
  <si>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</si>
  <si>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</si>
  <si>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</si>
  <si>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</si>
  <si>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</si>
  <si>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</si>
  <si>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</si>
  <si>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</si>
  <si>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</si>
  <si>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</si>
  <si>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</si>
  <si>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</si>
  <si>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</si>
  <si>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</si>
  <si>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</si>
  <si>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</si>
  <si>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</si>
  <si>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</si>
  <si>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</si>
  <si>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</si>
  <si>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</si>
  <si>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</si>
  <si>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</si>
  <si>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</si>
  <si>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</si>
  <si>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</si>
  <si>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</si>
  <si>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</si>
  <si>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</si>
  <si>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</si>
  <si>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</si>
  <si>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</si>
  <si>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</si>
  <si>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</si>
  <si>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</si>
  <si>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</si>
  <si>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</si>
  <si>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</si>
  <si>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</si>
  <si>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</si>
  <si>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</si>
  <si>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</si>
  <si>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</si>
  <si>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</si>
  <si>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</si>
  <si>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</si>
  <si>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</si>
  <si>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</si>
  <si>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</si>
  <si>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</si>
  <si>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</si>
  <si>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</si>
  <si>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</si>
  <si>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</si>
  <si>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</si>
  <si>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</si>
  <si>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</si>
  <si>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</si>
  <si>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</si>
  <si>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</si>
  <si>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</si>
  <si>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</si>
  <si>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</si>
  <si>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</si>
  <si>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</si>
  <si>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</si>
  <si>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</si>
  <si>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</si>
  <si>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</si>
  <si>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</si>
  <si>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</si>
  <si>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</si>
  <si>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</si>
  <si>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</si>
  <si>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</si>
  <si>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</si>
  <si>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</si>
  <si>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</si>
  <si>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</si>
  <si>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</si>
  <si>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</si>
  <si>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</si>
  <si>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</si>
  <si>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</si>
  <si>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</si>
  <si>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</si>
  <si>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</si>
  <si>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</si>
  <si>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</si>
  <si>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</si>
  <si>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</si>
  <si>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</si>
  <si>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</si>
  <si>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</si>
  <si>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</si>
  <si>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</si>
  <si>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</si>
  <si>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</si>
  <si>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</si>
  <si>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</si>
  <si>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</si>
  <si>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</si>
  <si>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</si>
  <si>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</si>
  <si>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</si>
  <si>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</si>
  <si>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</si>
  <si>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</si>
  <si>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</si>
  <si>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</si>
  <si>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</si>
  <si>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</si>
  <si>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</si>
  <si>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</si>
  <si>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</si>
  <si>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</si>
  <si>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</si>
  <si>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</si>
  <si>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</si>
  <si>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</si>
  <si>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</si>
  <si>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</si>
  <si>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</si>
  <si>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</si>
  <si>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</si>
  <si>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</si>
  <si>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</si>
  <si>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</si>
  <si>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</si>
  <si>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</si>
  <si>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</si>
  <si>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</si>
  <si>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</si>
  <si>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</si>
  <si>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</si>
  <si>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</si>
  <si>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</si>
  <si>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</si>
  <si>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</si>
  <si>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</si>
  <si>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</si>
  <si>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</si>
  <si>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</si>
  <si>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</si>
  <si>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</si>
  <si>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</si>
  <si>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</si>
  <si>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</si>
  <si>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</si>
  <si>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</si>
  <si>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</si>
  <si>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</si>
  <si>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</si>
  <si>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</si>
  <si>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</si>
  <si>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</si>
  <si>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</si>
  <si>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</si>
  <si>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</si>
  <si>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</si>
  <si>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</si>
  <si>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</si>
  <si>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</si>
  <si>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</si>
  <si>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</si>
  <si>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</si>
  <si>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</si>
  <si>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</si>
  <si>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</si>
  <si>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</si>
  <si>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</si>
  <si>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</si>
  <si>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</si>
  <si>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</si>
  <si>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</si>
  <si>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</si>
  <si>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</si>
  <si>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</si>
  <si>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</si>
  <si>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</si>
  <si>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</si>
  <si>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</si>
  <si>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</si>
  <si>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</si>
  <si>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</si>
  <si>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</si>
  <si>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</si>
  <si>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</si>
  <si>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</si>
  <si>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</si>
  <si>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</si>
  <si>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</si>
  <si>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</si>
  <si>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</si>
  <si>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</si>
  <si>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</si>
  <si>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</si>
  <si>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</si>
  <si>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</si>
  <si>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</si>
  <si>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</si>
  <si>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</si>
  <si>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</si>
  <si>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</si>
  <si>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</si>
  <si>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</si>
  <si>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</si>
  <si>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</si>
  <si>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</si>
  <si>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</si>
  <si>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</si>
  <si>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</si>
  <si>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</si>
  <si>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</si>
  <si>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</si>
  <si>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</si>
  <si>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</si>
  <si>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</si>
  <si>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</si>
  <si>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</si>
  <si>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</si>
  <si>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</si>
  <si>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</si>
  <si>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</si>
  <si>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</si>
  <si>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</si>
  <si>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</si>
  <si>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</si>
  <si>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</si>
  <si>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</si>
  <si>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</si>
  <si>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</si>
  <si>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</si>
  <si>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</si>
  <si>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</si>
  <si>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</si>
  <si>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</si>
  <si>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</si>
  <si>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</si>
  <si>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</si>
  <si>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</si>
  <si>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</si>
  <si>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</si>
  <si>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</si>
  <si>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</si>
  <si>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</si>
  <si>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</si>
  <si>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</si>
  <si>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</si>
  <si>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</si>
  <si>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</si>
  <si>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</si>
  <si>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</si>
  <si>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</si>
  <si>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</si>
  <si>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</si>
  <si>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</si>
  <si>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</si>
  <si>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</si>
  <si>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</si>
  <si>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</si>
  <si>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</si>
  <si>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</si>
  <si>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</si>
  <si>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</si>
  <si>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</si>
  <si>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</si>
  <si>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</si>
  <si>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</si>
  <si>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</si>
  <si>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</si>
  <si>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</si>
  <si>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</si>
  <si>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</si>
  <si>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</si>
  <si>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</si>
  <si>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</si>
  <si>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</si>
  <si>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</si>
  <si>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</si>
  <si>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</si>
  <si>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</si>
  <si>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</si>
  <si>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</si>
  <si>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</si>
  <si>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</si>
  <si>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</si>
  <si>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</si>
  <si>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</si>
  <si>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</si>
  <si>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</si>
  <si>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</si>
  <si>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</si>
  <si>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</si>
  <si>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</si>
  <si>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</si>
  <si>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</si>
  <si>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</si>
  <si>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</si>
  <si>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</si>
  <si>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</si>
  <si>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</si>
  <si>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</si>
  <si>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</si>
  <si>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</si>
  <si>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</si>
  <si>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</si>
  <si>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</si>
  <si>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</si>
  <si>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</si>
  <si>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</si>
  <si>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</si>
  <si>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</si>
  <si>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</si>
  <si>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</si>
  <si>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</si>
  <si>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</si>
  <si>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</si>
  <si>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</si>
  <si>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</si>
  <si>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</si>
  <si>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</si>
  <si>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</si>
  <si>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</si>
  <si>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</si>
  <si>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</si>
  <si>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</si>
  <si>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</si>
  <si>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</si>
  <si>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</si>
  <si>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</si>
  <si>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</si>
  <si>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</si>
  <si>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</si>
  <si>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</si>
  <si>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</si>
  <si>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</si>
  <si>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</si>
  <si>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</si>
  <si>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</si>
  <si>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</si>
  <si>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</si>
  <si>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</si>
  <si>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</si>
  <si>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</si>
  <si>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</si>
  <si>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</si>
  <si>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</si>
  <si>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</si>
  <si>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</si>
  <si>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</si>
  <si>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</si>
  <si>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</si>
  <si>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</si>
  <si>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</si>
  <si>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</si>
  <si>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</si>
  <si>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</si>
  <si>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</si>
  <si>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</si>
  <si>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</si>
  <si>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</si>
  <si>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</si>
  <si>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</si>
  <si>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</si>
  <si>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</si>
  <si>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</si>
  <si>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</si>
  <si>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</si>
  <si>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</si>
  <si>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</si>
  <si>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</si>
  <si>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</si>
  <si>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</si>
  <si>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</si>
  <si>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</si>
  <si>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</si>
  <si>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</si>
  <si>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</si>
  <si>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</si>
  <si>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</si>
  <si>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</si>
  <si>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</si>
  <si>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</si>
  <si>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</si>
  <si>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</si>
  <si>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</si>
  <si>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</si>
  <si>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</si>
  <si>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</si>
  <si>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</si>
  <si>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</si>
  <si>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</si>
  <si>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</si>
  <si>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</si>
  <si>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</si>
  <si>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</si>
  <si>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</si>
  <si>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</si>
  <si>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</si>
  <si>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</si>
  <si>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</si>
  <si>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</si>
  <si>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</si>
  <si>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</si>
  <si>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</si>
  <si>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</si>
  <si>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</si>
  <si>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</si>
  <si>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</si>
  <si>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</si>
  <si>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</si>
  <si>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</si>
  <si>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</si>
  <si>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</si>
  <si>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</si>
  <si>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</si>
  <si>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</si>
  <si>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</si>
  <si>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</si>
  <si>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</si>
  <si>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</si>
  <si>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</si>
  <si>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</si>
  <si>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</si>
  <si>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</si>
  <si>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</si>
  <si>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</si>
  <si>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</si>
  <si>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</si>
  <si>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</si>
  <si>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</si>
  <si>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</si>
  <si>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</si>
  <si>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</si>
  <si>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</si>
  <si>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</si>
  <si>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</si>
  <si>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</si>
  <si>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</si>
  <si>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</si>
  <si>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</si>
  <si>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</si>
  <si>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</si>
  <si>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</si>
  <si>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</si>
  <si>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</si>
  <si>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</si>
  <si>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</si>
  <si>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</si>
  <si>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</si>
  <si>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</si>
  <si>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</si>
  <si>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</si>
  <si>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</si>
  <si>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</si>
  <si>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</si>
  <si>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</si>
  <si>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</si>
  <si>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</si>
  <si>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</si>
  <si>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</si>
  <si>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</si>
  <si>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</si>
  <si>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</si>
  <si>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</si>
  <si>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</si>
  <si>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</si>
  <si>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</si>
  <si>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</si>
  <si>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</si>
  <si>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</si>
  <si>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</si>
  <si>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</si>
  <si>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</si>
  <si>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</si>
  <si>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</si>
  <si>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</si>
  <si>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</si>
  <si>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</si>
  <si>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</si>
  <si>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</si>
  <si>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</si>
  <si>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</si>
  <si>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</si>
  <si>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</si>
  <si>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</si>
  <si>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</si>
  <si>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</si>
  <si>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</si>
  <si>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</si>
  <si>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</si>
  <si>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</si>
  <si>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</si>
  <si>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</si>
  <si>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</si>
  <si>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</si>
  <si>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</si>
  <si>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</si>
  <si>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</si>
  <si>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</si>
  <si>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</si>
  <si>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</si>
  <si>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</si>
  <si>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</si>
  <si>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</si>
  <si>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</si>
  <si>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</si>
  <si>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</si>
  <si>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</si>
  <si>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</si>
  <si>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</si>
  <si>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</si>
  <si>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</si>
  <si>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</si>
  <si>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</si>
  <si>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</si>
  <si>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</si>
  <si>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</si>
  <si>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</si>
  <si>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</si>
  <si>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</si>
  <si>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</si>
  <si>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</si>
  <si>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</si>
  <si>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</si>
  <si>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</si>
  <si>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</si>
  <si>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</si>
  <si>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</si>
  <si>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</si>
  <si>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</si>
  <si>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</si>
  <si>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</si>
  <si>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</si>
  <si>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</si>
  <si>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</si>
  <si>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</si>
  <si>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</si>
  <si>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</si>
  <si>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</si>
  <si>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</si>
  <si>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</si>
  <si>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</si>
  <si>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</si>
  <si>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</si>
  <si>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</si>
  <si>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</si>
  <si>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</si>
  <si>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</si>
  <si>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</si>
  <si>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</si>
  <si>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</si>
  <si>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</si>
  <si>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</si>
  <si>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</si>
  <si>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</si>
  <si>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</si>
  <si>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</si>
  <si>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</si>
  <si>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</si>
  <si>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</si>
  <si>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</si>
  <si>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</si>
  <si>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</si>
  <si>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</si>
  <si>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</si>
  <si>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</si>
  <si>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</si>
  <si>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</si>
  <si>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</si>
  <si>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</si>
  <si>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</si>
  <si>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</si>
  <si>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</si>
  <si>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</si>
  <si>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</si>
  <si>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</si>
  <si>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</si>
  <si>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</si>
  <si>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</si>
  <si>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</si>
  <si>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</si>
  <si>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</si>
  <si>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</si>
  <si>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</si>
  <si>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</si>
  <si>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</si>
  <si>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</si>
  <si>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</si>
  <si>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</si>
  <si>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</si>
  <si>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</si>
  <si>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</si>
  <si>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</si>
  <si>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</si>
  <si>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</si>
  <si>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</si>
  <si>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</si>
  <si>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</si>
  <si>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</si>
  <si>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</si>
  <si>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</si>
  <si>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</si>
  <si>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</si>
  <si>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</si>
  <si>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</si>
  <si>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</si>
  <si>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</si>
  <si>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</si>
  <si>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</si>
  <si>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</si>
  <si>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</si>
  <si>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</si>
  <si>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</si>
  <si>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</si>
  <si>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</si>
  <si>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</si>
  <si>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</si>
  <si>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</si>
  <si>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</si>
  <si>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</si>
  <si>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</si>
  <si>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</si>
  <si>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</si>
  <si>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</si>
  <si>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</si>
  <si>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</si>
  <si>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</si>
  <si>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</si>
  <si>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</si>
  <si>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</si>
  <si>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</si>
  <si>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</si>
  <si>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</si>
  <si>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</si>
  <si>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</si>
  <si>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</si>
  <si>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</si>
  <si>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</si>
  <si>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</si>
  <si>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</si>
  <si>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</si>
  <si>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</si>
  <si>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</si>
  <si>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</si>
  <si>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</si>
  <si>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</si>
  <si>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</si>
  <si>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</si>
  <si>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</si>
  <si>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</si>
  <si>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</si>
  <si>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</si>
  <si>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</si>
  <si>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</si>
  <si>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</si>
  <si>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</si>
  <si>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</si>
  <si>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</si>
  <si>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</si>
  <si>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</si>
  <si>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</si>
  <si>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</si>
  <si>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</si>
  <si>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</si>
  <si>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</si>
  <si>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</si>
  <si>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</si>
  <si>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</si>
  <si>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</si>
  <si>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</si>
  <si>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</si>
  <si>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</si>
  <si>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</si>
  <si>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</si>
  <si>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</si>
  <si>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Williamson</t>
  </si>
  <si>
    <t>700 N. 10th Street</t>
  </si>
  <si>
    <t xml:space="preserve">Herrin </t>
  </si>
  <si>
    <t>terry.ryker@herrinschools.org</t>
  </si>
  <si>
    <t>X</t>
  </si>
  <si>
    <t>Dr. Terry Ryker</t>
  </si>
  <si>
    <t>618-988-8024</t>
  </si>
  <si>
    <t>Kemper CPA Group, LLP</t>
  </si>
  <si>
    <t>Kimberly Walker, CPA</t>
  </si>
  <si>
    <t>3401 Professional Park Drive, PO BOX 129</t>
  </si>
  <si>
    <t>Marion</t>
  </si>
  <si>
    <t>IL</t>
  </si>
  <si>
    <t>618-997-3055</t>
  </si>
  <si>
    <t>618-997-5121</t>
  </si>
  <si>
    <t>066-003998</t>
  </si>
  <si>
    <t>kwalker@kcpag.com</t>
  </si>
  <si>
    <t>TOTAL U.S. DEPARTMENT OF AGRICULTURE</t>
  </si>
  <si>
    <t>U.S. DEPARTMENT OF EDUCATION</t>
  </si>
  <si>
    <t>N/A</t>
  </si>
  <si>
    <t>84.010A</t>
  </si>
  <si>
    <t>618-942-6998</t>
  </si>
  <si>
    <t>GO Refunding Bonds, Series 2011A</t>
  </si>
  <si>
    <t>General Obligation School Bonds, Series 2013</t>
  </si>
  <si>
    <t>GO Refunding Bonds, Series 2015</t>
  </si>
  <si>
    <t>General Obligation School Bonds, Series 2016</t>
  </si>
  <si>
    <t>Lease Purchase Agreement</t>
  </si>
  <si>
    <t>Ed-Instruction-Data Processing</t>
  </si>
  <si>
    <t>PowerSchool</t>
  </si>
  <si>
    <t>10-2300-300</t>
  </si>
  <si>
    <t>Kemper CPA Group LLP</t>
  </si>
  <si>
    <t>Ed-Board of Education Services-Professional &amp; Technical Services</t>
  </si>
  <si>
    <t>Blackboard Inc</t>
  </si>
  <si>
    <t>Works International Inc.</t>
  </si>
  <si>
    <t>ROE #21</t>
  </si>
  <si>
    <t>Ed-Board of Education Services-Audit/Financial Services</t>
  </si>
  <si>
    <t>Environmental Consultants LLC</t>
  </si>
  <si>
    <t>Ed-Board of Education Services-Insurance (Other than Employee Benefit)</t>
  </si>
  <si>
    <t>NSN Employer Services Inc</t>
  </si>
  <si>
    <t>Ed-Executive Administrative Services-Communication</t>
  </si>
  <si>
    <t>Clearwave Communications</t>
  </si>
  <si>
    <t>Ed-Office of Principal Services-Communication</t>
  </si>
  <si>
    <t>Ed-Fiscal Services-Data Processing</t>
  </si>
  <si>
    <t>10-2520-300</t>
  </si>
  <si>
    <t>Specialized Data Systems</t>
  </si>
  <si>
    <t>Ed-Fiscal Services-Insurance (Other than Employee Benefit)</t>
  </si>
  <si>
    <t>Yewell Insurance Agency</t>
  </si>
  <si>
    <t>20-2540-300</t>
  </si>
  <si>
    <t>Republic Services</t>
  </si>
  <si>
    <t>Joe Garegnani Concrete</t>
  </si>
  <si>
    <t>O&amp;M-Operations and maint of Plant Services-Sanitation Services</t>
  </si>
  <si>
    <t>O&amp;M-Operations and maint of Plant Services-Property Services</t>
  </si>
  <si>
    <t>Plantscape</t>
  </si>
  <si>
    <t>Pre Strike</t>
  </si>
  <si>
    <t>Cintas</t>
  </si>
  <si>
    <t>Custom Powerwashing</t>
  </si>
  <si>
    <t>L&amp;K Fire Protection</t>
  </si>
  <si>
    <t>Johnson Controls</t>
  </si>
  <si>
    <t>Skelcher-Milani Septic Service</t>
  </si>
  <si>
    <t>Thyssenkrupp Elevator</t>
  </si>
  <si>
    <t>Corbell Telephone</t>
  </si>
  <si>
    <t>Vaughns Roofing</t>
  </si>
  <si>
    <t>TruGreen</t>
  </si>
  <si>
    <t>HSG Mechanical</t>
  </si>
  <si>
    <t>Trans-Pupil Transportation Services-Pupil Transportation</t>
  </si>
  <si>
    <t>40-2550-300</t>
  </si>
  <si>
    <t>Durham School Services</t>
  </si>
  <si>
    <t>Tort-Board of Ed Services-Insurance</t>
  </si>
  <si>
    <t>80-2300-300</t>
  </si>
  <si>
    <t>IL School District Agency</t>
  </si>
  <si>
    <t>Sheffer Insurance Agency</t>
  </si>
  <si>
    <t>Workers Compenstaion</t>
  </si>
  <si>
    <t>Tort-Board of Ed Services-Risk Mgmt</t>
  </si>
  <si>
    <t>Herrin Police Department</t>
  </si>
  <si>
    <t>Village of Energy</t>
  </si>
  <si>
    <t>Williamson Co Ambulance</t>
  </si>
  <si>
    <t>Earth Networks</t>
  </si>
  <si>
    <t>Illinois Association of School Boards</t>
  </si>
  <si>
    <t>Tort-Board of Ed Services-Legal</t>
  </si>
  <si>
    <t>Armstrong and Green</t>
  </si>
  <si>
    <t>Miller, Tracy, Braun, Fund &amp; Miller Ltd</t>
  </si>
  <si>
    <t>EGYPTIAN BENEFIT TRUST</t>
  </si>
  <si>
    <t>ILLINOIS ENERGY CONSORTIUM</t>
  </si>
  <si>
    <t>WCSIT</t>
  </si>
  <si>
    <t>SEE BELOW</t>
  </si>
  <si>
    <t>Special Education Cooperative (WCSPED):  Herrin CUSD #4, Marion CUSD #2, Carterville CUSD #5, Johnston City CUSD #1, Crab Orchard CUSD #3</t>
  </si>
  <si>
    <t>Vocational Cooperative (WCRVS):  Herrin CUSD #4, Marion CUSD #2, Carterville CUSD #5, Johnston City CUSD #1, Crab Orchard CUSD #3</t>
  </si>
  <si>
    <t xml:space="preserve">    Passed through the Illinois State Board of Education</t>
  </si>
  <si>
    <t>19-4220-00</t>
  </si>
  <si>
    <t>18-4220-00</t>
  </si>
  <si>
    <t>19-4210-00</t>
  </si>
  <si>
    <t>18-4210-00</t>
  </si>
  <si>
    <t>19-4300-00</t>
  </si>
  <si>
    <t>18-4300-00</t>
  </si>
  <si>
    <t xml:space="preserve">      Title II - Teacher Quality</t>
  </si>
  <si>
    <t>84.367A</t>
  </si>
  <si>
    <t>19-4932-00</t>
  </si>
  <si>
    <t>18-4932-00</t>
  </si>
  <si>
    <t>84.424A</t>
  </si>
  <si>
    <t xml:space="preserve">      Medicaid Matching - Administrative Outreach</t>
  </si>
  <si>
    <t>19-4620-00</t>
  </si>
  <si>
    <t>U.S. DEPARTMENT OF EDUCATION (Concluded)</t>
  </si>
  <si>
    <t>84.027A</t>
  </si>
  <si>
    <t>TOTAL U.S. DEPARTMENT OF EDUCATION</t>
  </si>
  <si>
    <t>U.S. DEPARTMENT OF HEALTH AND HUMAN SERVICES</t>
  </si>
  <si>
    <t>NATIONAL ENDOWMENT FOR THE HUMANITIES</t>
  </si>
  <si>
    <t>TOTAL FEDERAL AWARDS</t>
  </si>
  <si>
    <t>Page 10 - Educational Fund Acct # 1690 - Other Food Service - Other Food Service Revenue ($1,163)</t>
  </si>
  <si>
    <t>Page 11 -Transportation Fund Acct # 1999 - Other Local Revenue - Reimbursements ($5,978)</t>
  </si>
  <si>
    <t>Page 12 - Educational Fund Acct # 3999 - Other Restricted Revenue from State Sources - State Library per Capita ($1,751) - Health Communities Grant ($9,652)</t>
  </si>
  <si>
    <t>PSAT Reimbursement - ($4,186)</t>
  </si>
  <si>
    <t>Page 15 - Educational Fund Acct # 2190 - Other Support Services - Pupils - STARS Program Salaries ($39,192)</t>
  </si>
  <si>
    <t>Page 15 - Educational Fund Acct # 2190 - Other Support Services - Pupils - STARS Program Benefits ($70)</t>
  </si>
  <si>
    <t>Page 15 - Educational Fund Acct # 2190 - Other Support Services - Pupils - STARS Program Supplies &amp; Materials ($17,258)</t>
  </si>
  <si>
    <t>Page 15 - Educational Fund Acct # 2190 - Other Support Services - Pupils - STARS Program Capital Outlay ($912)</t>
  </si>
  <si>
    <t>Page 19 - IMRF Fund Acct # 2190 - Other Support Services - Pupils - STARS Program Benefits ($3,495)</t>
  </si>
  <si>
    <t>KEMPER CPA GROUP LLP</t>
  </si>
  <si>
    <t>Of the Long-Term Debt Outstanding in D.(c) above, $27,745,000 in bonds outstanding should be excluded from the legal debt margin calculation in accordance with State Statutes. This leaves a remaining balance of $36,230 to be included in the calculation that results in a legal debt margin of $23,338,906.</t>
  </si>
  <si>
    <t xml:space="preserve">      Title I - School Improvement &amp; Accountability</t>
  </si>
  <si>
    <t>19-4331-00</t>
  </si>
  <si>
    <t>Unmodified</t>
  </si>
  <si>
    <t>10.553 &amp; 10.555</t>
  </si>
  <si>
    <t>Child Nutrition Cluster</t>
  </si>
  <si>
    <t xml:space="preserve">The District is responsible for the design and implementation of programs and internal controls over receipts and disbursements to prevent and detect errors or fraud. A fundamental concept in a good system of internal controls is that of segregation of duties.          
</t>
  </si>
  <si>
    <t xml:space="preserve">Deficiencies in the design of internal control procedures over payroll disbursements due to a lack of segregation of duties were noted.         
</t>
  </si>
  <si>
    <t xml:space="preserve">Risk of loss or financial misstatement due to intentional or unintentional error.          
</t>
  </si>
  <si>
    <t xml:space="preserve">The District has limited resources to hire additional employees in order to properly segregate duties. However, procedures may not be properly designed and/or segregated for its current fiscal staff.          
</t>
  </si>
  <si>
    <t xml:space="preserve">The District should review the internal controls in place relative to its current fiscal employees. Consideration should be given to preparing a formal policy and procedures manual to specifically identify the duties to be performed by each employee. The basic premise is that no one employee should have access to all phases of a specific transaction.          
</t>
  </si>
  <si>
    <t xml:space="preserve">Management agrees with the finding.          
</t>
  </si>
  <si>
    <t>Repeated as Finding 2019-001</t>
  </si>
  <si>
    <t>The District's internal controls are weak due to</t>
  </si>
  <si>
    <t>a lack of segregation of duties between control</t>
  </si>
  <si>
    <t>84.173A</t>
  </si>
  <si>
    <t>Other Cooperative Agreement (WCPre-K):  Herrin CUSD #4, Marion CUSD #2, Carterville CUSD #5, Johnston City CUSD #1, Crab Orchard CUSD #3</t>
  </si>
  <si>
    <t>Page 10 - Educational Fund Acct # 1790 - Other District/School Activity Revenue - Various Other School Fees ($120,662)</t>
  </si>
  <si>
    <t>Page 11 -Education Fund Acct # 1999 - Other Local Revenue - E-Rate ($88,600) and Other ($1,873)</t>
  </si>
  <si>
    <t>Page 13 - Educational Fund Acct # 4399 - Title I-Other - Title I School Improvement &amp; Accountability ($56,603)</t>
  </si>
  <si>
    <t>Page 16 - Education Fund Acct # 2900 - Other Support Services - Homeless Supplies ($453)</t>
  </si>
  <si>
    <t>The accompanying notes are an integral part of these financial statements.</t>
  </si>
  <si>
    <t xml:space="preserve">  Passed through the Illinois State Board of Education</t>
  </si>
  <si>
    <t xml:space="preserve">    CHILD NUTRITION CLUSTER</t>
  </si>
  <si>
    <t xml:space="preserve">      SCHOOL BREAKFAST PROGRAM</t>
  </si>
  <si>
    <t xml:space="preserve">        School Breakfast Program (M)</t>
  </si>
  <si>
    <t xml:space="preserve">      NATIONAL SCHOOL LUNCH PROGRAM</t>
  </si>
  <si>
    <t xml:space="preserve">        National School Lunch Program (M)</t>
  </si>
  <si>
    <t xml:space="preserve">        Dept. of Defense Fresh Fruits &amp; Vegetables (M)</t>
  </si>
  <si>
    <t xml:space="preserve">      Subtotal - 10.555- NATIONAL SCHOOL LUNCH 
      PROGRAM</t>
  </si>
  <si>
    <t>U.S. DEPARTMENT OF AGRICULTURE</t>
  </si>
  <si>
    <t xml:space="preserve">      Subtotal - 10.553 - SCHOOL BREAKFAST PROGRAM</t>
  </si>
  <si>
    <t xml:space="preserve">    TITLE I GRANTS TO LOCAL EDUCATION AGENCIES</t>
  </si>
  <si>
    <t xml:space="preserve">      Title I - Low Income</t>
  </si>
  <si>
    <t xml:space="preserve">    Subtotal - 84.010A - TITLE I GRANTS TO LOCAL
    EDUCATION AGENCIES</t>
  </si>
  <si>
    <t xml:space="preserve">    IMPROVING TEACHER QUALITY STATE GRANTS</t>
  </si>
  <si>
    <t xml:space="preserve">    Subtotal - 84.367A - IMPROVING TEACHER
    QUALITY STATE GRANTS</t>
  </si>
  <si>
    <t xml:space="preserve">    STUDENT SUPPORT &amp; ACADEMIC ENRICHMENT
    PROGRAM</t>
  </si>
  <si>
    <t xml:space="preserve">  SPECIAL EDUCATION CLUSTER (IDEA)</t>
  </si>
  <si>
    <t>19-4625-00</t>
  </si>
  <si>
    <t>18-4625-00</t>
  </si>
  <si>
    <t xml:space="preserve">        Federal - Sp. Ed. - IDEA Room &amp; Board</t>
  </si>
  <si>
    <t xml:space="preserve">        Federal - Sp. Ed. - IDEA - Flow Through</t>
  </si>
  <si>
    <t xml:space="preserve">    Passed through the Illinois State Board of Education 
     and Williamson County Education Services</t>
  </si>
  <si>
    <t xml:space="preserve">    Subtotal - 84.027A - SPECIAL EDUCATION - GRANTS 
    TO STATES (IDEA, PART B)</t>
  </si>
  <si>
    <t xml:space="preserve">    Passed through the Illinois State Board of Education
      and Williamson County Education Services</t>
  </si>
  <si>
    <t xml:space="preserve">   SPECIAL EDUCATION - GRANTS TO STATES (IDEA, 
    PART B)</t>
  </si>
  <si>
    <t xml:space="preserve">   SPECIAL EDUCATION - PRESCHOOL GRANTS (IDEA 
    PRESCHOOL)</t>
  </si>
  <si>
    <t xml:space="preserve">        Federal - Sp. Ed. - Pre-School Flow Through</t>
  </si>
  <si>
    <t>19-4600-00</t>
  </si>
  <si>
    <t xml:space="preserve">  TOTAL SPECIAL EDUCATION CLUSTER (IDEA)</t>
  </si>
  <si>
    <t xml:space="preserve">  Passed through the Illinois Office of 
  the Secretary of State, Illinois State Library</t>
  </si>
  <si>
    <t xml:space="preserve">    GRANTS TO STATES</t>
  </si>
  <si>
    <t xml:space="preserve">      Back to Books Grant Program</t>
  </si>
  <si>
    <t xml:space="preserve">  Passed through the IL Dept of Healthcare &amp; Family 
  Services and Williamson County Education Services</t>
  </si>
  <si>
    <t xml:space="preserve">    MEDICAL ASSISTANCE PROGRAM</t>
  </si>
  <si>
    <r>
      <t xml:space="preserve">The following amounts were expended in the form of non-cash assistance by Tri-County Special Education Joint Agreement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</si>
  <si>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Herrin Community Unit School District #4 and is presented on the modified cash basis that demonstrates compliance with regulatory provisions prescribed by the Illinois State Board of Education, which is a comprehensive basis of accounting other than accounting principles generally accepted in the United States of America.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</si>
  <si>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Of the federal expenditures presented in the schedule, Herrin Community Unit School District #4</t>
    </r>
    <r>
      <rPr>
        <b/>
        <sz val="9"/>
        <rFont val="Calibri"/>
        <family val="2"/>
        <scheme val="minor"/>
      </rPr>
      <t xml:space="preserve"> </t>
    </r>
    <r>
      <rPr>
        <sz val="9"/>
        <rFont val="Calibri"/>
        <family val="2"/>
        <scheme val="minor"/>
      </rPr>
      <t>provided federal awards to subrecipients as follows:</t>
    </r>
  </si>
  <si>
    <t xml:space="preserve">        Commodities (Non-Cash) (M)</t>
  </si>
  <si>
    <t>The District's internal controls over payroll disbursements are weak due to a lack of segregation of duties.</t>
  </si>
  <si>
    <t>NONE</t>
  </si>
  <si>
    <t xml:space="preserve">procedures being performed over certain </t>
  </si>
  <si>
    <t>expenses.</t>
  </si>
  <si>
    <t>2018-001</t>
  </si>
  <si>
    <t>2018-002</t>
  </si>
  <si>
    <t>Our audit procedures identfied instances where</t>
  </si>
  <si>
    <t xml:space="preserve">internal controls over compliance failed to </t>
  </si>
  <si>
    <t>prevent or detect the following instances of</t>
  </si>
  <si>
    <t>noncompliance:  1)  The verification review was</t>
  </si>
  <si>
    <t>conducted by the determining official, and</t>
  </si>
  <si>
    <t xml:space="preserve">2) Two students were verified as reduced price, </t>
  </si>
  <si>
    <t>but were receiving free benefits.</t>
  </si>
  <si>
    <t>Not Repeated in FY2019</t>
  </si>
  <si>
    <t>Taxable GO Sch Refunding Limited Bonds, Series 2013A</t>
  </si>
  <si>
    <t>Tri-State Copy Machines</t>
  </si>
  <si>
    <t>US Bank Corp - Copy Machines</t>
  </si>
  <si>
    <t>#2 - See Management Letter issued to the District.
#23 - The District has prepared these financial statements using accounting practicies prescribed or permitted by the Illinois State Board of Education, which practices differ from accounting principles generally accepted in the United States of America. Also, the District prepares its financial statements on the modified cash basis of accounting, which is a comprehensive basis of accounting other than accounting principles generally accepted in the United States of America.  
The report was also qualified due to the omission of the OPEB disclosure.</t>
  </si>
  <si>
    <t>10-1000-300</t>
  </si>
  <si>
    <t>10-2400-300</t>
  </si>
  <si>
    <t>Herrin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</si>
</sst>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center"/>
      <protection locked="0"/>
    </xf>
    <xf numFmtId="179" fontId="57" fillId="0" borderId="0" xfId="3" applyNumberFormat="1" applyFont="1" applyBorder="1" applyAlignment="1" applyProtection="1">
      <alignment wrapText="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justify"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5" fillId="0" borderId="0" xfId="3" applyFont="1" applyAlignment="1" applyProtection="1">
      <alignment horizontal="left" vertical="center" wrapTex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51955</xdr:colOff>
          <xdr:row>1</xdr:row>
          <xdr:rowOff>34636</xdr:rowOff>
        </xdr:from>
        <xdr:to>
          <xdr:col>1</xdr:col>
          <xdr:colOff>962891</xdr:colOff>
          <xdr:row>5</xdr:row>
          <xdr:rowOff>72736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2138797</xdr:colOff>
          <xdr:row>1</xdr:row>
          <xdr:rowOff>60614</xdr:rowOff>
        </xdr:from>
        <xdr:to>
          <xdr:col>1</xdr:col>
          <xdr:colOff>3049733</xdr:colOff>
          <xdr:row>5</xdr:row>
          <xdr:rowOff>98714</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1073728</xdr:colOff>
          <xdr:row>1</xdr:row>
          <xdr:rowOff>51955</xdr:rowOff>
        </xdr:from>
        <xdr:to>
          <xdr:col>1</xdr:col>
          <xdr:colOff>1984664</xdr:colOff>
          <xdr:row>5</xdr:row>
          <xdr:rowOff>90055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odb1\Workpapers\%7b668C76D0-448F-41A0-8E18-3A75BE1CD7DE%7d\%7bC3E5D4AE-CF1C-47AA-96D4-6AC6B708ECD0%7d\%7bB21D651B-9E5C-4B4E-83A3-9F112824A8C4%7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1"/>
      <sheetName val=" SEFA-2"/>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Year Ending June 30, 2019</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package" Target="../embeddings/Microsoft_Excel_Worksheet.xlsx"/><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1" t="s">
        <v>405</v>
      </c>
      <c r="J1" s="1982"/>
      <c r="K1" s="1982"/>
      <c r="L1" s="1982"/>
      <c r="M1" s="1982"/>
      <c r="N1" s="1982"/>
      <c r="O1" s="1982"/>
      <c r="P1" s="1982"/>
      <c r="Q1" s="1982"/>
      <c r="R1" s="1982"/>
      <c r="S1" s="1982"/>
    </row>
    <row r="2" spans="1:28" ht="12" customHeight="1" x14ac:dyDescent="0.2">
      <c r="A2" s="47" t="s">
        <v>1990</v>
      </c>
      <c r="D2" s="48"/>
      <c r="I2" s="1983" t="s">
        <v>979</v>
      </c>
      <c r="J2" s="1982"/>
      <c r="K2" s="1982"/>
      <c r="L2" s="1982"/>
      <c r="M2" s="1982"/>
      <c r="N2" s="1982"/>
      <c r="O2" s="1982"/>
      <c r="P2" s="1982"/>
      <c r="Q2" s="1982"/>
      <c r="R2" s="1982"/>
      <c r="S2" s="1982"/>
    </row>
    <row r="3" spans="1:28" ht="12" customHeight="1" x14ac:dyDescent="0.2">
      <c r="A3" s="155" t="s">
        <v>1942</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2065</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2065</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21100004026</v>
      </c>
      <c r="B13" s="2017"/>
      <c r="C13" s="2017"/>
      <c r="D13" s="2017"/>
      <c r="E13" s="2017"/>
      <c r="F13" s="2017"/>
      <c r="G13" s="2017"/>
      <c r="H13" s="2018"/>
      <c r="I13" s="31"/>
      <c r="J13" s="30"/>
      <c r="K13" s="28"/>
      <c r="L13" s="30"/>
      <c r="M13" s="30"/>
      <c r="N13" s="30"/>
      <c r="O13" s="30"/>
      <c r="P13" s="30"/>
      <c r="Q13" s="30"/>
      <c r="R13" s="30"/>
      <c r="S13" s="30"/>
      <c r="T13" s="2021" t="s">
        <v>2068</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2061</v>
      </c>
      <c r="B15" s="2019"/>
      <c r="C15" s="2019"/>
      <c r="D15" s="2019"/>
      <c r="E15" s="2019"/>
      <c r="F15" s="2019"/>
      <c r="G15" s="2019"/>
      <c r="H15" s="2020"/>
      <c r="T15" s="2025" t="s">
        <v>2069</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2257</v>
      </c>
      <c r="B17" s="1976"/>
      <c r="C17" s="1976"/>
      <c r="D17" s="1976"/>
      <c r="E17" s="1976"/>
      <c r="F17" s="1976"/>
      <c r="G17" s="1976"/>
      <c r="H17" s="2001"/>
      <c r="T17" s="2032" t="s">
        <v>2070</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2062</v>
      </c>
      <c r="B19" s="1961"/>
      <c r="C19" s="1961"/>
      <c r="D19" s="1961"/>
      <c r="E19" s="1961"/>
      <c r="F19" s="1961"/>
      <c r="G19" s="1961"/>
      <c r="H19" s="1941"/>
      <c r="I19" s="30"/>
      <c r="J19" s="99"/>
      <c r="K19" s="40"/>
      <c r="L19" s="38"/>
      <c r="M19" s="112" t="s">
        <v>315</v>
      </c>
      <c r="P19" s="27"/>
      <c r="Q19" s="27"/>
      <c r="R19" s="27"/>
      <c r="S19" s="31"/>
      <c r="T19" s="2015" t="s">
        <v>2071</v>
      </c>
      <c r="U19" s="1940"/>
      <c r="V19" s="1940"/>
      <c r="W19" s="1941"/>
      <c r="X19" s="2030" t="s">
        <v>2072</v>
      </c>
      <c r="Y19" s="2031"/>
      <c r="Z19" s="2028">
        <v>62959</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2063</v>
      </c>
      <c r="B21" s="1940"/>
      <c r="C21" s="1940"/>
      <c r="D21" s="1940"/>
      <c r="E21" s="1940"/>
      <c r="F21" s="1940"/>
      <c r="G21" s="1940"/>
      <c r="H21" s="1941"/>
      <c r="I21" s="1995" t="s">
        <v>678</v>
      </c>
      <c r="J21" s="1990"/>
      <c r="K21" s="1990"/>
      <c r="L21" s="1990"/>
      <c r="M21" s="1990"/>
      <c r="N21" s="1990"/>
      <c r="O21" s="1990"/>
      <c r="P21" s="1990"/>
      <c r="Q21" s="1990"/>
      <c r="R21" s="1990"/>
      <c r="S21" s="1996"/>
      <c r="T21" s="2039" t="s">
        <v>2073</v>
      </c>
      <c r="U21" s="2040"/>
      <c r="V21" s="2040"/>
      <c r="W21" s="2040"/>
      <c r="X21" s="2045" t="s">
        <v>2074</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2064</v>
      </c>
      <c r="B23" s="1993"/>
      <c r="C23" s="1993"/>
      <c r="D23" s="1993"/>
      <c r="E23" s="1993"/>
      <c r="F23" s="1993"/>
      <c r="G23" s="1993"/>
      <c r="H23" s="1994"/>
      <c r="T23" s="1975" t="s">
        <v>2075</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62948</v>
      </c>
      <c r="B25" s="1940"/>
      <c r="C25" s="1940"/>
      <c r="D25" s="1940"/>
      <c r="E25" s="1940"/>
      <c r="F25" s="1940"/>
      <c r="G25" s="1940"/>
      <c r="H25" s="1941"/>
      <c r="I25" s="113"/>
      <c r="J25" s="1964"/>
      <c r="K25" s="1964"/>
      <c r="L25" s="1964"/>
      <c r="M25" s="1964"/>
      <c r="N25" s="1964"/>
      <c r="O25" s="1964"/>
      <c r="P25" s="1964"/>
      <c r="Q25" s="1964"/>
      <c r="R25" s="1964"/>
      <c r="S25" s="1965"/>
      <c r="T25" s="2035" t="s">
        <v>2076</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2065</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48" t="s">
        <v>2065</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2066</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2064</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2067</v>
      </c>
      <c r="B42" s="1959"/>
      <c r="C42" s="1960"/>
      <c r="D42" s="1958" t="s">
        <v>2081</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4"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5" t="s">
        <v>1611</v>
      </c>
    </row>
    <row r="23" spans="1:5" x14ac:dyDescent="0.2">
      <c r="A23" s="168"/>
      <c r="B23" s="162" t="s">
        <v>1854</v>
      </c>
      <c r="D23" s="167" t="s">
        <v>637</v>
      </c>
      <c r="E23" s="1835"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4" t="s">
        <v>1773</v>
      </c>
    </row>
    <row r="60" spans="1:3" x14ac:dyDescent="0.2">
      <c r="A60" s="196"/>
      <c r="B60" s="1484"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5"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81" colorId="8" zoomScale="110" zoomScaleNormal="110" workbookViewId="0">
      <selection activeCell="F71" sqref="F7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2065</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35375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t="s">
        <v>2254</v>
      </c>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2176</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1903</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169385045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2.30244E-2</v>
      </c>
      <c r="E10" s="356" t="s">
        <v>1005</v>
      </c>
      <c r="F10" s="355">
        <v>5.4482999999999997E-3</v>
      </c>
      <c r="G10" s="356" t="s">
        <v>1005</v>
      </c>
      <c r="H10" s="355">
        <v>3.5852000000000002E-3</v>
      </c>
      <c r="I10" s="356" t="s">
        <v>1006</v>
      </c>
      <c r="J10" s="1731">
        <f>ROUND(D10+F10+H10,5)</f>
        <v>3.2059999999999998E-2</v>
      </c>
      <c r="K10" s="222"/>
      <c r="L10" s="355">
        <v>0</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22440100</v>
      </c>
      <c r="E16" s="356"/>
      <c r="F16" s="1732">
        <f>SUM('Acct Summary 7-8'!C17,'Acct Summary 7-8'!D17,'Acct Summary 7-8'!F17)</f>
        <v>21020383</v>
      </c>
      <c r="G16" s="356"/>
      <c r="H16" s="1732">
        <f>SUM(D16-F16)</f>
        <v>1419717</v>
      </c>
      <c r="I16" s="222"/>
      <c r="J16" s="1732">
        <f>SUM('Acct Summary 7-8'!C81,'Acct Summary 7-8'!D81,'Acct Summary 7-8'!F81,'Acct Summary 7-8'!I81)</f>
        <v>5570482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23375136.210000001</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27781230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t="s">
        <v>2177</v>
      </c>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T13" sqref="T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Herrin CUSD 4</v>
      </c>
      <c r="E7" s="391"/>
      <c r="G7" s="252"/>
      <c r="H7" s="387"/>
      <c r="I7" s="387"/>
      <c r="J7" s="387"/>
      <c r="K7" s="387"/>
      <c r="L7" s="329"/>
      <c r="M7" s="329"/>
      <c r="N7" s="329"/>
      <c r="O7" s="329"/>
      <c r="P7" s="329"/>
    </row>
    <row r="8" spans="1:18" ht="12.75" x14ac:dyDescent="0.2">
      <c r="A8" s="329"/>
      <c r="B8" s="329"/>
      <c r="C8" s="389" t="s">
        <v>1125</v>
      </c>
      <c r="D8" s="392">
        <f>COVER!A13</f>
        <v>21100004026</v>
      </c>
      <c r="E8" s="393"/>
      <c r="G8" s="329"/>
      <c r="H8" s="329"/>
      <c r="I8" s="329"/>
      <c r="J8" s="329"/>
      <c r="K8" s="329"/>
      <c r="L8" s="329"/>
      <c r="M8" s="329"/>
      <c r="N8" s="329"/>
      <c r="O8" s="329"/>
      <c r="P8" s="329"/>
    </row>
    <row r="9" spans="1:18" ht="12.75" x14ac:dyDescent="0.2">
      <c r="A9" s="329"/>
      <c r="B9" s="329"/>
      <c r="C9" s="389" t="s">
        <v>713</v>
      </c>
      <c r="D9" s="394" t="str">
        <f>COVER!A15</f>
        <v>Williamson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5570482</v>
      </c>
      <c r="I12" s="404"/>
      <c r="J12" s="404"/>
      <c r="K12" s="405">
        <f>TRUNC((H12/H13*100000),5)/100000</f>
        <v>0.24823784199999999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22440100</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21020383</v>
      </c>
      <c r="I17" s="404"/>
      <c r="J17" s="416"/>
      <c r="K17" s="405">
        <f>TRUNC((H17/H18*100000),5)/100000</f>
        <v>0.93673303590000001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22440100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5572939</v>
      </c>
      <c r="I24" s="422"/>
      <c r="J24" s="422"/>
      <c r="K24" s="423">
        <f>TRUNC(((H24/H25*100000)/100000),2)</f>
        <v>95.44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58389.95278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4615911.8613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27781230</v>
      </c>
      <c r="I32" s="420"/>
      <c r="J32" s="420"/>
      <c r="K32" s="423">
        <f>TRUNC(100-((((H32/H33*100))*100)/100),2)</f>
        <v>-18.84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23375136.210000001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8"/>
      <c r="D3" s="1559"/>
      <c r="E3" s="1559"/>
      <c r="F3" s="1559"/>
      <c r="G3" s="1559"/>
      <c r="H3" s="1559"/>
      <c r="I3" s="1559"/>
      <c r="J3" s="1559"/>
      <c r="K3" s="1559"/>
      <c r="L3" s="1559"/>
      <c r="M3" s="1560"/>
      <c r="N3" s="1561"/>
    </row>
    <row r="4" spans="1:14" ht="13.5" customHeight="1" x14ac:dyDescent="0.2">
      <c r="A4" s="463" t="s">
        <v>1651</v>
      </c>
      <c r="B4" s="464"/>
      <c r="C4" s="465">
        <v>1681839</v>
      </c>
      <c r="D4" s="466">
        <v>197394</v>
      </c>
      <c r="E4" s="466">
        <v>2351</v>
      </c>
      <c r="F4" s="466">
        <v>69492</v>
      </c>
      <c r="G4" s="466">
        <v>192290</v>
      </c>
      <c r="H4" s="466">
        <v>1363206</v>
      </c>
      <c r="I4" s="466">
        <v>586768</v>
      </c>
      <c r="J4" s="467"/>
      <c r="K4" s="466"/>
      <c r="L4" s="466">
        <v>263397</v>
      </c>
      <c r="M4" s="468"/>
      <c r="N4" s="469"/>
    </row>
    <row r="5" spans="1:14" x14ac:dyDescent="0.2">
      <c r="A5" s="463" t="s">
        <v>992</v>
      </c>
      <c r="B5" s="470">
        <v>120</v>
      </c>
      <c r="C5" s="465">
        <v>1011077</v>
      </c>
      <c r="D5" s="466"/>
      <c r="E5" s="466"/>
      <c r="F5" s="466"/>
      <c r="G5" s="466"/>
      <c r="H5" s="466">
        <v>758267</v>
      </c>
      <c r="I5" s="466">
        <v>2026369</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2692916</v>
      </c>
      <c r="D13" s="1736">
        <f t="shared" ref="D13:L13" si="0">SUM(D4:D12)</f>
        <v>197394</v>
      </c>
      <c r="E13" s="1736">
        <f t="shared" si="0"/>
        <v>2351</v>
      </c>
      <c r="F13" s="1736">
        <f t="shared" si="0"/>
        <v>69492</v>
      </c>
      <c r="G13" s="1736">
        <f t="shared" si="0"/>
        <v>192290</v>
      </c>
      <c r="H13" s="1736">
        <f t="shared" si="0"/>
        <v>2121473</v>
      </c>
      <c r="I13" s="1736">
        <f t="shared" si="0"/>
        <v>2613137</v>
      </c>
      <c r="J13" s="1736">
        <f t="shared" si="0"/>
        <v>0</v>
      </c>
      <c r="K13" s="1736">
        <f t="shared" si="0"/>
        <v>0</v>
      </c>
      <c r="L13" s="1736">
        <f t="shared" si="0"/>
        <v>263397</v>
      </c>
      <c r="M13" s="468"/>
      <c r="N13" s="469"/>
    </row>
    <row r="14" spans="1:14" ht="18" customHeight="1" thickTop="1" x14ac:dyDescent="0.2">
      <c r="A14" s="2108" t="s">
        <v>147</v>
      </c>
      <c r="B14" s="2109"/>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1012480</v>
      </c>
      <c r="N16" s="484"/>
    </row>
    <row r="17" spans="1:14" s="485" customFormat="1" ht="12.75" customHeight="1" x14ac:dyDescent="0.2">
      <c r="A17" s="482" t="s">
        <v>1403</v>
      </c>
      <c r="B17" s="483">
        <v>230</v>
      </c>
      <c r="C17" s="477"/>
      <c r="D17" s="477"/>
      <c r="E17" s="477"/>
      <c r="F17" s="477"/>
      <c r="G17" s="477"/>
      <c r="H17" s="477"/>
      <c r="I17" s="477"/>
      <c r="J17" s="477"/>
      <c r="K17" s="477"/>
      <c r="L17" s="477"/>
      <c r="M17" s="467">
        <v>28413244</v>
      </c>
      <c r="N17" s="484"/>
    </row>
    <row r="18" spans="1:14" s="485" customFormat="1" ht="12.75" customHeight="1" x14ac:dyDescent="0.2">
      <c r="A18" s="482" t="s">
        <v>1404</v>
      </c>
      <c r="B18" s="483">
        <v>240</v>
      </c>
      <c r="C18" s="477"/>
      <c r="D18" s="477"/>
      <c r="E18" s="477"/>
      <c r="F18" s="477"/>
      <c r="G18" s="477"/>
      <c r="H18" s="477"/>
      <c r="I18" s="477"/>
      <c r="J18" s="477"/>
      <c r="K18" s="477"/>
      <c r="L18" s="477"/>
      <c r="M18" s="467">
        <v>4136516</v>
      </c>
      <c r="N18" s="484"/>
    </row>
    <row r="19" spans="1:14" s="485" customFormat="1" ht="12.75" customHeight="1" x14ac:dyDescent="0.2">
      <c r="A19" s="482" t="s">
        <v>1405</v>
      </c>
      <c r="B19" s="483">
        <v>250</v>
      </c>
      <c r="C19" s="477"/>
      <c r="D19" s="477"/>
      <c r="E19" s="477"/>
      <c r="F19" s="477"/>
      <c r="G19" s="477"/>
      <c r="H19" s="477"/>
      <c r="I19" s="477"/>
      <c r="J19" s="477"/>
      <c r="K19" s="477"/>
      <c r="L19" s="477"/>
      <c r="M19" s="467">
        <v>1133408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2351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27778879</v>
      </c>
    </row>
    <row r="23" spans="1:14" ht="13.5" customHeight="1" thickBot="1" x14ac:dyDescent="0.25">
      <c r="A23" s="1735" t="s">
        <v>643</v>
      </c>
      <c r="B23" s="1740"/>
      <c r="C23" s="468"/>
      <c r="D23" s="468"/>
      <c r="E23" s="468"/>
      <c r="F23" s="468"/>
      <c r="G23" s="468"/>
      <c r="H23" s="468"/>
      <c r="I23" s="468"/>
      <c r="J23" s="468"/>
      <c r="K23" s="468"/>
      <c r="L23" s="468"/>
      <c r="M23" s="1687">
        <f>SUM(M15:M22)</f>
        <v>34695648</v>
      </c>
      <c r="N23" s="1687">
        <f>SUM(N21:N22)</f>
        <v>27781230</v>
      </c>
    </row>
    <row r="24" spans="1:14" ht="18" customHeight="1" thickTop="1" x14ac:dyDescent="0.2">
      <c r="A24" s="2110" t="s">
        <v>598</v>
      </c>
      <c r="B24" s="2111"/>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2457</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263397</v>
      </c>
      <c r="M33" s="468"/>
      <c r="N33" s="469"/>
    </row>
    <row r="34" spans="1:14" ht="13.5" customHeight="1" thickBot="1" x14ac:dyDescent="0.25">
      <c r="A34" s="1737" t="s">
        <v>654</v>
      </c>
      <c r="B34" s="1738"/>
      <c r="C34" s="1739">
        <f>SUM(C25:C33)</f>
        <v>2457</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263397</v>
      </c>
      <c r="M34" s="468"/>
      <c r="N34" s="480"/>
    </row>
    <row r="35" spans="1:14" ht="18" customHeight="1" thickTop="1" x14ac:dyDescent="0.2">
      <c r="A35" s="2112" t="s">
        <v>529</v>
      </c>
      <c r="B35" s="2113"/>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27781230</v>
      </c>
    </row>
    <row r="37" spans="1:14" ht="13.5" thickBot="1" x14ac:dyDescent="0.25">
      <c r="A37" s="1735" t="s">
        <v>653</v>
      </c>
      <c r="B37" s="1740"/>
      <c r="C37" s="477"/>
      <c r="D37" s="477"/>
      <c r="E37" s="477"/>
      <c r="F37" s="477"/>
      <c r="G37" s="477"/>
      <c r="H37" s="477"/>
      <c r="I37" s="477"/>
      <c r="J37" s="477"/>
      <c r="K37" s="477"/>
      <c r="L37" s="480"/>
      <c r="M37" s="468"/>
      <c r="N37" s="1687">
        <f>SUM(N36:N36)</f>
        <v>27781230</v>
      </c>
    </row>
    <row r="38" spans="1:14" s="329" customFormat="1" ht="13.5" customHeight="1" thickTop="1" x14ac:dyDescent="0.2">
      <c r="A38" s="496" t="s">
        <v>420</v>
      </c>
      <c r="B38" s="483">
        <v>714</v>
      </c>
      <c r="C38" s="466"/>
      <c r="D38" s="466"/>
      <c r="E38" s="466"/>
      <c r="F38" s="466"/>
      <c r="G38" s="466"/>
      <c r="H38" s="466">
        <v>2121473</v>
      </c>
      <c r="I38" s="466"/>
      <c r="J38" s="467"/>
      <c r="K38" s="466"/>
      <c r="L38" s="481"/>
      <c r="M38" s="497"/>
      <c r="N38" s="497"/>
    </row>
    <row r="39" spans="1:14" s="329" customFormat="1" ht="13.5" customHeight="1" x14ac:dyDescent="0.2">
      <c r="A39" s="496" t="s">
        <v>342</v>
      </c>
      <c r="B39" s="483">
        <v>730</v>
      </c>
      <c r="C39" s="466">
        <v>2690459</v>
      </c>
      <c r="D39" s="466">
        <v>197394</v>
      </c>
      <c r="E39" s="466">
        <v>2351</v>
      </c>
      <c r="F39" s="466">
        <v>69492</v>
      </c>
      <c r="G39" s="466">
        <v>192290</v>
      </c>
      <c r="H39" s="466"/>
      <c r="I39" s="466">
        <v>2613137</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34695648</v>
      </c>
      <c r="N40" s="497"/>
    </row>
    <row r="41" spans="1:14" ht="13.5" customHeight="1" thickBot="1" x14ac:dyDescent="0.25">
      <c r="A41" s="1735" t="s">
        <v>655</v>
      </c>
      <c r="B41" s="1705"/>
      <c r="C41" s="1687">
        <f>(SUM(C34,C37,C38,C39))</f>
        <v>2692916</v>
      </c>
      <c r="D41" s="1687">
        <f t="shared" ref="D41:L41" si="2">SUM(D34,D37,D38:D39)</f>
        <v>197394</v>
      </c>
      <c r="E41" s="1687">
        <f t="shared" si="2"/>
        <v>2351</v>
      </c>
      <c r="F41" s="1687">
        <f t="shared" si="2"/>
        <v>69492</v>
      </c>
      <c r="G41" s="1687">
        <f t="shared" si="2"/>
        <v>192290</v>
      </c>
      <c r="H41" s="1687">
        <f t="shared" si="2"/>
        <v>2121473</v>
      </c>
      <c r="I41" s="1687">
        <f t="shared" si="2"/>
        <v>2613137</v>
      </c>
      <c r="J41" s="1687">
        <f t="shared" si="2"/>
        <v>0</v>
      </c>
      <c r="K41" s="1687">
        <f t="shared" si="2"/>
        <v>0</v>
      </c>
      <c r="L41" s="1687">
        <f t="shared" si="2"/>
        <v>263397</v>
      </c>
      <c r="M41" s="1687">
        <f>SUM(M40)</f>
        <v>34695648</v>
      </c>
      <c r="N41" s="1687">
        <f>SUM(N37)</f>
        <v>27781230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2"/>
      <c r="D3" s="1573"/>
      <c r="E3" s="1573"/>
      <c r="F3" s="1573"/>
      <c r="G3" s="1573"/>
      <c r="H3" s="1573"/>
      <c r="I3" s="1573"/>
      <c r="J3" s="1573"/>
      <c r="K3" s="1574"/>
      <c r="L3" s="506"/>
    </row>
    <row r="4" spans="1:13" ht="15.75" customHeight="1" x14ac:dyDescent="0.2">
      <c r="A4" s="1925" t="s">
        <v>1499</v>
      </c>
      <c r="B4" s="1926">
        <v>1000</v>
      </c>
      <c r="C4" s="1741">
        <f>'Revenues 9-14'!C109</f>
        <v>5174571</v>
      </c>
      <c r="D4" s="1741">
        <f>'Revenues 9-14'!D109</f>
        <v>824234</v>
      </c>
      <c r="E4" s="1741">
        <f>'Revenues 9-14'!E109</f>
        <v>1728943</v>
      </c>
      <c r="F4" s="1741">
        <f>'Revenues 9-14'!F109</f>
        <v>603468</v>
      </c>
      <c r="G4" s="1741">
        <f>'Revenues 9-14'!G109</f>
        <v>529024</v>
      </c>
      <c r="H4" s="1741">
        <f>'Revenues 9-14'!H109</f>
        <v>630258</v>
      </c>
      <c r="I4" s="1741">
        <f>'Revenues 9-14'!I109</f>
        <v>28550</v>
      </c>
      <c r="J4" s="1741">
        <f>'Revenues 9-14'!J109</f>
        <v>304379</v>
      </c>
      <c r="K4" s="1741">
        <f>'Revenues 9-14'!K109</f>
        <v>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13738370</v>
      </c>
      <c r="D6" s="1742">
        <f>'Revenues 9-14'!D170</f>
        <v>0</v>
      </c>
      <c r="E6" s="1742">
        <f>'Revenues 9-14'!E170</f>
        <v>0</v>
      </c>
      <c r="F6" s="1742">
        <f>'Revenues 9-14'!F170</f>
        <v>396529</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1674378</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20587319</v>
      </c>
      <c r="D8" s="1687">
        <f t="shared" ref="D8:K8" si="0">SUM(D4:D7)</f>
        <v>824234</v>
      </c>
      <c r="E8" s="1687">
        <f t="shared" si="0"/>
        <v>1728943</v>
      </c>
      <c r="F8" s="1687">
        <f t="shared" si="0"/>
        <v>999997</v>
      </c>
      <c r="G8" s="1687">
        <f t="shared" si="0"/>
        <v>529024</v>
      </c>
      <c r="H8" s="1687">
        <f t="shared" si="0"/>
        <v>630258</v>
      </c>
      <c r="I8" s="1687">
        <f t="shared" si="0"/>
        <v>28550</v>
      </c>
      <c r="J8" s="1687">
        <f t="shared" si="0"/>
        <v>304379</v>
      </c>
      <c r="K8" s="1687">
        <f t="shared" si="0"/>
        <v>0</v>
      </c>
      <c r="L8" s="347"/>
    </row>
    <row r="9" spans="1:13" ht="15.75" thickTop="1" x14ac:dyDescent="0.2">
      <c r="A9" s="514" t="s">
        <v>1653</v>
      </c>
      <c r="B9" s="515">
        <v>3998</v>
      </c>
      <c r="C9" s="481">
        <v>7457495</v>
      </c>
      <c r="D9" s="516"/>
      <c r="E9" s="481"/>
      <c r="F9" s="481"/>
      <c r="G9" s="517"/>
      <c r="H9" s="481"/>
      <c r="I9" s="509" t="s">
        <v>1169</v>
      </c>
      <c r="J9" s="478"/>
      <c r="K9" s="481"/>
      <c r="L9" s="347"/>
    </row>
    <row r="10" spans="1:13" s="519" customFormat="1" ht="13.5" thickBot="1" x14ac:dyDescent="0.25">
      <c r="A10" s="1735" t="s">
        <v>1173</v>
      </c>
      <c r="B10" s="1708"/>
      <c r="C10" s="1687">
        <f>SUM(C8:C9)</f>
        <v>28044814</v>
      </c>
      <c r="D10" s="1687">
        <f t="shared" ref="D10:K10" si="1">SUM(D8:D9)</f>
        <v>824234</v>
      </c>
      <c r="E10" s="1687">
        <f t="shared" si="1"/>
        <v>1728943</v>
      </c>
      <c r="F10" s="1687">
        <f t="shared" si="1"/>
        <v>999997</v>
      </c>
      <c r="G10" s="1687">
        <f t="shared" si="1"/>
        <v>529024</v>
      </c>
      <c r="H10" s="1687">
        <f t="shared" si="1"/>
        <v>630258</v>
      </c>
      <c r="I10" s="1687">
        <f t="shared" si="1"/>
        <v>28550</v>
      </c>
      <c r="J10" s="1687">
        <f t="shared" si="1"/>
        <v>304379</v>
      </c>
      <c r="K10" s="1687">
        <f t="shared" si="1"/>
        <v>0</v>
      </c>
      <c r="L10" s="518"/>
    </row>
    <row r="11" spans="1:13" s="519" customFormat="1" ht="16.7" customHeight="1" thickTop="1" x14ac:dyDescent="0.2">
      <c r="A11" s="2108" t="s">
        <v>1176</v>
      </c>
      <c r="B11" s="2109"/>
      <c r="C11" s="1569"/>
      <c r="D11" s="1570"/>
      <c r="E11" s="1570"/>
      <c r="F11" s="1570"/>
      <c r="G11" s="1570"/>
      <c r="H11" s="1570"/>
      <c r="I11" s="1570"/>
      <c r="J11" s="1570"/>
      <c r="K11" s="1571"/>
      <c r="L11" s="518"/>
    </row>
    <row r="12" spans="1:13" ht="15.75" customHeight="1" x14ac:dyDescent="0.2">
      <c r="A12" s="1575" t="s">
        <v>456</v>
      </c>
      <c r="B12" s="1577">
        <v>1000</v>
      </c>
      <c r="C12" s="1741">
        <f>'Expenditures 15-22'!K33</f>
        <v>10458412</v>
      </c>
      <c r="D12" s="520" t="s">
        <v>1169</v>
      </c>
      <c r="E12" s="468" t="s">
        <v>1169</v>
      </c>
      <c r="F12" s="468" t="s">
        <v>1169</v>
      </c>
      <c r="G12" s="1741">
        <f>'Expenditures 15-22'!K229</f>
        <v>155193</v>
      </c>
      <c r="H12" s="521"/>
      <c r="I12" s="468" t="s">
        <v>1169</v>
      </c>
      <c r="J12" s="468" t="s">
        <v>1169</v>
      </c>
      <c r="K12" s="521" t="s">
        <v>1169</v>
      </c>
      <c r="L12" s="347"/>
    </row>
    <row r="13" spans="1:13" ht="15.75" customHeight="1" x14ac:dyDescent="0.2">
      <c r="A13" s="1575" t="s">
        <v>457</v>
      </c>
      <c r="B13" s="1577">
        <v>2000</v>
      </c>
      <c r="C13" s="1742">
        <f>'Expenditures 15-22'!K74</f>
        <v>5917631</v>
      </c>
      <c r="D13" s="1742">
        <f>'Expenditures 15-22'!K129</f>
        <v>825913</v>
      </c>
      <c r="E13" s="469" t="s">
        <v>1169</v>
      </c>
      <c r="F13" s="1742">
        <f>'Expenditures 15-22'!K184</f>
        <v>889692</v>
      </c>
      <c r="G13" s="1742">
        <f>'Expenditures 15-22'!K279</f>
        <v>363038</v>
      </c>
      <c r="H13" s="1742">
        <f>'Expenditures 15-22'!K303</f>
        <v>101614</v>
      </c>
      <c r="I13" s="468" t="s">
        <v>1169</v>
      </c>
      <c r="J13" s="1742">
        <f>'Expenditures 15-22'!K330</f>
        <v>304379</v>
      </c>
      <c r="K13" s="1746">
        <f>'Expenditures 15-22'!K352</f>
        <v>0</v>
      </c>
      <c r="L13" s="347"/>
    </row>
    <row r="14" spans="1:13" ht="15.75" customHeight="1" x14ac:dyDescent="0.2">
      <c r="A14" s="1575" t="s">
        <v>449</v>
      </c>
      <c r="B14" s="1577">
        <v>3000</v>
      </c>
      <c r="C14" s="1742">
        <f>'Expenditures 15-22'!K75</f>
        <v>39445</v>
      </c>
      <c r="D14" s="1742">
        <f>'Expenditures 15-22'!K130</f>
        <v>0</v>
      </c>
      <c r="E14" s="520" t="s">
        <v>1169</v>
      </c>
      <c r="F14" s="1742">
        <f>'Expenditures 15-22'!K185</f>
        <v>0</v>
      </c>
      <c r="G14" s="1742">
        <f>'Expenditures 15-22'!K280</f>
        <v>54</v>
      </c>
      <c r="H14" s="512"/>
      <c r="I14" s="468" t="s">
        <v>1169</v>
      </c>
      <c r="J14" s="468" t="s">
        <v>1169</v>
      </c>
      <c r="K14" s="512" t="s">
        <v>1169</v>
      </c>
      <c r="L14" s="347"/>
    </row>
    <row r="15" spans="1:13" ht="15.75" customHeight="1" x14ac:dyDescent="0.2">
      <c r="A15" s="1575" t="s">
        <v>107</v>
      </c>
      <c r="B15" s="1577">
        <v>4000</v>
      </c>
      <c r="C15" s="1742">
        <f>'Expenditures 15-22'!K102</f>
        <v>2759355</v>
      </c>
      <c r="D15" s="1742">
        <f>'Expenditures 15-22'!K139</f>
        <v>0</v>
      </c>
      <c r="E15" s="1742">
        <f>'Expenditures 15-22'!K160</f>
        <v>0</v>
      </c>
      <c r="F15" s="1742">
        <f>'Expenditures 15-22'!K196</f>
        <v>129935</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1777458</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19174843</v>
      </c>
      <c r="D17" s="1687">
        <f t="shared" si="2"/>
        <v>825913</v>
      </c>
      <c r="E17" s="1687">
        <f t="shared" si="2"/>
        <v>1777458</v>
      </c>
      <c r="F17" s="1687">
        <f t="shared" si="2"/>
        <v>1019627</v>
      </c>
      <c r="G17" s="1687">
        <f t="shared" si="2"/>
        <v>518285</v>
      </c>
      <c r="H17" s="1687">
        <f t="shared" si="2"/>
        <v>101614</v>
      </c>
      <c r="I17" s="468"/>
      <c r="J17" s="1687">
        <f>SUM(J12:J16)</f>
        <v>304379</v>
      </c>
      <c r="K17" s="1687">
        <f>SUM(K12:K16)</f>
        <v>0</v>
      </c>
      <c r="L17" s="347"/>
    </row>
    <row r="18" spans="1:12" ht="15" customHeight="1" thickTop="1" x14ac:dyDescent="0.2">
      <c r="A18" s="1743" t="s">
        <v>1654</v>
      </c>
      <c r="B18" s="1744">
        <v>4180</v>
      </c>
      <c r="C18" s="1741">
        <f t="shared" ref="C18:H18" si="3">C9</f>
        <v>7457495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26632338</v>
      </c>
      <c r="D19" s="1687">
        <f t="shared" si="4"/>
        <v>825913</v>
      </c>
      <c r="E19" s="1687">
        <f t="shared" si="4"/>
        <v>1777458</v>
      </c>
      <c r="F19" s="1687">
        <f t="shared" si="4"/>
        <v>1019627</v>
      </c>
      <c r="G19" s="1687">
        <f t="shared" si="4"/>
        <v>518285</v>
      </c>
      <c r="H19" s="1687">
        <f t="shared" si="4"/>
        <v>101614</v>
      </c>
      <c r="I19" s="468"/>
      <c r="J19" s="1687">
        <f>SUM(J17:J18)</f>
        <v>304379</v>
      </c>
      <c r="K19" s="1687">
        <f>SUM(K17:K18)</f>
        <v>0</v>
      </c>
      <c r="L19" s="347"/>
    </row>
    <row r="20" spans="1:12" ht="16.5" thickTop="1" thickBot="1" x14ac:dyDescent="0.25">
      <c r="A20" s="2124" t="s">
        <v>1655</v>
      </c>
      <c r="B20" s="2125"/>
      <c r="C20" s="1745">
        <f>C8-C17</f>
        <v>1412476</v>
      </c>
      <c r="D20" s="1745">
        <f t="shared" ref="D20:K20" si="5">D8-D17</f>
        <v>-1679</v>
      </c>
      <c r="E20" s="1745">
        <f t="shared" si="5"/>
        <v>-48515</v>
      </c>
      <c r="F20" s="1745">
        <f t="shared" si="5"/>
        <v>-19630</v>
      </c>
      <c r="G20" s="1745">
        <f t="shared" si="5"/>
        <v>10739</v>
      </c>
      <c r="H20" s="1745">
        <f t="shared" si="5"/>
        <v>528644</v>
      </c>
      <c r="I20" s="1745">
        <f t="shared" si="5"/>
        <v>28550</v>
      </c>
      <c r="J20" s="1745">
        <f t="shared" si="5"/>
        <v>0</v>
      </c>
      <c r="K20" s="1745">
        <f t="shared" si="5"/>
        <v>0</v>
      </c>
      <c r="L20" s="347"/>
    </row>
    <row r="21" spans="1:12" ht="16.7" customHeight="1" thickTop="1" x14ac:dyDescent="0.2">
      <c r="A21" s="2136" t="s">
        <v>595</v>
      </c>
      <c r="B21" s="2137"/>
      <c r="C21" s="1569"/>
      <c r="D21" s="1570"/>
      <c r="E21" s="1570"/>
      <c r="F21" s="1570"/>
      <c r="G21" s="1570"/>
      <c r="H21" s="1570"/>
      <c r="I21" s="1570"/>
      <c r="J21" s="1570"/>
      <c r="K21" s="1571"/>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v>2181</v>
      </c>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v>867</v>
      </c>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1791</v>
      </c>
      <c r="B30" s="527">
        <v>7160</v>
      </c>
      <c r="C30" s="477"/>
      <c r="D30" s="467"/>
      <c r="E30" s="477"/>
      <c r="F30" s="477"/>
      <c r="G30" s="477"/>
      <c r="H30" s="477"/>
      <c r="I30" s="477"/>
      <c r="J30" s="477"/>
      <c r="K30" s="477"/>
      <c r="L30" s="524"/>
    </row>
    <row r="31" spans="1:12" s="485" customFormat="1" ht="26.25" x14ac:dyDescent="0.2">
      <c r="A31" s="1488" t="s">
        <v>1795</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40791</v>
      </c>
      <c r="F37" s="475"/>
      <c r="G37" s="475"/>
      <c r="H37" s="475"/>
      <c r="I37" s="477"/>
      <c r="J37" s="475"/>
      <c r="K37" s="475"/>
      <c r="L37" s="524"/>
    </row>
    <row r="38" spans="1:12" s="485" customFormat="1" x14ac:dyDescent="0.2">
      <c r="A38" s="1488" t="s">
        <v>442</v>
      </c>
      <c r="B38" s="525">
        <v>7500</v>
      </c>
      <c r="C38" s="477"/>
      <c r="D38" s="477"/>
      <c r="E38" s="1742">
        <f>SUM(C58:D61,H58:H61)</f>
        <v>4985</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2">
        <f>SUM(C24:C43)</f>
        <v>3048</v>
      </c>
      <c r="D44" s="1702">
        <f t="shared" ref="D44:K44" si="6">SUM(D24:D43)</f>
        <v>0</v>
      </c>
      <c r="E44" s="1702">
        <f t="shared" si="6"/>
        <v>45776</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2181</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v>512</v>
      </c>
      <c r="E50" s="467"/>
      <c r="F50" s="467">
        <v>355</v>
      </c>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1794</v>
      </c>
      <c r="B52" s="483">
        <v>8160</v>
      </c>
      <c r="C52" s="477"/>
      <c r="D52" s="477"/>
      <c r="E52" s="477"/>
      <c r="F52" s="477"/>
      <c r="G52" s="477"/>
      <c r="H52" s="477"/>
      <c r="I52" s="477"/>
      <c r="J52" s="477"/>
      <c r="K52" s="1742">
        <f>D30</f>
        <v>0</v>
      </c>
      <c r="L52" s="524"/>
    </row>
    <row r="53" spans="1:12" s="485" customFormat="1" ht="26.25" x14ac:dyDescent="0.2">
      <c r="A53" s="1489" t="s">
        <v>1793</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v>40791</v>
      </c>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v>4985</v>
      </c>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2">
        <f t="shared" ref="C76:K76" si="7">SUM(C47:C75)</f>
        <v>45776</v>
      </c>
      <c r="D76" s="1702">
        <f t="shared" si="7"/>
        <v>512</v>
      </c>
      <c r="E76" s="1702">
        <f t="shared" si="7"/>
        <v>0</v>
      </c>
      <c r="F76" s="1702">
        <f t="shared" si="7"/>
        <v>355</v>
      </c>
      <c r="G76" s="1702">
        <f t="shared" si="7"/>
        <v>0</v>
      </c>
      <c r="H76" s="1702">
        <f t="shared" si="7"/>
        <v>0</v>
      </c>
      <c r="I76" s="1702">
        <f t="shared" si="7"/>
        <v>2181</v>
      </c>
      <c r="J76" s="1702">
        <f t="shared" si="7"/>
        <v>0</v>
      </c>
      <c r="K76" s="1702">
        <f t="shared" si="7"/>
        <v>0</v>
      </c>
      <c r="L76" s="524"/>
    </row>
    <row r="77" spans="1:12" ht="14.25" thickTop="1" thickBot="1" x14ac:dyDescent="0.25">
      <c r="A77" s="2116" t="s">
        <v>1177</v>
      </c>
      <c r="B77" s="2117"/>
      <c r="C77" s="1702">
        <f t="shared" ref="C77:K77" si="8">C44-C76</f>
        <v>-42728</v>
      </c>
      <c r="D77" s="1702">
        <f t="shared" si="8"/>
        <v>-512</v>
      </c>
      <c r="E77" s="1702">
        <f t="shared" si="8"/>
        <v>45776</v>
      </c>
      <c r="F77" s="1702">
        <f t="shared" si="8"/>
        <v>-355</v>
      </c>
      <c r="G77" s="1702">
        <f t="shared" si="8"/>
        <v>0</v>
      </c>
      <c r="H77" s="1702">
        <f t="shared" si="8"/>
        <v>0</v>
      </c>
      <c r="I77" s="1702">
        <f t="shared" si="8"/>
        <v>-2181</v>
      </c>
      <c r="J77" s="1702">
        <f t="shared" si="8"/>
        <v>0</v>
      </c>
      <c r="K77" s="1702">
        <f t="shared" si="8"/>
        <v>0</v>
      </c>
      <c r="L77" s="347"/>
    </row>
    <row r="78" spans="1:12" ht="21.75" customHeight="1" thickTop="1" thickBot="1" x14ac:dyDescent="0.25">
      <c r="A78" s="2120" t="s">
        <v>597</v>
      </c>
      <c r="B78" s="2121"/>
      <c r="C78" s="1701">
        <f t="shared" ref="C78:K78" si="9">C20+C77</f>
        <v>1369748</v>
      </c>
      <c r="D78" s="1701">
        <f t="shared" si="9"/>
        <v>-2191</v>
      </c>
      <c r="E78" s="1701">
        <f t="shared" si="9"/>
        <v>-2739</v>
      </c>
      <c r="F78" s="1701">
        <f t="shared" si="9"/>
        <v>-19985</v>
      </c>
      <c r="G78" s="1701">
        <f t="shared" si="9"/>
        <v>10739</v>
      </c>
      <c r="H78" s="1701">
        <f t="shared" si="9"/>
        <v>528644</v>
      </c>
      <c r="I78" s="1701">
        <f t="shared" si="9"/>
        <v>26369</v>
      </c>
      <c r="J78" s="1701">
        <f t="shared" si="9"/>
        <v>0</v>
      </c>
      <c r="K78" s="1701">
        <f t="shared" si="9"/>
        <v>0</v>
      </c>
      <c r="L78" s="533"/>
    </row>
    <row r="79" spans="1:12" ht="13.5" thickTop="1" x14ac:dyDescent="0.2">
      <c r="A79" s="1493" t="s">
        <v>1946</v>
      </c>
      <c r="B79" s="534"/>
      <c r="C79" s="478">
        <v>1320711</v>
      </c>
      <c r="D79" s="535">
        <v>199585</v>
      </c>
      <c r="E79" s="535">
        <v>5090</v>
      </c>
      <c r="F79" s="535">
        <v>89477</v>
      </c>
      <c r="G79" s="535">
        <v>181551</v>
      </c>
      <c r="H79" s="535">
        <v>1592829</v>
      </c>
      <c r="I79" s="535">
        <v>2586768</v>
      </c>
      <c r="J79" s="535"/>
      <c r="K79" s="535"/>
      <c r="L79" s="347"/>
    </row>
    <row r="80" spans="1:12" x14ac:dyDescent="0.2">
      <c r="A80" s="2126" t="s">
        <v>1792</v>
      </c>
      <c r="B80" s="2127"/>
      <c r="C80" s="467"/>
      <c r="D80" s="467"/>
      <c r="E80" s="467"/>
      <c r="F80" s="467"/>
      <c r="G80" s="467"/>
      <c r="H80" s="467"/>
      <c r="I80" s="467"/>
      <c r="J80" s="467"/>
      <c r="K80" s="467"/>
      <c r="L80" s="347"/>
    </row>
    <row r="81" spans="1:12" ht="13.5" thickBot="1" x14ac:dyDescent="0.25">
      <c r="A81" s="2118" t="s">
        <v>1947</v>
      </c>
      <c r="B81" s="2119"/>
      <c r="C81" s="1687">
        <f>(SUM(C78:C80))</f>
        <v>2690459</v>
      </c>
      <c r="D81" s="1687">
        <f>SUM(D78:D80)</f>
        <v>197394</v>
      </c>
      <c r="E81" s="1687">
        <f t="shared" ref="E81:K81" si="10">SUM(E78:E80)</f>
        <v>2351</v>
      </c>
      <c r="F81" s="1687">
        <f t="shared" si="10"/>
        <v>69492</v>
      </c>
      <c r="G81" s="1687">
        <f t="shared" si="10"/>
        <v>192290</v>
      </c>
      <c r="H81" s="1687">
        <f t="shared" si="10"/>
        <v>2121473</v>
      </c>
      <c r="I81" s="1687">
        <f t="shared" si="10"/>
        <v>2613137</v>
      </c>
      <c r="J81" s="1687">
        <f t="shared" si="10"/>
        <v>0</v>
      </c>
      <c r="K81" s="1687">
        <f t="shared" si="10"/>
        <v>0</v>
      </c>
      <c r="L81" s="347"/>
    </row>
    <row r="82" spans="1:12" ht="0.75" customHeight="1" thickTop="1" thickBot="1" x14ac:dyDescent="0.25">
      <c r="A82" s="536" t="s">
        <v>343</v>
      </c>
      <c r="B82" s="537"/>
      <c r="C82" s="538">
        <f>(C81-C79)</f>
        <v>1369748</v>
      </c>
      <c r="D82" s="538">
        <f t="shared" ref="D82:K82" si="11">(D81-D79)</f>
        <v>-2191</v>
      </c>
      <c r="E82" s="538">
        <f t="shared" si="11"/>
        <v>-2739</v>
      </c>
      <c r="F82" s="538">
        <f t="shared" si="11"/>
        <v>-19985</v>
      </c>
      <c r="G82" s="538">
        <f t="shared" si="11"/>
        <v>10739</v>
      </c>
      <c r="H82" s="538">
        <f t="shared" si="11"/>
        <v>528644</v>
      </c>
      <c r="I82" s="538">
        <f t="shared" si="11"/>
        <v>26369</v>
      </c>
      <c r="J82" s="538">
        <f t="shared" si="11"/>
        <v>0</v>
      </c>
      <c r="K82" s="538">
        <f t="shared" si="11"/>
        <v>0</v>
      </c>
    </row>
    <row r="83" spans="1:12" ht="14.25" hidden="1" thickTop="1" thickBot="1" x14ac:dyDescent="0.25">
      <c r="A83" s="539" t="s">
        <v>344</v>
      </c>
      <c r="B83" s="464"/>
      <c r="C83" s="540">
        <f>C82/C81</f>
        <v>0.50911312902370931</v>
      </c>
      <c r="D83" s="540">
        <f t="shared" ref="D83:K83" si="12">D82/D81</f>
        <v>-1.1099628154857797E-2</v>
      </c>
      <c r="E83" s="540">
        <f t="shared" si="12"/>
        <v>-1.1650361548277328</v>
      </c>
      <c r="F83" s="540">
        <f t="shared" si="12"/>
        <v>-0.28758706038105103</v>
      </c>
      <c r="G83" s="540">
        <f t="shared" si="12"/>
        <v>5.5847938010296951E-2</v>
      </c>
      <c r="H83" s="540">
        <f t="shared" si="12"/>
        <v>0.24918723924367644</v>
      </c>
      <c r="I83" s="540">
        <f t="shared" si="12"/>
        <v>1.0090936678788751E-2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 right="0" top="0.8" bottom="0.55000000000000004" header="0.3"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accompanying notes are an integral part of these financial statements.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4" sqref="C1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1799</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3826859</v>
      </c>
      <c r="D5" s="481">
        <v>798846</v>
      </c>
      <c r="E5" s="466">
        <v>424163</v>
      </c>
      <c r="F5" s="548">
        <v>595214</v>
      </c>
      <c r="G5" s="466">
        <v>254777</v>
      </c>
      <c r="H5" s="466"/>
      <c r="I5" s="466"/>
      <c r="J5" s="467">
        <v>303238</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254777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3826859</v>
      </c>
      <c r="D12" s="1706">
        <f t="shared" si="0"/>
        <v>798846</v>
      </c>
      <c r="E12" s="1706">
        <f t="shared" si="0"/>
        <v>424163</v>
      </c>
      <c r="F12" s="1706">
        <f t="shared" si="0"/>
        <v>595214</v>
      </c>
      <c r="G12" s="1706">
        <f t="shared" si="0"/>
        <v>509554</v>
      </c>
      <c r="H12" s="1706">
        <f t="shared" si="0"/>
        <v>0</v>
      </c>
      <c r="I12" s="1706">
        <f t="shared" si="0"/>
        <v>0</v>
      </c>
      <c r="J12" s="1706">
        <f t="shared" si="0"/>
        <v>303238</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19590</v>
      </c>
      <c r="D14" s="466"/>
      <c r="E14" s="466"/>
      <c r="F14" s="466"/>
      <c r="G14" s="466"/>
      <c r="H14" s="466"/>
      <c r="I14" s="466"/>
      <c r="J14" s="467"/>
      <c r="K14" s="466"/>
    </row>
    <row r="15" spans="1:12" ht="12.75" customHeight="1" x14ac:dyDescent="0.2">
      <c r="A15" s="463" t="s">
        <v>95</v>
      </c>
      <c r="B15" s="470">
        <v>1220</v>
      </c>
      <c r="C15" s="551">
        <v>12347</v>
      </c>
      <c r="D15" s="466">
        <v>2577</v>
      </c>
      <c r="E15" s="466">
        <v>1369</v>
      </c>
      <c r="F15" s="466">
        <v>1923</v>
      </c>
      <c r="G15" s="466">
        <v>1644</v>
      </c>
      <c r="H15" s="466"/>
      <c r="I15" s="466"/>
      <c r="J15" s="467">
        <v>978</v>
      </c>
      <c r="K15" s="466"/>
    </row>
    <row r="16" spans="1:12" ht="15" customHeight="1" x14ac:dyDescent="0.2">
      <c r="A16" s="463" t="s">
        <v>1663</v>
      </c>
      <c r="B16" s="549">
        <v>1230</v>
      </c>
      <c r="C16" s="551">
        <v>247251</v>
      </c>
      <c r="D16" s="466"/>
      <c r="E16" s="466"/>
      <c r="F16" s="466"/>
      <c r="G16" s="466">
        <v>17320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279188</v>
      </c>
      <c r="D18" s="1709">
        <f t="shared" ref="D18:K18" si="1">SUM(D14:D17)</f>
        <v>2577</v>
      </c>
      <c r="E18" s="1709">
        <f t="shared" si="1"/>
        <v>1369</v>
      </c>
      <c r="F18" s="1709">
        <f t="shared" si="1"/>
        <v>1923</v>
      </c>
      <c r="G18" s="1709">
        <f t="shared" si="1"/>
        <v>18964</v>
      </c>
      <c r="H18" s="1709">
        <f t="shared" si="1"/>
        <v>0</v>
      </c>
      <c r="I18" s="1709">
        <f t="shared" si="1"/>
        <v>0</v>
      </c>
      <c r="J18" s="1709">
        <f t="shared" si="1"/>
        <v>978</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15380</v>
      </c>
      <c r="D65" s="466">
        <v>512</v>
      </c>
      <c r="E65" s="466">
        <v>938</v>
      </c>
      <c r="F65" s="467">
        <v>353</v>
      </c>
      <c r="G65" s="466">
        <v>506</v>
      </c>
      <c r="H65" s="466">
        <v>10215</v>
      </c>
      <c r="I65" s="466">
        <v>28550</v>
      </c>
      <c r="J65" s="467">
        <v>163</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15380</v>
      </c>
      <c r="D67" s="1687">
        <f t="shared" ref="D67:K67" si="2">SUM(D65:D66)</f>
        <v>512</v>
      </c>
      <c r="E67" s="1687">
        <f t="shared" si="2"/>
        <v>938</v>
      </c>
      <c r="F67" s="1687">
        <f t="shared" si="2"/>
        <v>353</v>
      </c>
      <c r="G67" s="1687">
        <f t="shared" si="2"/>
        <v>506</v>
      </c>
      <c r="H67" s="1687">
        <f t="shared" si="2"/>
        <v>10215</v>
      </c>
      <c r="I67" s="1687">
        <f t="shared" si="2"/>
        <v>28550</v>
      </c>
      <c r="J67" s="1687">
        <f t="shared" si="2"/>
        <v>163</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143260</v>
      </c>
      <c r="D69" s="468"/>
      <c r="E69" s="468"/>
      <c r="F69" s="468"/>
      <c r="G69" s="468"/>
      <c r="H69" s="468"/>
      <c r="I69" s="468"/>
      <c r="J69" s="468"/>
      <c r="K69" s="468"/>
    </row>
    <row r="70" spans="1:11" ht="12.75" customHeight="1" x14ac:dyDescent="0.2">
      <c r="A70" s="463" t="s">
        <v>997</v>
      </c>
      <c r="B70" s="470">
        <v>1612</v>
      </c>
      <c r="C70" s="551">
        <v>19605</v>
      </c>
      <c r="D70" s="468"/>
      <c r="E70" s="468"/>
      <c r="F70" s="468"/>
      <c r="G70" s="468"/>
      <c r="H70" s="468"/>
      <c r="I70" s="468"/>
      <c r="J70" s="468"/>
      <c r="K70" s="468"/>
    </row>
    <row r="71" spans="1:11" ht="12.75" customHeight="1" x14ac:dyDescent="0.2">
      <c r="A71" s="463" t="s">
        <v>273</v>
      </c>
      <c r="B71" s="470">
        <v>1613</v>
      </c>
      <c r="C71" s="551">
        <v>5936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14345</v>
      </c>
      <c r="D73" s="468"/>
      <c r="E73" s="468"/>
      <c r="F73" s="468"/>
      <c r="G73" s="468"/>
      <c r="H73" s="468"/>
      <c r="I73" s="468"/>
      <c r="J73" s="468"/>
      <c r="K73" s="468"/>
    </row>
    <row r="74" spans="1:11" ht="12.75" customHeight="1" x14ac:dyDescent="0.2">
      <c r="A74" s="463" t="s">
        <v>25</v>
      </c>
      <c r="B74" s="470">
        <v>1690</v>
      </c>
      <c r="C74" s="551">
        <v>1163</v>
      </c>
      <c r="D74" s="468"/>
      <c r="E74" s="468"/>
      <c r="F74" s="468"/>
      <c r="G74" s="468"/>
      <c r="H74" s="468"/>
      <c r="I74" s="468"/>
      <c r="J74" s="468"/>
      <c r="K74" s="468"/>
    </row>
    <row r="75" spans="1:11" ht="12.75" customHeight="1" thickBot="1" x14ac:dyDescent="0.25">
      <c r="A75" s="1707" t="s">
        <v>548</v>
      </c>
      <c r="B75" s="1708"/>
      <c r="C75" s="1687">
        <f>SUM(C69:C74)</f>
        <v>184309</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90626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118890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120662</v>
      </c>
      <c r="D81" s="466"/>
      <c r="E81" s="468"/>
      <c r="F81" s="468"/>
      <c r="G81" s="468"/>
      <c r="H81" s="468"/>
      <c r="I81" s="468"/>
      <c r="J81" s="468"/>
      <c r="K81" s="468"/>
    </row>
    <row r="82" spans="1:11" ht="12.75" customHeight="1" thickBot="1" x14ac:dyDescent="0.25">
      <c r="A82" s="1707" t="s">
        <v>241</v>
      </c>
      <c r="B82" s="1708"/>
      <c r="C82" s="1706">
        <f>SUM(C77:C81)</f>
        <v>330178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46676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46676</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22299</v>
      </c>
      <c r="E95" s="521"/>
      <c r="F95" s="521"/>
      <c r="G95" s="521"/>
      <c r="H95" s="521"/>
      <c r="I95" s="521"/>
      <c r="J95" s="521"/>
      <c r="K95" s="521"/>
    </row>
    <row r="96" spans="1:11" ht="12.75" customHeight="1" x14ac:dyDescent="0.2">
      <c r="A96" s="463" t="s">
        <v>391</v>
      </c>
      <c r="B96" s="470">
        <v>1920</v>
      </c>
      <c r="C96" s="551">
        <v>95290</v>
      </c>
      <c r="D96" s="551"/>
      <c r="E96" s="479">
        <v>250000</v>
      </c>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28945</v>
      </c>
      <c r="D99" s="466"/>
      <c r="E99" s="466"/>
      <c r="F99" s="466"/>
      <c r="G99" s="466"/>
      <c r="H99" s="466"/>
      <c r="I99" s="468"/>
      <c r="J99" s="467"/>
      <c r="K99" s="466"/>
    </row>
    <row r="100" spans="1:12" ht="12.75" customHeight="1" x14ac:dyDescent="0.2">
      <c r="A100" s="463" t="s">
        <v>245</v>
      </c>
      <c r="B100" s="470">
        <v>1960</v>
      </c>
      <c r="C100" s="489">
        <v>175736</v>
      </c>
      <c r="D100" s="489"/>
      <c r="E100" s="489"/>
      <c r="F100" s="489"/>
      <c r="G100" s="489"/>
      <c r="H100" s="489"/>
      <c r="I100" s="467"/>
      <c r="J100" s="489"/>
      <c r="K100" s="467"/>
    </row>
    <row r="101" spans="1:12" ht="12.75" customHeight="1" x14ac:dyDescent="0.2">
      <c r="A101" s="463" t="s">
        <v>246</v>
      </c>
      <c r="B101" s="470">
        <v>1970</v>
      </c>
      <c r="C101" s="489">
        <v>29621</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1052473</v>
      </c>
      <c r="F103" s="468"/>
      <c r="G103" s="468"/>
      <c r="H103" s="489">
        <v>620043</v>
      </c>
      <c r="I103" s="468"/>
      <c r="J103" s="510"/>
      <c r="K103" s="510"/>
    </row>
    <row r="104" spans="1:12" ht="12.75" customHeight="1" x14ac:dyDescent="0.2">
      <c r="A104" s="463" t="s">
        <v>830</v>
      </c>
      <c r="B104" s="470">
        <v>1991</v>
      </c>
      <c r="C104" s="489">
        <v>71916</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90473</v>
      </c>
      <c r="D107" s="466"/>
      <c r="E107" s="466"/>
      <c r="F107" s="466">
        <v>5978</v>
      </c>
      <c r="G107" s="466"/>
      <c r="H107" s="466"/>
      <c r="I107" s="466"/>
      <c r="J107" s="467"/>
      <c r="K107" s="466"/>
    </row>
    <row r="108" spans="1:12" ht="12.75" customHeight="1" thickBot="1" x14ac:dyDescent="0.25">
      <c r="A108" s="1707" t="s">
        <v>487</v>
      </c>
      <c r="B108" s="1711"/>
      <c r="C108" s="1706">
        <f>SUM(C95:C107)</f>
        <v>491981</v>
      </c>
      <c r="D108" s="1706">
        <f t="shared" ref="D108:K108" si="3">SUM(D95:D107)</f>
        <v>22299</v>
      </c>
      <c r="E108" s="1706">
        <f t="shared" si="3"/>
        <v>1302473</v>
      </c>
      <c r="F108" s="1706">
        <f t="shared" si="3"/>
        <v>5978</v>
      </c>
      <c r="G108" s="1706">
        <f t="shared" si="3"/>
        <v>0</v>
      </c>
      <c r="H108" s="1706">
        <f t="shared" si="3"/>
        <v>620043</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5174571</v>
      </c>
      <c r="D109" s="1714">
        <f t="shared" si="4"/>
        <v>824234</v>
      </c>
      <c r="E109" s="1714">
        <f t="shared" si="4"/>
        <v>1728943</v>
      </c>
      <c r="F109" s="1714">
        <f t="shared" si="4"/>
        <v>603468</v>
      </c>
      <c r="G109" s="1714">
        <f t="shared" si="4"/>
        <v>529024</v>
      </c>
      <c r="H109" s="1714">
        <f t="shared" si="4"/>
        <v>630258</v>
      </c>
      <c r="I109" s="1714">
        <f t="shared" si="4"/>
        <v>28550</v>
      </c>
      <c r="J109" s="1714">
        <f t="shared" si="4"/>
        <v>304379</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13545768</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7" t="s">
        <v>1933</v>
      </c>
      <c r="B120" s="562">
        <v>3030</v>
      </c>
      <c r="C120" s="551"/>
      <c r="D120" s="466"/>
      <c r="E120" s="466"/>
      <c r="F120" s="466"/>
      <c r="G120" s="466"/>
      <c r="H120" s="466"/>
      <c r="I120" s="468"/>
      <c r="J120" s="467"/>
      <c r="K120" s="466"/>
    </row>
    <row r="121" spans="1:11" x14ac:dyDescent="0.2">
      <c r="A121" s="1495" t="s">
        <v>1798</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13545768</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25709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94246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119955</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15092</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41966</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396529</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396529</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15589</v>
      </c>
      <c r="D168" s="580"/>
      <c r="E168" s="580"/>
      <c r="F168" s="580"/>
      <c r="G168" s="581"/>
      <c r="H168" s="582"/>
      <c r="I168" s="581"/>
      <c r="J168" s="581"/>
      <c r="K168" s="582"/>
    </row>
    <row r="169" spans="1:11" ht="12.75" customHeight="1" thickTop="1" thickBot="1" x14ac:dyDescent="0.25">
      <c r="A169" s="2142" t="s">
        <v>398</v>
      </c>
      <c r="B169" s="2143"/>
      <c r="C169" s="1721">
        <f t="shared" ref="C169:K169" si="6">SUM(C132,C141,C145,C146:C150,C155,C156:C167,C168)</f>
        <v>192602</v>
      </c>
      <c r="D169" s="1721">
        <f t="shared" si="6"/>
        <v>0</v>
      </c>
      <c r="E169" s="1721">
        <f t="shared" si="6"/>
        <v>0</v>
      </c>
      <c r="F169" s="1721">
        <f t="shared" si="6"/>
        <v>396529</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13738370</v>
      </c>
      <c r="D170" s="1714">
        <f t="shared" si="7"/>
        <v>0</v>
      </c>
      <c r="E170" s="1714">
        <f t="shared" si="7"/>
        <v>0</v>
      </c>
      <c r="F170" s="1714">
        <f t="shared" si="7"/>
        <v>396529</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6" t="s">
        <v>1800</v>
      </c>
      <c r="B182" s="2147"/>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598841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183606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782447</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628975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56603</v>
      </c>
      <c r="D203" s="466"/>
      <c r="E203" s="468"/>
      <c r="F203" s="466"/>
      <c r="G203" s="466"/>
      <c r="H203" s="468"/>
      <c r="I203" s="468"/>
      <c r="J203" s="468"/>
      <c r="K203" s="468"/>
    </row>
    <row r="204" spans="1:11" ht="12.75" customHeight="1" thickBot="1" x14ac:dyDescent="0.25">
      <c r="A204" s="1707" t="s">
        <v>400</v>
      </c>
      <c r="B204" s="1708"/>
      <c r="C204" s="1706">
        <f>SUM(C200:C203)</f>
        <v>685578</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253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10067</v>
      </c>
      <c r="D213" s="466"/>
      <c r="E213" s="468"/>
      <c r="F213" s="466"/>
      <c r="G213" s="466"/>
      <c r="H213" s="468"/>
      <c r="I213" s="468"/>
      <c r="J213" s="468"/>
      <c r="K213" s="468"/>
    </row>
    <row r="214" spans="1:11" ht="12.75" customHeight="1" x14ac:dyDescent="0.2">
      <c r="A214" s="463" t="s">
        <v>1054</v>
      </c>
      <c r="B214" s="470">
        <v>4625</v>
      </c>
      <c r="C214" s="551">
        <v>38541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48861</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137961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1934</v>
      </c>
      <c r="B261" s="470">
        <v>4981</v>
      </c>
      <c r="C261" s="575"/>
      <c r="D261" s="576"/>
      <c r="E261" s="468"/>
      <c r="F261" s="576"/>
      <c r="G261" s="576"/>
      <c r="H261" s="468"/>
      <c r="I261" s="468"/>
      <c r="J261" s="468"/>
      <c r="K261" s="468"/>
    </row>
    <row r="262" spans="1:11" ht="12.75" customHeight="1" thickTop="1" thickBot="1" x14ac:dyDescent="0.25">
      <c r="A262" s="1928"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11754</v>
      </c>
      <c r="D263" s="576"/>
      <c r="E263" s="468"/>
      <c r="F263" s="576"/>
      <c r="G263" s="576"/>
      <c r="H263" s="468"/>
      <c r="I263" s="468"/>
      <c r="J263" s="468"/>
      <c r="K263" s="468"/>
    </row>
    <row r="264" spans="1:11" ht="12.75" customHeight="1" thickTop="1" thickBot="1" x14ac:dyDescent="0.25">
      <c r="A264" s="463" t="s">
        <v>377</v>
      </c>
      <c r="B264" s="470">
        <v>4992</v>
      </c>
      <c r="C264" s="575">
        <v>7777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1674378</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1674378</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20587319</v>
      </c>
      <c r="D268" s="1714">
        <f t="shared" si="12"/>
        <v>824234</v>
      </c>
      <c r="E268" s="1714">
        <f t="shared" si="12"/>
        <v>1728943</v>
      </c>
      <c r="F268" s="1714">
        <f t="shared" si="12"/>
        <v>999997</v>
      </c>
      <c r="G268" s="1714">
        <f t="shared" si="12"/>
        <v>529024</v>
      </c>
      <c r="H268" s="1714">
        <f t="shared" si="12"/>
        <v>630258</v>
      </c>
      <c r="I268" s="1714">
        <f t="shared" si="12"/>
        <v>28550</v>
      </c>
      <c r="J268" s="1714">
        <f t="shared" si="12"/>
        <v>304379</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86" bottom="0.6" header="0.5" footer="0.1"/>
  <pageSetup scale="73" firstPageNumber="9" orientation="landscape" useFirstPageNumber="1" r:id="rId1"/>
  <headerFooter alignWithMargins="0">
    <oddHeader>&amp;L&amp;8Page &amp;P&amp;C&amp;"Arial,Bold"&amp;9STATEMENT OF REVENUES RECEIVED/REVENUES
FOR THE YEAR ENDING JUNE 30, 2019&amp;R&amp;8Page &amp;P</oddHeader>
    <oddFooter>&amp;L&amp;8The accompanying notes are an integral part of these financial statements.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5"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7286915</v>
      </c>
      <c r="D5" s="466">
        <v>1646436</v>
      </c>
      <c r="E5" s="466">
        <v>84070</v>
      </c>
      <c r="F5" s="466">
        <v>223286</v>
      </c>
      <c r="G5" s="466">
        <v>88430</v>
      </c>
      <c r="H5" s="466">
        <v>1980</v>
      </c>
      <c r="I5" s="467"/>
      <c r="J5" s="467"/>
      <c r="K5" s="1670">
        <f>SUM(C5:J5)</f>
        <v>9331117</v>
      </c>
      <c r="L5" s="466">
        <v>9517430</v>
      </c>
    </row>
    <row r="6" spans="1:14" x14ac:dyDescent="0.2">
      <c r="A6" s="1503" t="s">
        <v>1433</v>
      </c>
      <c r="B6" s="614" t="s">
        <v>1431</v>
      </c>
      <c r="C6" s="477"/>
      <c r="D6" s="477"/>
      <c r="E6" s="466"/>
      <c r="F6" s="477"/>
      <c r="G6" s="477"/>
      <c r="H6" s="477"/>
      <c r="I6" s="477"/>
      <c r="J6" s="477"/>
      <c r="K6" s="1670">
        <f>SUM(C6,E6)</f>
        <v>0</v>
      </c>
      <c r="L6" s="466">
        <v>0</v>
      </c>
    </row>
    <row r="7" spans="1:14" x14ac:dyDescent="0.2">
      <c r="A7" s="1503" t="s">
        <v>163</v>
      </c>
      <c r="B7" s="614" t="s">
        <v>967</v>
      </c>
      <c r="C7" s="467"/>
      <c r="D7" s="467"/>
      <c r="E7" s="467"/>
      <c r="F7" s="467"/>
      <c r="G7" s="467"/>
      <c r="H7" s="467"/>
      <c r="I7" s="467"/>
      <c r="J7" s="467"/>
      <c r="K7" s="1670">
        <f t="shared" ref="K7:K32" si="0">SUM(C7:J7)</f>
        <v>0</v>
      </c>
      <c r="L7" s="466">
        <v>0</v>
      </c>
    </row>
    <row r="8" spans="1:14" x14ac:dyDescent="0.2">
      <c r="A8" s="1503" t="s">
        <v>164</v>
      </c>
      <c r="B8" s="614">
        <v>1200</v>
      </c>
      <c r="C8" s="466"/>
      <c r="D8" s="466"/>
      <c r="E8" s="466"/>
      <c r="F8" s="466"/>
      <c r="G8" s="466"/>
      <c r="H8" s="466"/>
      <c r="I8" s="467"/>
      <c r="J8" s="467"/>
      <c r="K8" s="1670">
        <f t="shared" si="0"/>
        <v>0</v>
      </c>
      <c r="L8" s="466">
        <v>0</v>
      </c>
    </row>
    <row r="9" spans="1:14" x14ac:dyDescent="0.2">
      <c r="A9" s="1503" t="s">
        <v>721</v>
      </c>
      <c r="B9" s="614" t="s">
        <v>968</v>
      </c>
      <c r="C9" s="467"/>
      <c r="D9" s="467"/>
      <c r="E9" s="467"/>
      <c r="F9" s="467"/>
      <c r="G9" s="467"/>
      <c r="H9" s="467"/>
      <c r="I9" s="467"/>
      <c r="J9" s="467"/>
      <c r="K9" s="1670">
        <f t="shared" si="0"/>
        <v>0</v>
      </c>
      <c r="L9" s="466">
        <v>0</v>
      </c>
    </row>
    <row r="10" spans="1:14" x14ac:dyDescent="0.2">
      <c r="A10" s="1503" t="s">
        <v>722</v>
      </c>
      <c r="B10" s="614">
        <v>1250</v>
      </c>
      <c r="C10" s="466">
        <v>400532</v>
      </c>
      <c r="D10" s="466">
        <v>113810</v>
      </c>
      <c r="E10" s="466"/>
      <c r="F10" s="466">
        <v>27656</v>
      </c>
      <c r="G10" s="466"/>
      <c r="H10" s="466"/>
      <c r="I10" s="467"/>
      <c r="J10" s="467"/>
      <c r="K10" s="1670">
        <f t="shared" si="0"/>
        <v>541998</v>
      </c>
      <c r="L10" s="466">
        <v>1031837</v>
      </c>
    </row>
    <row r="11" spans="1:14" x14ac:dyDescent="0.2">
      <c r="A11" s="1503" t="s">
        <v>1130</v>
      </c>
      <c r="B11" s="614" t="s">
        <v>161</v>
      </c>
      <c r="C11" s="467"/>
      <c r="D11" s="467"/>
      <c r="E11" s="467"/>
      <c r="F11" s="467"/>
      <c r="G11" s="467"/>
      <c r="H11" s="467"/>
      <c r="I11" s="467"/>
      <c r="J11" s="467"/>
      <c r="K11" s="1670">
        <f t="shared" si="0"/>
        <v>0</v>
      </c>
      <c r="L11" s="466">
        <v>0</v>
      </c>
    </row>
    <row r="12" spans="1:14" x14ac:dyDescent="0.2">
      <c r="A12" s="1503" t="s">
        <v>962</v>
      </c>
      <c r="B12" s="614">
        <v>1300</v>
      </c>
      <c r="C12" s="466"/>
      <c r="D12" s="466"/>
      <c r="E12" s="466"/>
      <c r="F12" s="466"/>
      <c r="G12" s="466"/>
      <c r="H12" s="466"/>
      <c r="I12" s="467"/>
      <c r="J12" s="467"/>
      <c r="K12" s="1670">
        <f t="shared" si="0"/>
        <v>0</v>
      </c>
      <c r="L12" s="466">
        <v>0</v>
      </c>
    </row>
    <row r="13" spans="1:14" x14ac:dyDescent="0.2">
      <c r="A13" s="1503" t="s">
        <v>723</v>
      </c>
      <c r="B13" s="614">
        <v>1400</v>
      </c>
      <c r="C13" s="466"/>
      <c r="D13" s="466"/>
      <c r="E13" s="466"/>
      <c r="F13" s="466"/>
      <c r="G13" s="466"/>
      <c r="H13" s="466"/>
      <c r="I13" s="467"/>
      <c r="J13" s="467"/>
      <c r="K13" s="1670">
        <f t="shared" si="0"/>
        <v>0</v>
      </c>
      <c r="L13" s="466">
        <v>0</v>
      </c>
    </row>
    <row r="14" spans="1:14" x14ac:dyDescent="0.2">
      <c r="A14" s="1503" t="s">
        <v>963</v>
      </c>
      <c r="B14" s="614">
        <v>1500</v>
      </c>
      <c r="C14" s="466">
        <v>236520</v>
      </c>
      <c r="D14" s="466">
        <v>25909</v>
      </c>
      <c r="E14" s="466">
        <v>61372</v>
      </c>
      <c r="F14" s="466">
        <v>108975</v>
      </c>
      <c r="G14" s="466"/>
      <c r="H14" s="466">
        <v>24588</v>
      </c>
      <c r="I14" s="467"/>
      <c r="J14" s="467"/>
      <c r="K14" s="1670">
        <f t="shared" si="0"/>
        <v>457364</v>
      </c>
      <c r="L14" s="466">
        <v>462598</v>
      </c>
    </row>
    <row r="15" spans="1:14" x14ac:dyDescent="0.2">
      <c r="A15" s="1503" t="s">
        <v>964</v>
      </c>
      <c r="B15" s="614">
        <v>1600</v>
      </c>
      <c r="C15" s="466"/>
      <c r="D15" s="466"/>
      <c r="E15" s="466"/>
      <c r="F15" s="466"/>
      <c r="G15" s="466"/>
      <c r="H15" s="466"/>
      <c r="I15" s="467"/>
      <c r="J15" s="467"/>
      <c r="K15" s="1670">
        <f t="shared" si="0"/>
        <v>0</v>
      </c>
      <c r="L15" s="466">
        <v>0</v>
      </c>
    </row>
    <row r="16" spans="1:14" x14ac:dyDescent="0.2">
      <c r="A16" s="1503" t="s">
        <v>987</v>
      </c>
      <c r="B16" s="614" t="s">
        <v>424</v>
      </c>
      <c r="C16" s="466"/>
      <c r="D16" s="466"/>
      <c r="E16" s="466"/>
      <c r="F16" s="466"/>
      <c r="G16" s="466"/>
      <c r="H16" s="466"/>
      <c r="I16" s="467"/>
      <c r="J16" s="467"/>
      <c r="K16" s="1670">
        <f t="shared" si="0"/>
        <v>0</v>
      </c>
      <c r="L16" s="466">
        <v>0</v>
      </c>
    </row>
    <row r="17" spans="1:12" x14ac:dyDescent="0.2">
      <c r="A17" s="1503" t="s">
        <v>724</v>
      </c>
      <c r="B17" s="614" t="s">
        <v>162</v>
      </c>
      <c r="C17" s="467"/>
      <c r="D17" s="467"/>
      <c r="E17" s="467"/>
      <c r="F17" s="467"/>
      <c r="G17" s="467"/>
      <c r="H17" s="467"/>
      <c r="I17" s="467"/>
      <c r="J17" s="467"/>
      <c r="K17" s="1670">
        <f t="shared" si="0"/>
        <v>0</v>
      </c>
      <c r="L17" s="466">
        <v>0</v>
      </c>
    </row>
    <row r="18" spans="1:12" x14ac:dyDescent="0.2">
      <c r="A18" s="1503" t="s">
        <v>1087</v>
      </c>
      <c r="B18" s="614">
        <v>1800</v>
      </c>
      <c r="C18" s="466"/>
      <c r="D18" s="466"/>
      <c r="E18" s="466"/>
      <c r="F18" s="466"/>
      <c r="G18" s="466"/>
      <c r="H18" s="466"/>
      <c r="I18" s="467"/>
      <c r="J18" s="467"/>
      <c r="K18" s="1670">
        <f t="shared" si="0"/>
        <v>0</v>
      </c>
      <c r="L18" s="466">
        <v>0</v>
      </c>
    </row>
    <row r="19" spans="1:12" x14ac:dyDescent="0.2">
      <c r="A19" s="1503" t="s">
        <v>134</v>
      </c>
      <c r="B19" s="614">
        <v>1900</v>
      </c>
      <c r="C19" s="466">
        <v>99412</v>
      </c>
      <c r="D19" s="466">
        <v>28521</v>
      </c>
      <c r="E19" s="466"/>
      <c r="F19" s="466"/>
      <c r="G19" s="466"/>
      <c r="H19" s="466"/>
      <c r="I19" s="467"/>
      <c r="J19" s="467"/>
      <c r="K19" s="1670">
        <f t="shared" si="0"/>
        <v>127933</v>
      </c>
      <c r="L19" s="466">
        <v>129250</v>
      </c>
    </row>
    <row r="20" spans="1:12" x14ac:dyDescent="0.2">
      <c r="A20" s="1504" t="s">
        <v>738</v>
      </c>
      <c r="B20" s="602" t="s">
        <v>725</v>
      </c>
      <c r="C20" s="477"/>
      <c r="D20" s="477"/>
      <c r="E20" s="477"/>
      <c r="F20" s="477"/>
      <c r="G20" s="477"/>
      <c r="H20" s="474"/>
      <c r="I20" s="616"/>
      <c r="J20" s="475"/>
      <c r="K20" s="1670">
        <f t="shared" si="0"/>
        <v>0</v>
      </c>
      <c r="L20" s="471">
        <v>0</v>
      </c>
    </row>
    <row r="21" spans="1:12" x14ac:dyDescent="0.2">
      <c r="A21" s="1504" t="s">
        <v>739</v>
      </c>
      <c r="B21" s="602" t="s">
        <v>726</v>
      </c>
      <c r="C21" s="477"/>
      <c r="D21" s="477"/>
      <c r="E21" s="477"/>
      <c r="F21" s="477"/>
      <c r="G21" s="477"/>
      <c r="H21" s="474"/>
      <c r="I21" s="616"/>
      <c r="J21" s="477"/>
      <c r="K21" s="1670">
        <f t="shared" si="0"/>
        <v>0</v>
      </c>
      <c r="L21" s="471">
        <v>0</v>
      </c>
    </row>
    <row r="22" spans="1:12" x14ac:dyDescent="0.2">
      <c r="A22" s="1504" t="s">
        <v>740</v>
      </c>
      <c r="B22" s="602" t="s">
        <v>727</v>
      </c>
      <c r="C22" s="477"/>
      <c r="D22" s="477"/>
      <c r="E22" s="477"/>
      <c r="F22" s="477"/>
      <c r="G22" s="477"/>
      <c r="H22" s="474"/>
      <c r="I22" s="616"/>
      <c r="J22" s="477"/>
      <c r="K22" s="1670">
        <f t="shared" si="0"/>
        <v>0</v>
      </c>
      <c r="L22" s="471">
        <v>0</v>
      </c>
    </row>
    <row r="23" spans="1:12" x14ac:dyDescent="0.2">
      <c r="A23" s="1504" t="s">
        <v>741</v>
      </c>
      <c r="B23" s="602" t="s">
        <v>728</v>
      </c>
      <c r="C23" s="477"/>
      <c r="D23" s="477"/>
      <c r="E23" s="477"/>
      <c r="F23" s="477"/>
      <c r="G23" s="477"/>
      <c r="H23" s="474"/>
      <c r="I23" s="616"/>
      <c r="J23" s="477"/>
      <c r="K23" s="1670">
        <f t="shared" si="0"/>
        <v>0</v>
      </c>
      <c r="L23" s="471">
        <v>0</v>
      </c>
    </row>
    <row r="24" spans="1:12" ht="12.75" customHeight="1" x14ac:dyDescent="0.2">
      <c r="A24" s="1504" t="s">
        <v>742</v>
      </c>
      <c r="B24" s="602" t="s">
        <v>729</v>
      </c>
      <c r="C24" s="477"/>
      <c r="D24" s="477"/>
      <c r="E24" s="477"/>
      <c r="F24" s="477"/>
      <c r="G24" s="477"/>
      <c r="H24" s="474"/>
      <c r="I24" s="616"/>
      <c r="J24" s="477"/>
      <c r="K24" s="1670">
        <f t="shared" si="0"/>
        <v>0</v>
      </c>
      <c r="L24" s="471">
        <v>0</v>
      </c>
    </row>
    <row r="25" spans="1:12" ht="12.75" customHeight="1" x14ac:dyDescent="0.2">
      <c r="A25" s="1504" t="s">
        <v>802</v>
      </c>
      <c r="B25" s="602" t="s">
        <v>730</v>
      </c>
      <c r="C25" s="477"/>
      <c r="D25" s="477"/>
      <c r="E25" s="477"/>
      <c r="F25" s="477"/>
      <c r="G25" s="477"/>
      <c r="H25" s="474"/>
      <c r="I25" s="616"/>
      <c r="J25" s="477"/>
      <c r="K25" s="1670">
        <f t="shared" si="0"/>
        <v>0</v>
      </c>
      <c r="L25" s="471">
        <v>0</v>
      </c>
    </row>
    <row r="26" spans="1:12" x14ac:dyDescent="0.2">
      <c r="A26" s="1504" t="s">
        <v>622</v>
      </c>
      <c r="B26" s="602" t="s">
        <v>731</v>
      </c>
      <c r="C26" s="477"/>
      <c r="D26" s="477"/>
      <c r="E26" s="477"/>
      <c r="F26" s="477"/>
      <c r="G26" s="477"/>
      <c r="H26" s="474"/>
      <c r="I26" s="616"/>
      <c r="J26" s="477"/>
      <c r="K26" s="1670">
        <f t="shared" si="0"/>
        <v>0</v>
      </c>
      <c r="L26" s="471">
        <v>0</v>
      </c>
    </row>
    <row r="27" spans="1:12" x14ac:dyDescent="0.2">
      <c r="A27" s="1504" t="s">
        <v>623</v>
      </c>
      <c r="B27" s="602" t="s">
        <v>732</v>
      </c>
      <c r="C27" s="477"/>
      <c r="D27" s="477"/>
      <c r="E27" s="477"/>
      <c r="F27" s="477"/>
      <c r="G27" s="477"/>
      <c r="H27" s="474"/>
      <c r="I27" s="616"/>
      <c r="J27" s="477"/>
      <c r="K27" s="1670">
        <f t="shared" si="0"/>
        <v>0</v>
      </c>
      <c r="L27" s="471">
        <v>0</v>
      </c>
    </row>
    <row r="28" spans="1:12" x14ac:dyDescent="0.2">
      <c r="A28" s="1504" t="s">
        <v>150</v>
      </c>
      <c r="B28" s="602" t="s">
        <v>733</v>
      </c>
      <c r="C28" s="477"/>
      <c r="D28" s="477"/>
      <c r="E28" s="477"/>
      <c r="F28" s="477"/>
      <c r="G28" s="477"/>
      <c r="H28" s="474"/>
      <c r="I28" s="616"/>
      <c r="J28" s="477"/>
      <c r="K28" s="1670">
        <f t="shared" si="0"/>
        <v>0</v>
      </c>
      <c r="L28" s="471">
        <v>0</v>
      </c>
    </row>
    <row r="29" spans="1:12" x14ac:dyDescent="0.2">
      <c r="A29" s="1504" t="s">
        <v>151</v>
      </c>
      <c r="B29" s="602" t="s">
        <v>734</v>
      </c>
      <c r="C29" s="477"/>
      <c r="D29" s="477"/>
      <c r="E29" s="477"/>
      <c r="F29" s="477"/>
      <c r="G29" s="477"/>
      <c r="H29" s="474"/>
      <c r="I29" s="616"/>
      <c r="J29" s="477"/>
      <c r="K29" s="1670">
        <f t="shared" si="0"/>
        <v>0</v>
      </c>
      <c r="L29" s="471">
        <v>0</v>
      </c>
    </row>
    <row r="30" spans="1:12" x14ac:dyDescent="0.2">
      <c r="A30" s="1504" t="s">
        <v>152</v>
      </c>
      <c r="B30" s="602" t="s">
        <v>735</v>
      </c>
      <c r="C30" s="477"/>
      <c r="D30" s="477"/>
      <c r="E30" s="477"/>
      <c r="F30" s="477"/>
      <c r="G30" s="477"/>
      <c r="H30" s="474"/>
      <c r="I30" s="616"/>
      <c r="J30" s="477"/>
      <c r="K30" s="1670">
        <f t="shared" si="0"/>
        <v>0</v>
      </c>
      <c r="L30" s="471">
        <v>0</v>
      </c>
    </row>
    <row r="31" spans="1:12" x14ac:dyDescent="0.2">
      <c r="A31" s="1504" t="s">
        <v>153</v>
      </c>
      <c r="B31" s="602" t="s">
        <v>736</v>
      </c>
      <c r="C31" s="477"/>
      <c r="D31" s="477"/>
      <c r="E31" s="477"/>
      <c r="F31" s="477"/>
      <c r="G31" s="477"/>
      <c r="H31" s="474"/>
      <c r="I31" s="616"/>
      <c r="J31" s="477"/>
      <c r="K31" s="1670">
        <f t="shared" si="0"/>
        <v>0</v>
      </c>
      <c r="L31" s="471">
        <v>0</v>
      </c>
    </row>
    <row r="32" spans="1:12" x14ac:dyDescent="0.2">
      <c r="A32" s="1505" t="s">
        <v>1129</v>
      </c>
      <c r="B32" s="614" t="s">
        <v>737</v>
      </c>
      <c r="C32" s="477"/>
      <c r="D32" s="477"/>
      <c r="E32" s="477"/>
      <c r="F32" s="477"/>
      <c r="G32" s="477"/>
      <c r="H32" s="474"/>
      <c r="I32" s="616"/>
      <c r="J32" s="480"/>
      <c r="K32" s="1670">
        <f t="shared" si="0"/>
        <v>0</v>
      </c>
      <c r="L32" s="471">
        <v>0</v>
      </c>
    </row>
    <row r="33" spans="1:14" ht="12.75" customHeight="1" thickBot="1" x14ac:dyDescent="0.25">
      <c r="A33" s="1667" t="s">
        <v>1668</v>
      </c>
      <c r="B33" s="1668" t="s">
        <v>570</v>
      </c>
      <c r="C33" s="1669">
        <f>SUM(C5:C32)</f>
        <v>8023379</v>
      </c>
      <c r="D33" s="1669">
        <f t="shared" ref="D33:L33" si="1">SUM(D5:D32)</f>
        <v>1814676</v>
      </c>
      <c r="E33" s="1669">
        <f t="shared" si="1"/>
        <v>145442</v>
      </c>
      <c r="F33" s="1669">
        <f t="shared" si="1"/>
        <v>359917</v>
      </c>
      <c r="G33" s="1669">
        <f t="shared" si="1"/>
        <v>88430</v>
      </c>
      <c r="H33" s="1669">
        <f t="shared" si="1"/>
        <v>26568</v>
      </c>
      <c r="I33" s="1669">
        <f t="shared" si="1"/>
        <v>0</v>
      </c>
      <c r="J33" s="1669">
        <f t="shared" si="1"/>
        <v>0</v>
      </c>
      <c r="K33" s="1669">
        <f t="shared" si="1"/>
        <v>10458412</v>
      </c>
      <c r="L33" s="1669">
        <f t="shared" si="1"/>
        <v>11141115</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247317</v>
      </c>
      <c r="D36" s="481">
        <v>71754</v>
      </c>
      <c r="E36" s="481">
        <v>295</v>
      </c>
      <c r="F36" s="481"/>
      <c r="G36" s="481"/>
      <c r="H36" s="481"/>
      <c r="I36" s="467"/>
      <c r="J36" s="467"/>
      <c r="K36" s="1670">
        <f t="shared" ref="K36:K41" si="2">SUM(C36:J36)</f>
        <v>319366</v>
      </c>
      <c r="L36" s="466">
        <v>337939</v>
      </c>
    </row>
    <row r="37" spans="1:14" x14ac:dyDescent="0.2">
      <c r="A37" s="1503" t="s">
        <v>1090</v>
      </c>
      <c r="B37" s="614">
        <v>2120</v>
      </c>
      <c r="C37" s="466">
        <v>168112</v>
      </c>
      <c r="D37" s="466">
        <v>28447</v>
      </c>
      <c r="E37" s="466">
        <v>491</v>
      </c>
      <c r="F37" s="466">
        <v>399</v>
      </c>
      <c r="G37" s="466"/>
      <c r="H37" s="466"/>
      <c r="I37" s="467"/>
      <c r="J37" s="467"/>
      <c r="K37" s="1670">
        <f t="shared" si="2"/>
        <v>197449</v>
      </c>
      <c r="L37" s="466">
        <v>202763</v>
      </c>
    </row>
    <row r="38" spans="1:14" x14ac:dyDescent="0.2">
      <c r="A38" s="1503" t="s">
        <v>198</v>
      </c>
      <c r="B38" s="614">
        <v>2130</v>
      </c>
      <c r="C38" s="466">
        <v>105912</v>
      </c>
      <c r="D38" s="466">
        <v>10403</v>
      </c>
      <c r="E38" s="466">
        <v>174</v>
      </c>
      <c r="F38" s="466">
        <v>2169</v>
      </c>
      <c r="G38" s="466"/>
      <c r="H38" s="466"/>
      <c r="I38" s="467"/>
      <c r="J38" s="467"/>
      <c r="K38" s="1670">
        <f t="shared" si="2"/>
        <v>118658</v>
      </c>
      <c r="L38" s="466">
        <v>115216</v>
      </c>
    </row>
    <row r="39" spans="1:14" x14ac:dyDescent="0.2">
      <c r="A39" s="1503" t="s">
        <v>199</v>
      </c>
      <c r="B39" s="614">
        <v>2140</v>
      </c>
      <c r="C39" s="466"/>
      <c r="D39" s="466"/>
      <c r="E39" s="466"/>
      <c r="F39" s="466"/>
      <c r="G39" s="466"/>
      <c r="H39" s="466"/>
      <c r="I39" s="467"/>
      <c r="J39" s="467"/>
      <c r="K39" s="1670">
        <f t="shared" si="2"/>
        <v>0</v>
      </c>
      <c r="L39" s="466">
        <v>0</v>
      </c>
    </row>
    <row r="40" spans="1:14" x14ac:dyDescent="0.2">
      <c r="A40" s="1503" t="s">
        <v>200</v>
      </c>
      <c r="B40" s="614">
        <v>2150</v>
      </c>
      <c r="C40" s="466"/>
      <c r="D40" s="466"/>
      <c r="E40" s="466"/>
      <c r="F40" s="466"/>
      <c r="G40" s="466"/>
      <c r="H40" s="466"/>
      <c r="I40" s="467"/>
      <c r="J40" s="467"/>
      <c r="K40" s="1670">
        <f t="shared" si="2"/>
        <v>0</v>
      </c>
      <c r="L40" s="466">
        <v>0</v>
      </c>
    </row>
    <row r="41" spans="1:14" x14ac:dyDescent="0.2">
      <c r="A41" s="1503" t="s">
        <v>1669</v>
      </c>
      <c r="B41" s="614">
        <v>2190</v>
      </c>
      <c r="C41" s="466">
        <v>39192</v>
      </c>
      <c r="D41" s="466">
        <v>70</v>
      </c>
      <c r="E41" s="466"/>
      <c r="F41" s="466">
        <v>17258</v>
      </c>
      <c r="G41" s="466">
        <v>912</v>
      </c>
      <c r="H41" s="466"/>
      <c r="I41" s="467"/>
      <c r="J41" s="467"/>
      <c r="K41" s="1670">
        <f t="shared" si="2"/>
        <v>57432</v>
      </c>
      <c r="L41" s="466">
        <v>58089</v>
      </c>
    </row>
    <row r="42" spans="1:14" ht="12.75" customHeight="1" thickBot="1" x14ac:dyDescent="0.25">
      <c r="A42" s="1667" t="s">
        <v>560</v>
      </c>
      <c r="B42" s="1668" t="s">
        <v>716</v>
      </c>
      <c r="C42" s="1669">
        <f>SUM(C36:C41)</f>
        <v>560533</v>
      </c>
      <c r="D42" s="1669">
        <f t="shared" ref="D42:L42" si="3">SUM(D36:D41)</f>
        <v>110674</v>
      </c>
      <c r="E42" s="1669">
        <f t="shared" si="3"/>
        <v>960</v>
      </c>
      <c r="F42" s="1669">
        <f t="shared" si="3"/>
        <v>19826</v>
      </c>
      <c r="G42" s="1669">
        <f t="shared" si="3"/>
        <v>912</v>
      </c>
      <c r="H42" s="1669">
        <f t="shared" si="3"/>
        <v>0</v>
      </c>
      <c r="I42" s="1669">
        <f t="shared" si="3"/>
        <v>0</v>
      </c>
      <c r="J42" s="1669">
        <f t="shared" si="3"/>
        <v>0</v>
      </c>
      <c r="K42" s="1669">
        <f t="shared" si="3"/>
        <v>692905</v>
      </c>
      <c r="L42" s="1669">
        <f t="shared" si="3"/>
        <v>714007</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180023</v>
      </c>
      <c r="D44" s="481">
        <v>33225</v>
      </c>
      <c r="E44" s="481">
        <v>20769</v>
      </c>
      <c r="F44" s="481">
        <v>8360</v>
      </c>
      <c r="G44" s="481"/>
      <c r="H44" s="481">
        <v>817</v>
      </c>
      <c r="I44" s="467"/>
      <c r="J44" s="467"/>
      <c r="K44" s="1671">
        <f>SUM(C44:J44)</f>
        <v>243194</v>
      </c>
      <c r="L44" s="481">
        <v>268179</v>
      </c>
    </row>
    <row r="45" spans="1:14" x14ac:dyDescent="0.2">
      <c r="A45" s="1503" t="s">
        <v>815</v>
      </c>
      <c r="B45" s="614">
        <v>2220</v>
      </c>
      <c r="C45" s="466">
        <v>143103</v>
      </c>
      <c r="D45" s="466">
        <v>29496</v>
      </c>
      <c r="E45" s="466">
        <v>2912</v>
      </c>
      <c r="F45" s="466">
        <v>22513</v>
      </c>
      <c r="G45" s="466"/>
      <c r="H45" s="466"/>
      <c r="I45" s="467"/>
      <c r="J45" s="467"/>
      <c r="K45" s="1671">
        <f>SUM(C45:J45)</f>
        <v>198024</v>
      </c>
      <c r="L45" s="466">
        <v>191885</v>
      </c>
    </row>
    <row r="46" spans="1:14" x14ac:dyDescent="0.2">
      <c r="A46" s="1503" t="s">
        <v>816</v>
      </c>
      <c r="B46" s="614">
        <v>2230</v>
      </c>
      <c r="C46" s="466"/>
      <c r="D46" s="466"/>
      <c r="E46" s="466">
        <v>28066</v>
      </c>
      <c r="F46" s="466">
        <v>153</v>
      </c>
      <c r="G46" s="466"/>
      <c r="H46" s="466"/>
      <c r="I46" s="467"/>
      <c r="J46" s="467"/>
      <c r="K46" s="1671">
        <f>SUM(C46:J46)</f>
        <v>28219</v>
      </c>
      <c r="L46" s="466">
        <v>83085</v>
      </c>
    </row>
    <row r="47" spans="1:14" ht="12.75" customHeight="1" thickBot="1" x14ac:dyDescent="0.25">
      <c r="A47" s="1667" t="s">
        <v>561</v>
      </c>
      <c r="B47" s="1668" t="s">
        <v>32</v>
      </c>
      <c r="C47" s="1669">
        <f>SUM(C44:C46)</f>
        <v>323126</v>
      </c>
      <c r="D47" s="1669">
        <f t="shared" ref="D47:K47" si="4">SUM(D44:D46)</f>
        <v>62721</v>
      </c>
      <c r="E47" s="1669">
        <f t="shared" si="4"/>
        <v>51747</v>
      </c>
      <c r="F47" s="1669">
        <f t="shared" si="4"/>
        <v>31026</v>
      </c>
      <c r="G47" s="1669">
        <f t="shared" si="4"/>
        <v>0</v>
      </c>
      <c r="H47" s="1669">
        <f t="shared" si="4"/>
        <v>817</v>
      </c>
      <c r="I47" s="1669">
        <f t="shared" si="4"/>
        <v>0</v>
      </c>
      <c r="J47" s="1669">
        <f t="shared" si="4"/>
        <v>0</v>
      </c>
      <c r="K47" s="1669">
        <f t="shared" si="4"/>
        <v>469437</v>
      </c>
      <c r="L47" s="1669">
        <f>SUM(L44:L46)</f>
        <v>543149</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3000</v>
      </c>
      <c r="D49" s="481"/>
      <c r="E49" s="481">
        <v>41378</v>
      </c>
      <c r="F49" s="481">
        <v>2909</v>
      </c>
      <c r="G49" s="481"/>
      <c r="H49" s="481">
        <v>6322</v>
      </c>
      <c r="I49" s="467"/>
      <c r="J49" s="467"/>
      <c r="K49" s="1671">
        <f>SUM(C49:J49)</f>
        <v>53609</v>
      </c>
      <c r="L49" s="481">
        <v>54434</v>
      </c>
    </row>
    <row r="50" spans="1:14" x14ac:dyDescent="0.2">
      <c r="A50" s="1503" t="s">
        <v>818</v>
      </c>
      <c r="B50" s="614">
        <v>2320</v>
      </c>
      <c r="C50" s="466">
        <v>246594</v>
      </c>
      <c r="D50" s="466">
        <v>31414</v>
      </c>
      <c r="E50" s="466">
        <v>27517</v>
      </c>
      <c r="F50" s="466">
        <v>2080</v>
      </c>
      <c r="G50" s="466"/>
      <c r="H50" s="466">
        <v>1494</v>
      </c>
      <c r="I50" s="467"/>
      <c r="J50" s="467"/>
      <c r="K50" s="1671">
        <f>SUM(C50:J50)</f>
        <v>309099</v>
      </c>
      <c r="L50" s="466">
        <v>309099</v>
      </c>
    </row>
    <row r="51" spans="1:14" x14ac:dyDescent="0.2">
      <c r="A51" s="1503" t="s">
        <v>42</v>
      </c>
      <c r="B51" s="614">
        <v>2330</v>
      </c>
      <c r="C51" s="466"/>
      <c r="D51" s="466"/>
      <c r="E51" s="466"/>
      <c r="F51" s="466"/>
      <c r="G51" s="466"/>
      <c r="H51" s="466"/>
      <c r="I51" s="467"/>
      <c r="J51" s="467"/>
      <c r="K51" s="1671">
        <f>SUM(C51:J51)</f>
        <v>0</v>
      </c>
      <c r="L51" s="466">
        <v>0</v>
      </c>
    </row>
    <row r="52" spans="1:14" ht="22.5" x14ac:dyDescent="0.2">
      <c r="A52" s="1504" t="s">
        <v>298</v>
      </c>
      <c r="B52" s="627" t="s">
        <v>366</v>
      </c>
      <c r="C52" s="474"/>
      <c r="D52" s="474"/>
      <c r="E52" s="474"/>
      <c r="F52" s="474"/>
      <c r="G52" s="474"/>
      <c r="H52" s="474"/>
      <c r="I52" s="474"/>
      <c r="J52" s="474"/>
      <c r="K52" s="1671">
        <f>SUM(C52:J52)</f>
        <v>0</v>
      </c>
      <c r="L52" s="474">
        <v>0</v>
      </c>
    </row>
    <row r="53" spans="1:14" ht="12.75" customHeight="1" thickBot="1" x14ac:dyDescent="0.25">
      <c r="A53" s="1667" t="s">
        <v>717</v>
      </c>
      <c r="B53" s="1668" t="s">
        <v>33</v>
      </c>
      <c r="C53" s="1669">
        <f>SUM(C49:C52)</f>
        <v>249594</v>
      </c>
      <c r="D53" s="1669">
        <f t="shared" ref="D53:L53" si="5">SUM(D49:D52)</f>
        <v>31414</v>
      </c>
      <c r="E53" s="1669">
        <f t="shared" si="5"/>
        <v>68895</v>
      </c>
      <c r="F53" s="1669">
        <f t="shared" si="5"/>
        <v>4989</v>
      </c>
      <c r="G53" s="1669">
        <f t="shared" si="5"/>
        <v>0</v>
      </c>
      <c r="H53" s="1669">
        <f t="shared" si="5"/>
        <v>7816</v>
      </c>
      <c r="I53" s="1669">
        <f t="shared" si="5"/>
        <v>0</v>
      </c>
      <c r="J53" s="1669">
        <f t="shared" si="5"/>
        <v>0</v>
      </c>
      <c r="K53" s="1669">
        <f t="shared" si="5"/>
        <v>362708</v>
      </c>
      <c r="L53" s="1669">
        <f t="shared" si="5"/>
        <v>363533</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1048242</v>
      </c>
      <c r="D55" s="481">
        <v>167145</v>
      </c>
      <c r="E55" s="481">
        <v>108262</v>
      </c>
      <c r="F55" s="481">
        <v>162153</v>
      </c>
      <c r="G55" s="481">
        <v>5466</v>
      </c>
      <c r="H55" s="481">
        <v>3239</v>
      </c>
      <c r="I55" s="467"/>
      <c r="J55" s="467"/>
      <c r="K55" s="1671">
        <f>SUM(C55:J55)</f>
        <v>1494507</v>
      </c>
      <c r="L55" s="481">
        <v>1510890</v>
      </c>
    </row>
    <row r="56" spans="1:14" ht="12.75" customHeight="1" x14ac:dyDescent="0.2">
      <c r="A56" s="1507" t="s">
        <v>376</v>
      </c>
      <c r="B56" s="628">
        <v>2490</v>
      </c>
      <c r="C56" s="466"/>
      <c r="D56" s="466"/>
      <c r="E56" s="466"/>
      <c r="F56" s="466"/>
      <c r="G56" s="466"/>
      <c r="H56" s="466"/>
      <c r="I56" s="467"/>
      <c r="J56" s="467"/>
      <c r="K56" s="1671">
        <f>SUM(C56:J56)</f>
        <v>0</v>
      </c>
      <c r="L56" s="466">
        <v>0</v>
      </c>
    </row>
    <row r="57" spans="1:14" s="343" customFormat="1" ht="12.75" customHeight="1" thickBot="1" x14ac:dyDescent="0.25">
      <c r="A57" s="1667" t="s">
        <v>263</v>
      </c>
      <c r="B57" s="1672" t="s">
        <v>34</v>
      </c>
      <c r="C57" s="1673">
        <f>SUM(C55:C56)</f>
        <v>1048242</v>
      </c>
      <c r="D57" s="1673">
        <f t="shared" ref="D57:K57" si="6">SUM(D55:D56)</f>
        <v>167145</v>
      </c>
      <c r="E57" s="1673">
        <f t="shared" si="6"/>
        <v>108262</v>
      </c>
      <c r="F57" s="1673">
        <f t="shared" si="6"/>
        <v>162153</v>
      </c>
      <c r="G57" s="1673">
        <f t="shared" si="6"/>
        <v>5466</v>
      </c>
      <c r="H57" s="1673">
        <f t="shared" si="6"/>
        <v>3239</v>
      </c>
      <c r="I57" s="1673">
        <f t="shared" si="6"/>
        <v>0</v>
      </c>
      <c r="J57" s="1673">
        <f t="shared" si="6"/>
        <v>0</v>
      </c>
      <c r="K57" s="1673">
        <f t="shared" si="6"/>
        <v>1494507</v>
      </c>
      <c r="L57" s="1669">
        <f>SUM(L55:L56)</f>
        <v>1510890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v>0</v>
      </c>
      <c r="M59" s="609"/>
      <c r="N59" s="609"/>
    </row>
    <row r="60" spans="1:14" s="343" customFormat="1" x14ac:dyDescent="0.2">
      <c r="A60" s="1503" t="s">
        <v>463</v>
      </c>
      <c r="B60" s="614">
        <v>2520</v>
      </c>
      <c r="C60" s="466">
        <v>97659</v>
      </c>
      <c r="D60" s="466">
        <v>9534</v>
      </c>
      <c r="E60" s="466">
        <v>13966</v>
      </c>
      <c r="F60" s="466">
        <v>4005</v>
      </c>
      <c r="G60" s="466"/>
      <c r="H60" s="466">
        <v>4495</v>
      </c>
      <c r="I60" s="467"/>
      <c r="J60" s="467"/>
      <c r="K60" s="1671">
        <f t="shared" si="7"/>
        <v>129659</v>
      </c>
      <c r="L60" s="466">
        <v>122209</v>
      </c>
      <c r="M60" s="609"/>
      <c r="N60" s="609"/>
    </row>
    <row r="61" spans="1:14" s="343" customFormat="1" x14ac:dyDescent="0.2">
      <c r="A61" s="1503" t="s">
        <v>197</v>
      </c>
      <c r="B61" s="614">
        <v>2540</v>
      </c>
      <c r="C61" s="466">
        <v>708930</v>
      </c>
      <c r="D61" s="466">
        <v>178879</v>
      </c>
      <c r="E61" s="466"/>
      <c r="F61" s="466">
        <v>433726</v>
      </c>
      <c r="G61" s="466"/>
      <c r="H61" s="466"/>
      <c r="I61" s="467"/>
      <c r="J61" s="467"/>
      <c r="K61" s="1671">
        <f t="shared" si="7"/>
        <v>1321535</v>
      </c>
      <c r="L61" s="466">
        <v>1269868</v>
      </c>
      <c r="M61" s="609"/>
      <c r="N61" s="609"/>
    </row>
    <row r="62" spans="1:14" s="343" customFormat="1" x14ac:dyDescent="0.2">
      <c r="A62" s="1503" t="s">
        <v>953</v>
      </c>
      <c r="B62" s="614">
        <v>2550</v>
      </c>
      <c r="C62" s="466"/>
      <c r="D62" s="466"/>
      <c r="E62" s="466"/>
      <c r="F62" s="466"/>
      <c r="G62" s="466"/>
      <c r="H62" s="466"/>
      <c r="I62" s="467"/>
      <c r="J62" s="467"/>
      <c r="K62" s="1671">
        <f t="shared" si="7"/>
        <v>0</v>
      </c>
      <c r="L62" s="466">
        <v>7732</v>
      </c>
      <c r="M62" s="609"/>
      <c r="N62" s="609"/>
    </row>
    <row r="63" spans="1:14" s="609" customFormat="1" x14ac:dyDescent="0.2">
      <c r="A63" s="1503" t="s">
        <v>100</v>
      </c>
      <c r="B63" s="614">
        <v>2560</v>
      </c>
      <c r="C63" s="466">
        <v>398935</v>
      </c>
      <c r="D63" s="466">
        <v>70170</v>
      </c>
      <c r="E63" s="466">
        <v>3521</v>
      </c>
      <c r="F63" s="466">
        <v>494843</v>
      </c>
      <c r="G63" s="466"/>
      <c r="H63" s="466"/>
      <c r="I63" s="467"/>
      <c r="J63" s="467"/>
      <c r="K63" s="1671">
        <f t="shared" si="7"/>
        <v>967469</v>
      </c>
      <c r="L63" s="466">
        <v>956343</v>
      </c>
    </row>
    <row r="64" spans="1:14" s="609" customFormat="1" x14ac:dyDescent="0.2">
      <c r="A64" s="1508"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719</v>
      </c>
      <c r="B65" s="1668" t="s">
        <v>35</v>
      </c>
      <c r="C65" s="1669">
        <f>SUM(C59:C64)</f>
        <v>1205524</v>
      </c>
      <c r="D65" s="1669">
        <f t="shared" ref="D65:L65" si="8">SUM(D59:D64)</f>
        <v>258583</v>
      </c>
      <c r="E65" s="1669">
        <f t="shared" si="8"/>
        <v>17487</v>
      </c>
      <c r="F65" s="1669">
        <f t="shared" si="8"/>
        <v>932574</v>
      </c>
      <c r="G65" s="1669">
        <f t="shared" si="8"/>
        <v>0</v>
      </c>
      <c r="H65" s="1669">
        <f t="shared" si="8"/>
        <v>4495</v>
      </c>
      <c r="I65" s="1669">
        <f t="shared" si="8"/>
        <v>0</v>
      </c>
      <c r="J65" s="1669">
        <f t="shared" si="8"/>
        <v>0</v>
      </c>
      <c r="K65" s="1669">
        <f t="shared" si="8"/>
        <v>2418663</v>
      </c>
      <c r="L65" s="1669">
        <f t="shared" si="8"/>
        <v>2356152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v>0</v>
      </c>
      <c r="M67" s="609"/>
      <c r="N67" s="609"/>
    </row>
    <row r="68" spans="1:14" s="343" customFormat="1" x14ac:dyDescent="0.2">
      <c r="A68" s="1503" t="s">
        <v>607</v>
      </c>
      <c r="B68" s="614">
        <v>2620</v>
      </c>
      <c r="C68" s="466"/>
      <c r="D68" s="466"/>
      <c r="E68" s="466"/>
      <c r="F68" s="466"/>
      <c r="G68" s="466"/>
      <c r="H68" s="466"/>
      <c r="I68" s="467"/>
      <c r="J68" s="467"/>
      <c r="K68" s="1671">
        <f>SUM(C68:J68)</f>
        <v>0</v>
      </c>
      <c r="L68" s="466">
        <v>0</v>
      </c>
      <c r="M68" s="609"/>
      <c r="N68" s="609"/>
    </row>
    <row r="69" spans="1:14" s="343" customFormat="1" x14ac:dyDescent="0.2">
      <c r="A69" s="1503" t="s">
        <v>1061</v>
      </c>
      <c r="B69" s="614">
        <v>2630</v>
      </c>
      <c r="C69" s="466"/>
      <c r="D69" s="466"/>
      <c r="E69" s="466"/>
      <c r="F69" s="466"/>
      <c r="G69" s="466"/>
      <c r="H69" s="466"/>
      <c r="I69" s="467"/>
      <c r="J69" s="467"/>
      <c r="K69" s="1671">
        <f>SUM(C69:J69)</f>
        <v>0</v>
      </c>
      <c r="L69" s="466">
        <v>0</v>
      </c>
      <c r="M69" s="609"/>
      <c r="N69" s="609"/>
    </row>
    <row r="70" spans="1:14" s="343" customFormat="1" x14ac:dyDescent="0.2">
      <c r="A70" s="1503" t="s">
        <v>403</v>
      </c>
      <c r="B70" s="614">
        <v>2640</v>
      </c>
      <c r="C70" s="466"/>
      <c r="D70" s="466"/>
      <c r="E70" s="466"/>
      <c r="F70" s="466"/>
      <c r="G70" s="466"/>
      <c r="H70" s="466"/>
      <c r="I70" s="467"/>
      <c r="J70" s="467"/>
      <c r="K70" s="1671">
        <f>SUM(C70:J70)</f>
        <v>0</v>
      </c>
      <c r="L70" s="466">
        <v>0</v>
      </c>
      <c r="M70" s="609"/>
      <c r="N70" s="609"/>
    </row>
    <row r="71" spans="1:14" s="343" customFormat="1" x14ac:dyDescent="0.2">
      <c r="A71" s="1503" t="s">
        <v>404</v>
      </c>
      <c r="B71" s="614">
        <v>2660</v>
      </c>
      <c r="C71" s="466">
        <v>159215</v>
      </c>
      <c r="D71" s="466">
        <v>34190</v>
      </c>
      <c r="E71" s="466">
        <v>2573</v>
      </c>
      <c r="F71" s="466">
        <v>123317</v>
      </c>
      <c r="G71" s="466">
        <v>159663</v>
      </c>
      <c r="H71" s="466"/>
      <c r="I71" s="467"/>
      <c r="J71" s="467"/>
      <c r="K71" s="1671">
        <f>SUM(C71:J71)</f>
        <v>478958</v>
      </c>
      <c r="L71" s="466">
        <v>481669</v>
      </c>
      <c r="M71" s="609"/>
      <c r="N71" s="609"/>
    </row>
    <row r="72" spans="1:14" s="343" customFormat="1" ht="12.75" customHeight="1" thickBot="1" x14ac:dyDescent="0.25">
      <c r="A72" s="1667" t="s">
        <v>37</v>
      </c>
      <c r="B72" s="1674" t="s">
        <v>36</v>
      </c>
      <c r="C72" s="1669">
        <f>SUM(C67:C71)</f>
        <v>159215</v>
      </c>
      <c r="D72" s="1669">
        <f t="shared" ref="D72:K72" si="9">SUM(D67:D71)</f>
        <v>34190</v>
      </c>
      <c r="E72" s="1669">
        <f t="shared" si="9"/>
        <v>2573</v>
      </c>
      <c r="F72" s="1669">
        <f t="shared" si="9"/>
        <v>123317</v>
      </c>
      <c r="G72" s="1669">
        <f t="shared" si="9"/>
        <v>159663</v>
      </c>
      <c r="H72" s="1669">
        <f t="shared" si="9"/>
        <v>0</v>
      </c>
      <c r="I72" s="1669">
        <f t="shared" si="9"/>
        <v>0</v>
      </c>
      <c r="J72" s="1669">
        <f t="shared" si="9"/>
        <v>0</v>
      </c>
      <c r="K72" s="1669">
        <f t="shared" si="9"/>
        <v>478958</v>
      </c>
      <c r="L72" s="1669">
        <f>SUM(L67:L71)</f>
        <v>481669</v>
      </c>
      <c r="M72" s="609"/>
      <c r="N72" s="609"/>
    </row>
    <row r="73" spans="1:14" s="343" customFormat="1" ht="14.25" thickTop="1" thickBot="1" x14ac:dyDescent="0.25">
      <c r="A73" s="1509" t="s">
        <v>980</v>
      </c>
      <c r="B73" s="632" t="s">
        <v>574</v>
      </c>
      <c r="C73" s="573"/>
      <c r="D73" s="573"/>
      <c r="E73" s="573"/>
      <c r="F73" s="573">
        <v>453</v>
      </c>
      <c r="G73" s="573"/>
      <c r="H73" s="573"/>
      <c r="I73" s="531"/>
      <c r="J73" s="531"/>
      <c r="K73" s="1669">
        <f>SUM(C73:J73)</f>
        <v>453</v>
      </c>
      <c r="L73" s="576">
        <v>1000</v>
      </c>
      <c r="M73" s="609"/>
      <c r="N73" s="609"/>
    </row>
    <row r="74" spans="1:14" ht="12.75" customHeight="1" thickTop="1" thickBot="1" x14ac:dyDescent="0.25">
      <c r="A74" s="1667" t="s">
        <v>811</v>
      </c>
      <c r="B74" s="1675">
        <v>2000</v>
      </c>
      <c r="C74" s="1676">
        <f>SUM(C42,C47,C53,C57,C65,C72,C73)</f>
        <v>3546234</v>
      </c>
      <c r="D74" s="1676">
        <f t="shared" ref="D74:K74" si="10">SUM(D42,D47,D53,D57,D65,D72,D73)</f>
        <v>664727</v>
      </c>
      <c r="E74" s="1676">
        <f t="shared" si="10"/>
        <v>249924</v>
      </c>
      <c r="F74" s="1676">
        <f t="shared" si="10"/>
        <v>1274338</v>
      </c>
      <c r="G74" s="1676">
        <f t="shared" si="10"/>
        <v>166041</v>
      </c>
      <c r="H74" s="1676">
        <f t="shared" si="10"/>
        <v>16367</v>
      </c>
      <c r="I74" s="1676">
        <f t="shared" si="10"/>
        <v>0</v>
      </c>
      <c r="J74" s="1676">
        <f t="shared" si="10"/>
        <v>0</v>
      </c>
      <c r="K74" s="1676">
        <f t="shared" si="10"/>
        <v>5917631</v>
      </c>
      <c r="L74" s="1676">
        <f>SUM(L42,L47,L53,L57,L65,L72,L73)</f>
        <v>5970400</v>
      </c>
    </row>
    <row r="75" spans="1:14" s="259" customFormat="1" ht="15.75" customHeight="1" thickTop="1" thickBot="1" x14ac:dyDescent="0.25">
      <c r="A75" s="1609" t="s">
        <v>47</v>
      </c>
      <c r="B75" s="1610" t="s">
        <v>575</v>
      </c>
      <c r="C75" s="573">
        <v>3378</v>
      </c>
      <c r="D75" s="573">
        <v>802</v>
      </c>
      <c r="E75" s="573">
        <v>14176</v>
      </c>
      <c r="F75" s="573">
        <v>21089</v>
      </c>
      <c r="G75" s="573"/>
      <c r="H75" s="573"/>
      <c r="I75" s="531"/>
      <c r="J75" s="531"/>
      <c r="K75" s="1669">
        <f>SUM(C75:J75)</f>
        <v>39445</v>
      </c>
      <c r="L75" s="576">
        <v>96705</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15363</v>
      </c>
      <c r="F78" s="616"/>
      <c r="G78" s="616"/>
      <c r="H78" s="634"/>
      <c r="I78" s="477"/>
      <c r="J78" s="477"/>
      <c r="K78" s="1670">
        <f t="shared" ref="K78:K83" si="11">SUM(C78:J78)</f>
        <v>15363</v>
      </c>
      <c r="L78" s="481">
        <v>56784</v>
      </c>
    </row>
    <row r="79" spans="1:14" x14ac:dyDescent="0.2">
      <c r="A79" s="1503" t="s">
        <v>304</v>
      </c>
      <c r="B79" s="614">
        <v>4120</v>
      </c>
      <c r="C79" s="616"/>
      <c r="D79" s="616"/>
      <c r="E79" s="466"/>
      <c r="F79" s="616"/>
      <c r="G79" s="616"/>
      <c r="H79" s="466">
        <v>2667997</v>
      </c>
      <c r="I79" s="477"/>
      <c r="J79" s="477"/>
      <c r="K79" s="1670">
        <f t="shared" si="11"/>
        <v>2667997</v>
      </c>
      <c r="L79" s="466">
        <v>2661028</v>
      </c>
    </row>
    <row r="80" spans="1:14" x14ac:dyDescent="0.2">
      <c r="A80" s="1503" t="s">
        <v>305</v>
      </c>
      <c r="B80" s="614">
        <v>4130</v>
      </c>
      <c r="C80" s="616"/>
      <c r="D80" s="616"/>
      <c r="E80" s="466"/>
      <c r="F80" s="616"/>
      <c r="G80" s="616"/>
      <c r="H80" s="466"/>
      <c r="I80" s="477"/>
      <c r="J80" s="477"/>
      <c r="K80" s="1670">
        <f t="shared" si="11"/>
        <v>0</v>
      </c>
      <c r="L80" s="466">
        <v>0</v>
      </c>
    </row>
    <row r="81" spans="1:12" x14ac:dyDescent="0.2">
      <c r="A81" s="1503" t="s">
        <v>697</v>
      </c>
      <c r="B81" s="614">
        <v>4140</v>
      </c>
      <c r="C81" s="616"/>
      <c r="D81" s="616"/>
      <c r="E81" s="466"/>
      <c r="F81" s="616"/>
      <c r="G81" s="616"/>
      <c r="H81" s="466"/>
      <c r="I81" s="477"/>
      <c r="J81" s="477"/>
      <c r="K81" s="1670">
        <f t="shared" si="11"/>
        <v>0</v>
      </c>
      <c r="L81" s="466">
        <v>0</v>
      </c>
    </row>
    <row r="82" spans="1:12" x14ac:dyDescent="0.2">
      <c r="A82" s="1503" t="s">
        <v>86</v>
      </c>
      <c r="B82" s="614">
        <v>4170</v>
      </c>
      <c r="C82" s="616"/>
      <c r="D82" s="616"/>
      <c r="E82" s="466"/>
      <c r="F82" s="616"/>
      <c r="G82" s="616"/>
      <c r="H82" s="466"/>
      <c r="I82" s="477"/>
      <c r="J82" s="477"/>
      <c r="K82" s="1670">
        <f t="shared" si="11"/>
        <v>0</v>
      </c>
      <c r="L82" s="466">
        <v>0</v>
      </c>
    </row>
    <row r="83" spans="1:12" x14ac:dyDescent="0.2">
      <c r="A83" s="1507" t="s">
        <v>698</v>
      </c>
      <c r="B83" s="628">
        <v>4190</v>
      </c>
      <c r="C83" s="616"/>
      <c r="D83" s="616"/>
      <c r="E83" s="466"/>
      <c r="F83" s="616"/>
      <c r="G83" s="616"/>
      <c r="H83" s="466"/>
      <c r="I83" s="477"/>
      <c r="J83" s="477"/>
      <c r="K83" s="1670">
        <f t="shared" si="11"/>
        <v>0</v>
      </c>
      <c r="L83" s="466">
        <v>0</v>
      </c>
    </row>
    <row r="84" spans="1:12" ht="13.5" thickBot="1" x14ac:dyDescent="0.25">
      <c r="A84" s="1667" t="s">
        <v>1485</v>
      </c>
      <c r="B84" s="1677">
        <v>4100</v>
      </c>
      <c r="C84" s="616"/>
      <c r="D84" s="616"/>
      <c r="E84" s="1669">
        <f>SUM(E78:E83)</f>
        <v>15363</v>
      </c>
      <c r="F84" s="616"/>
      <c r="G84" s="616"/>
      <c r="H84" s="1669">
        <f>SUM(H78:H83)</f>
        <v>2667997</v>
      </c>
      <c r="I84" s="477"/>
      <c r="J84" s="477"/>
      <c r="K84" s="1669">
        <f>SUM(K78:K83)</f>
        <v>2683360</v>
      </c>
      <c r="L84" s="1669">
        <f>SUM(L78:L83)</f>
        <v>2717812</v>
      </c>
    </row>
    <row r="85" spans="1:12" ht="12.75" customHeight="1" thickTop="1" thickBot="1" x14ac:dyDescent="0.25">
      <c r="A85" s="1510" t="s">
        <v>255</v>
      </c>
      <c r="B85" s="635">
        <v>4210</v>
      </c>
      <c r="C85" s="616"/>
      <c r="D85" s="616"/>
      <c r="E85" s="636"/>
      <c r="F85" s="616"/>
      <c r="G85" s="616"/>
      <c r="H85" s="535">
        <v>75995</v>
      </c>
      <c r="I85" s="477"/>
      <c r="J85" s="477"/>
      <c r="K85" s="1676">
        <f>H85</f>
        <v>75995</v>
      </c>
      <c r="L85" s="530">
        <v>0</v>
      </c>
    </row>
    <row r="86" spans="1:12" ht="12.75" customHeight="1" thickTop="1" thickBot="1" x14ac:dyDescent="0.25">
      <c r="A86" s="1511" t="s">
        <v>699</v>
      </c>
      <c r="B86" s="637">
        <v>4220</v>
      </c>
      <c r="C86" s="616"/>
      <c r="D86" s="616"/>
      <c r="E86" s="638"/>
      <c r="F86" s="616"/>
      <c r="G86" s="616"/>
      <c r="H86" s="467"/>
      <c r="I86" s="477"/>
      <c r="J86" s="477"/>
      <c r="K86" s="1676">
        <f t="shared" ref="K86:K98" si="12">H86</f>
        <v>0</v>
      </c>
      <c r="L86" s="530">
        <v>0</v>
      </c>
    </row>
    <row r="87" spans="1:12" ht="14.25" thickTop="1" thickBot="1" x14ac:dyDescent="0.25">
      <c r="A87" s="1512" t="s">
        <v>700</v>
      </c>
      <c r="B87" s="639">
        <v>4230</v>
      </c>
      <c r="C87" s="616"/>
      <c r="D87" s="616"/>
      <c r="E87" s="638"/>
      <c r="F87" s="616"/>
      <c r="G87" s="616"/>
      <c r="H87" s="467"/>
      <c r="I87" s="477"/>
      <c r="J87" s="477"/>
      <c r="K87" s="1676">
        <f t="shared" si="12"/>
        <v>0</v>
      </c>
      <c r="L87" s="530">
        <v>0</v>
      </c>
    </row>
    <row r="88" spans="1:12" ht="12.75" customHeight="1" thickTop="1" thickBot="1" x14ac:dyDescent="0.25">
      <c r="A88" s="1512" t="s">
        <v>765</v>
      </c>
      <c r="B88" s="639">
        <v>4240</v>
      </c>
      <c r="C88" s="616"/>
      <c r="D88" s="616"/>
      <c r="E88" s="638"/>
      <c r="F88" s="616"/>
      <c r="G88" s="616"/>
      <c r="H88" s="467"/>
      <c r="I88" s="477"/>
      <c r="J88" s="477"/>
      <c r="K88" s="1676">
        <f t="shared" si="12"/>
        <v>0</v>
      </c>
      <c r="L88" s="530">
        <v>0</v>
      </c>
    </row>
    <row r="89" spans="1:12" ht="12.75" customHeight="1" thickTop="1" thickBot="1" x14ac:dyDescent="0.25">
      <c r="A89" s="1512" t="s">
        <v>701</v>
      </c>
      <c r="B89" s="639">
        <v>4270</v>
      </c>
      <c r="C89" s="616"/>
      <c r="D89" s="616"/>
      <c r="E89" s="638"/>
      <c r="F89" s="616"/>
      <c r="G89" s="616"/>
      <c r="H89" s="467"/>
      <c r="I89" s="477"/>
      <c r="J89" s="477"/>
      <c r="K89" s="1676">
        <f t="shared" si="12"/>
        <v>0</v>
      </c>
      <c r="L89" s="530">
        <v>0</v>
      </c>
    </row>
    <row r="90" spans="1:12" ht="12.75" customHeight="1" thickTop="1" thickBot="1" x14ac:dyDescent="0.25">
      <c r="A90" s="1512" t="s">
        <v>686</v>
      </c>
      <c r="B90" s="639">
        <v>4280</v>
      </c>
      <c r="C90" s="616"/>
      <c r="D90" s="616"/>
      <c r="E90" s="638"/>
      <c r="F90" s="616"/>
      <c r="G90" s="616"/>
      <c r="H90" s="467"/>
      <c r="I90" s="477"/>
      <c r="J90" s="477"/>
      <c r="K90" s="1676">
        <f t="shared" si="12"/>
        <v>0</v>
      </c>
      <c r="L90" s="530">
        <v>0</v>
      </c>
    </row>
    <row r="91" spans="1:12" ht="12.75" customHeight="1" thickTop="1" thickBot="1" x14ac:dyDescent="0.25">
      <c r="A91" s="1512" t="s">
        <v>687</v>
      </c>
      <c r="B91" s="639">
        <v>4290</v>
      </c>
      <c r="C91" s="616"/>
      <c r="D91" s="616"/>
      <c r="E91" s="638"/>
      <c r="F91" s="616"/>
      <c r="G91" s="616"/>
      <c r="H91" s="467"/>
      <c r="I91" s="477"/>
      <c r="J91" s="477"/>
      <c r="K91" s="1676">
        <f t="shared" si="12"/>
        <v>0</v>
      </c>
      <c r="L91" s="530">
        <v>0</v>
      </c>
    </row>
    <row r="92" spans="1:12" ht="14.25" thickTop="1" thickBot="1" x14ac:dyDescent="0.25">
      <c r="A92" s="1679" t="s">
        <v>1560</v>
      </c>
      <c r="B92" s="1677">
        <v>4200</v>
      </c>
      <c r="C92" s="616"/>
      <c r="D92" s="616"/>
      <c r="E92" s="638"/>
      <c r="F92" s="616"/>
      <c r="G92" s="616"/>
      <c r="H92" s="1669">
        <f>SUM(H85:H91)</f>
        <v>75995</v>
      </c>
      <c r="I92" s="477"/>
      <c r="J92" s="477"/>
      <c r="K92" s="1676">
        <f t="shared" si="12"/>
        <v>75995</v>
      </c>
      <c r="L92" s="1669">
        <f>SUM(L85:L91)</f>
        <v>0</v>
      </c>
    </row>
    <row r="93" spans="1:12" ht="14.25" thickTop="1" thickBot="1" x14ac:dyDescent="0.25">
      <c r="A93" s="1511" t="s">
        <v>688</v>
      </c>
      <c r="B93" s="640">
        <v>4310</v>
      </c>
      <c r="C93" s="616"/>
      <c r="D93" s="616"/>
      <c r="E93" s="638"/>
      <c r="F93" s="616"/>
      <c r="G93" s="616"/>
      <c r="H93" s="641"/>
      <c r="I93" s="477"/>
      <c r="J93" s="477"/>
      <c r="K93" s="1676">
        <f t="shared" si="12"/>
        <v>0</v>
      </c>
      <c r="L93" s="532">
        <v>0</v>
      </c>
    </row>
    <row r="94" spans="1:12" ht="12.75" customHeight="1" thickTop="1" thickBot="1" x14ac:dyDescent="0.25">
      <c r="A94" s="1512" t="s">
        <v>689</v>
      </c>
      <c r="B94" s="639">
        <v>4320</v>
      </c>
      <c r="C94" s="616"/>
      <c r="D94" s="616"/>
      <c r="E94" s="638"/>
      <c r="F94" s="616"/>
      <c r="G94" s="616"/>
      <c r="H94" s="467"/>
      <c r="I94" s="477"/>
      <c r="J94" s="477"/>
      <c r="K94" s="1676">
        <f t="shared" si="12"/>
        <v>0</v>
      </c>
      <c r="L94" s="530">
        <v>0</v>
      </c>
    </row>
    <row r="95" spans="1:12" ht="15" customHeight="1" thickTop="1" thickBot="1" x14ac:dyDescent="0.25">
      <c r="A95" s="1512" t="s">
        <v>1488</v>
      </c>
      <c r="B95" s="639">
        <v>4330</v>
      </c>
      <c r="C95" s="616"/>
      <c r="D95" s="616"/>
      <c r="E95" s="638"/>
      <c r="F95" s="616"/>
      <c r="G95" s="616"/>
      <c r="H95" s="467"/>
      <c r="I95" s="477"/>
      <c r="J95" s="477"/>
      <c r="K95" s="1676">
        <f t="shared" si="12"/>
        <v>0</v>
      </c>
      <c r="L95" s="530">
        <v>0</v>
      </c>
    </row>
    <row r="96" spans="1:12" ht="14.25" thickTop="1" thickBot="1" x14ac:dyDescent="0.25">
      <c r="A96" s="1512" t="s">
        <v>690</v>
      </c>
      <c r="B96" s="639">
        <v>4340</v>
      </c>
      <c r="C96" s="616"/>
      <c r="D96" s="616"/>
      <c r="E96" s="638"/>
      <c r="F96" s="616"/>
      <c r="G96" s="616"/>
      <c r="H96" s="467"/>
      <c r="I96" s="477"/>
      <c r="J96" s="477"/>
      <c r="K96" s="1676">
        <f t="shared" si="12"/>
        <v>0</v>
      </c>
      <c r="L96" s="530">
        <v>0</v>
      </c>
    </row>
    <row r="97" spans="1:14" ht="12.75" customHeight="1" thickTop="1" thickBot="1" x14ac:dyDescent="0.25">
      <c r="A97" s="1512" t="s">
        <v>763</v>
      </c>
      <c r="B97" s="639">
        <v>4370</v>
      </c>
      <c r="C97" s="616"/>
      <c r="D97" s="616"/>
      <c r="E97" s="638"/>
      <c r="F97" s="616"/>
      <c r="G97" s="616"/>
      <c r="H97" s="467"/>
      <c r="I97" s="477"/>
      <c r="J97" s="477"/>
      <c r="K97" s="1676">
        <f t="shared" si="12"/>
        <v>0</v>
      </c>
      <c r="L97" s="530">
        <v>0</v>
      </c>
    </row>
    <row r="98" spans="1:14" ht="14.25" thickTop="1" thickBot="1" x14ac:dyDescent="0.25">
      <c r="A98" s="1512" t="s">
        <v>764</v>
      </c>
      <c r="B98" s="639">
        <v>4380</v>
      </c>
      <c r="C98" s="616"/>
      <c r="D98" s="616"/>
      <c r="E98" s="642"/>
      <c r="F98" s="616"/>
      <c r="G98" s="616"/>
      <c r="H98" s="467"/>
      <c r="I98" s="477"/>
      <c r="J98" s="477"/>
      <c r="K98" s="1676">
        <f t="shared" si="12"/>
        <v>0</v>
      </c>
      <c r="L98" s="530">
        <v>0</v>
      </c>
    </row>
    <row r="99" spans="1:14" ht="14.25" thickTop="1" thickBot="1" x14ac:dyDescent="0.25">
      <c r="A99" s="1512" t="s">
        <v>367</v>
      </c>
      <c r="B99" s="639">
        <v>4390</v>
      </c>
      <c r="C99" s="616"/>
      <c r="D99" s="616"/>
      <c r="E99" s="532"/>
      <c r="F99" s="616"/>
      <c r="G99" s="616"/>
      <c r="H99" s="467"/>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v>0</v>
      </c>
    </row>
    <row r="102" spans="1:14" ht="12.75" customHeight="1" thickTop="1" thickBot="1" x14ac:dyDescent="0.25">
      <c r="A102" s="1667" t="s">
        <v>1487</v>
      </c>
      <c r="B102" s="1677">
        <v>4000</v>
      </c>
      <c r="C102" s="616"/>
      <c r="D102" s="616"/>
      <c r="E102" s="1676">
        <f>SUM(E84,E92,E100,E101)</f>
        <v>15363</v>
      </c>
      <c r="F102" s="616"/>
      <c r="G102" s="616"/>
      <c r="H102" s="1676">
        <f>SUM(H84,H92,H100,H101)</f>
        <v>2743992</v>
      </c>
      <c r="I102" s="477"/>
      <c r="J102" s="477"/>
      <c r="K102" s="1676">
        <f>SUM(K84,K92,K100,K101)</f>
        <v>2759355</v>
      </c>
      <c r="L102" s="1676">
        <f>SUM(L84,L92,L100,L101)</f>
        <v>2717812</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11572991</v>
      </c>
      <c r="D114" s="1669">
        <f t="shared" ref="D114:K114" si="13">SUM(D33,D74,D75,D102,D112,D113)</f>
        <v>2480205</v>
      </c>
      <c r="E114" s="1669">
        <f t="shared" si="13"/>
        <v>424905</v>
      </c>
      <c r="F114" s="1669">
        <f t="shared" si="13"/>
        <v>1655344</v>
      </c>
      <c r="G114" s="1669">
        <f t="shared" si="13"/>
        <v>254471</v>
      </c>
      <c r="H114" s="1669">
        <f>SUM(H33,H74,H75,H102,H112,H113)</f>
        <v>2786927</v>
      </c>
      <c r="I114" s="1669">
        <f t="shared" si="13"/>
        <v>0</v>
      </c>
      <c r="J114" s="1669">
        <f t="shared" si="13"/>
        <v>0</v>
      </c>
      <c r="K114" s="1669">
        <f t="shared" si="13"/>
        <v>19174843</v>
      </c>
      <c r="L114" s="1669">
        <f>SUM(L33,L74,L75,L102,L112,L113)</f>
        <v>19926032</v>
      </c>
    </row>
    <row r="115" spans="1:14" ht="13.5" thickTop="1" x14ac:dyDescent="0.2">
      <c r="A115" s="2154" t="s">
        <v>996</v>
      </c>
      <c r="B115" s="2155"/>
      <c r="C115" s="618"/>
      <c r="D115" s="618"/>
      <c r="E115" s="618"/>
      <c r="F115" s="618"/>
      <c r="G115" s="618"/>
      <c r="H115" s="618"/>
      <c r="I115" s="618"/>
      <c r="J115" s="618"/>
      <c r="K115" s="1683">
        <f>'Revenues 9-14'!C268-'Expenditures 15-22'!K114</f>
        <v>1412476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2057</v>
      </c>
      <c r="B120" s="628" t="s">
        <v>716</v>
      </c>
      <c r="C120" s="466"/>
      <c r="D120" s="466"/>
      <c r="E120" s="466"/>
      <c r="F120" s="466"/>
      <c r="G120" s="466"/>
      <c r="H120" s="466"/>
      <c r="I120" s="467"/>
      <c r="J120" s="467"/>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v>0</v>
      </c>
    </row>
    <row r="123" spans="1:14" ht="14.25" thickTop="1" thickBot="1" x14ac:dyDescent="0.25">
      <c r="A123" s="1503" t="s">
        <v>4</v>
      </c>
      <c r="B123" s="614">
        <v>2530</v>
      </c>
      <c r="C123" s="466"/>
      <c r="D123" s="466"/>
      <c r="E123" s="466"/>
      <c r="F123" s="466"/>
      <c r="G123" s="466"/>
      <c r="H123" s="466"/>
      <c r="I123" s="467"/>
      <c r="J123" s="467"/>
      <c r="K123" s="1669">
        <f>SUM(C123:J123)</f>
        <v>0</v>
      </c>
      <c r="L123" s="466">
        <v>0</v>
      </c>
    </row>
    <row r="124" spans="1:14" ht="14.25" thickTop="1" thickBot="1" x14ac:dyDescent="0.25">
      <c r="A124" s="1503" t="s">
        <v>197</v>
      </c>
      <c r="B124" s="614">
        <v>2540</v>
      </c>
      <c r="C124" s="466">
        <v>181707</v>
      </c>
      <c r="D124" s="466">
        <v>43757</v>
      </c>
      <c r="E124" s="466">
        <v>233542</v>
      </c>
      <c r="F124" s="466">
        <v>245103</v>
      </c>
      <c r="G124" s="466">
        <v>121804</v>
      </c>
      <c r="H124" s="466"/>
      <c r="I124" s="467"/>
      <c r="J124" s="467"/>
      <c r="K124" s="1669">
        <f>SUM(C124:J124)</f>
        <v>825913</v>
      </c>
      <c r="L124" s="466">
        <v>829183</v>
      </c>
    </row>
    <row r="125" spans="1:14" ht="14.25" thickTop="1" thickBot="1" x14ac:dyDescent="0.25">
      <c r="A125" s="1503" t="s">
        <v>953</v>
      </c>
      <c r="B125" s="614">
        <v>2550</v>
      </c>
      <c r="C125" s="466"/>
      <c r="D125" s="466"/>
      <c r="E125" s="466"/>
      <c r="F125" s="466"/>
      <c r="G125" s="466"/>
      <c r="H125" s="466"/>
      <c r="I125" s="467"/>
      <c r="J125" s="467"/>
      <c r="K125" s="1669">
        <f>SUM(C125:J125)</f>
        <v>0</v>
      </c>
      <c r="L125" s="466">
        <v>0</v>
      </c>
    </row>
    <row r="126" spans="1:14" ht="14.25" thickTop="1" thickBot="1" x14ac:dyDescent="0.25">
      <c r="A126" s="1503"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719</v>
      </c>
      <c r="B127" s="1668" t="s">
        <v>35</v>
      </c>
      <c r="C127" s="1669">
        <f>SUM(C122:C126)</f>
        <v>181707</v>
      </c>
      <c r="D127" s="1669">
        <f t="shared" ref="D127:L127" si="14">SUM(D122:D126)</f>
        <v>43757</v>
      </c>
      <c r="E127" s="1669">
        <f t="shared" si="14"/>
        <v>233542</v>
      </c>
      <c r="F127" s="1669">
        <f t="shared" si="14"/>
        <v>245103</v>
      </c>
      <c r="G127" s="1669">
        <f t="shared" si="14"/>
        <v>121804</v>
      </c>
      <c r="H127" s="1669">
        <f t="shared" si="14"/>
        <v>0</v>
      </c>
      <c r="I127" s="1669">
        <f t="shared" si="14"/>
        <v>0</v>
      </c>
      <c r="J127" s="1669">
        <f t="shared" si="14"/>
        <v>0</v>
      </c>
      <c r="K127" s="1669">
        <f t="shared" si="14"/>
        <v>825913</v>
      </c>
      <c r="L127" s="1669">
        <f t="shared" si="14"/>
        <v>829183</v>
      </c>
    </row>
    <row r="128" spans="1:14" ht="12.75" customHeight="1" thickTop="1" x14ac:dyDescent="0.2">
      <c r="A128" s="1510" t="s">
        <v>980</v>
      </c>
      <c r="B128" s="655" t="s">
        <v>574</v>
      </c>
      <c r="C128" s="656"/>
      <c r="D128" s="656"/>
      <c r="E128" s="656"/>
      <c r="F128" s="656"/>
      <c r="G128" s="656"/>
      <c r="H128" s="656"/>
      <c r="I128" s="535"/>
      <c r="J128" s="535"/>
      <c r="K128" s="1684">
        <f>SUM(C128:J128)</f>
        <v>0</v>
      </c>
      <c r="L128" s="656">
        <v>0</v>
      </c>
    </row>
    <row r="129" spans="1:14" ht="12.75" customHeight="1" thickBot="1" x14ac:dyDescent="0.25">
      <c r="A129" s="1685" t="s">
        <v>811</v>
      </c>
      <c r="B129" s="1686" t="s">
        <v>569</v>
      </c>
      <c r="C129" s="1676">
        <f>SUM(C120,C127,C128)</f>
        <v>181707</v>
      </c>
      <c r="D129" s="1676">
        <f t="shared" ref="D129:L129" si="15">SUM(D120,D127,D128)</f>
        <v>43757</v>
      </c>
      <c r="E129" s="1676">
        <f t="shared" si="15"/>
        <v>233542</v>
      </c>
      <c r="F129" s="1676">
        <f t="shared" si="15"/>
        <v>245103</v>
      </c>
      <c r="G129" s="1676">
        <f t="shared" si="15"/>
        <v>121804</v>
      </c>
      <c r="H129" s="1676">
        <f t="shared" si="15"/>
        <v>0</v>
      </c>
      <c r="I129" s="1676">
        <f t="shared" si="15"/>
        <v>0</v>
      </c>
      <c r="J129" s="1676">
        <f t="shared" si="15"/>
        <v>0</v>
      </c>
      <c r="K129" s="1676">
        <f t="shared" si="15"/>
        <v>825913</v>
      </c>
      <c r="L129" s="1676">
        <f t="shared" si="15"/>
        <v>829183</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1842</v>
      </c>
      <c r="C133" s="468"/>
      <c r="D133" s="468"/>
      <c r="E133" s="641"/>
      <c r="F133" s="468"/>
      <c r="G133" s="468"/>
      <c r="H133" s="641"/>
      <c r="I133" s="468"/>
      <c r="J133" s="468"/>
      <c r="K133" s="1820">
        <f>SUM(E133,H133)</f>
        <v>0</v>
      </c>
      <c r="L133" s="641">
        <v>0</v>
      </c>
      <c r="M133" s="206"/>
      <c r="N133" s="206"/>
    </row>
    <row r="134" spans="1:14" x14ac:dyDescent="0.2">
      <c r="A134" s="1503" t="s">
        <v>304</v>
      </c>
      <c r="B134" s="614">
        <v>4120</v>
      </c>
      <c r="C134" s="616"/>
      <c r="D134" s="616"/>
      <c r="E134" s="478"/>
      <c r="F134" s="616"/>
      <c r="G134" s="616"/>
      <c r="H134" s="481"/>
      <c r="I134" s="477"/>
      <c r="J134" s="616"/>
      <c r="K134" s="1671">
        <f>SUM(E134,H134)</f>
        <v>0</v>
      </c>
      <c r="L134" s="481">
        <v>0</v>
      </c>
    </row>
    <row r="135" spans="1:14" x14ac:dyDescent="0.2">
      <c r="A135" s="1503" t="s">
        <v>697</v>
      </c>
      <c r="B135" s="614">
        <v>4140</v>
      </c>
      <c r="C135" s="616"/>
      <c r="D135" s="616"/>
      <c r="E135" s="467"/>
      <c r="F135" s="616"/>
      <c r="G135" s="616"/>
      <c r="H135" s="466"/>
      <c r="I135" s="477"/>
      <c r="J135" s="616"/>
      <c r="K135" s="1671">
        <f>SUM(E135,H135)</f>
        <v>0</v>
      </c>
      <c r="L135" s="466">
        <v>0</v>
      </c>
    </row>
    <row r="136" spans="1:14" x14ac:dyDescent="0.2">
      <c r="A136" s="1507" t="s">
        <v>698</v>
      </c>
      <c r="B136" s="628">
        <v>4190</v>
      </c>
      <c r="C136" s="616"/>
      <c r="D136" s="616"/>
      <c r="E136" s="467"/>
      <c r="F136" s="616"/>
      <c r="G136" s="616"/>
      <c r="H136" s="466"/>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v>0</v>
      </c>
    </row>
    <row r="143" spans="1:14" x14ac:dyDescent="0.2">
      <c r="A143" s="1503" t="s">
        <v>88</v>
      </c>
      <c r="B143" s="614">
        <v>5120</v>
      </c>
      <c r="C143" s="616"/>
      <c r="D143" s="616"/>
      <c r="E143" s="616"/>
      <c r="F143" s="616"/>
      <c r="G143" s="616"/>
      <c r="H143" s="466"/>
      <c r="I143" s="468"/>
      <c r="J143" s="616"/>
      <c r="K143" s="1671">
        <f>SUM(H143)</f>
        <v>0</v>
      </c>
      <c r="L143" s="466">
        <v>0</v>
      </c>
    </row>
    <row r="144" spans="1:14" ht="12.75" customHeight="1" x14ac:dyDescent="0.2">
      <c r="A144" s="1503" t="s">
        <v>1170</v>
      </c>
      <c r="B144" s="628" t="s">
        <v>617</v>
      </c>
      <c r="C144" s="616"/>
      <c r="D144" s="616"/>
      <c r="E144" s="616"/>
      <c r="F144" s="616"/>
      <c r="G144" s="616"/>
      <c r="H144" s="466"/>
      <c r="I144" s="468"/>
      <c r="J144" s="616"/>
      <c r="K144" s="1671">
        <f>SUM(H144)</f>
        <v>0</v>
      </c>
      <c r="L144" s="466">
        <v>0</v>
      </c>
    </row>
    <row r="145" spans="1:14" x14ac:dyDescent="0.2">
      <c r="A145" s="1503" t="s">
        <v>89</v>
      </c>
      <c r="B145" s="614" t="s">
        <v>589</v>
      </c>
      <c r="C145" s="616"/>
      <c r="D145" s="616"/>
      <c r="E145" s="616"/>
      <c r="F145" s="616"/>
      <c r="G145" s="616"/>
      <c r="H145" s="466"/>
      <c r="I145" s="468"/>
      <c r="J145" s="616"/>
      <c r="K145" s="1671">
        <f>SUM(H145)</f>
        <v>0</v>
      </c>
      <c r="L145" s="466">
        <v>0</v>
      </c>
    </row>
    <row r="146" spans="1:14" ht="12.75" customHeight="1" x14ac:dyDescent="0.2">
      <c r="A146" s="1503" t="s">
        <v>619</v>
      </c>
      <c r="B146" s="614" t="s">
        <v>618</v>
      </c>
      <c r="C146" s="616"/>
      <c r="D146" s="616"/>
      <c r="E146" s="616"/>
      <c r="F146" s="616"/>
      <c r="G146" s="616"/>
      <c r="H146" s="466"/>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71" t="s">
        <v>620</v>
      </c>
      <c r="B151" s="2151"/>
      <c r="C151" s="1669">
        <f>SUM(C129,C130,C139,C149,C150)</f>
        <v>181707</v>
      </c>
      <c r="D151" s="1669">
        <f t="shared" ref="D151:K151" si="16">SUM(D129,D130,D139,D149,D150)</f>
        <v>43757</v>
      </c>
      <c r="E151" s="1669">
        <f t="shared" si="16"/>
        <v>233542</v>
      </c>
      <c r="F151" s="1669">
        <f t="shared" si="16"/>
        <v>245103</v>
      </c>
      <c r="G151" s="1669">
        <f t="shared" si="16"/>
        <v>121804</v>
      </c>
      <c r="H151" s="1669">
        <f t="shared" si="16"/>
        <v>0</v>
      </c>
      <c r="I151" s="1669">
        <f t="shared" si="16"/>
        <v>0</v>
      </c>
      <c r="J151" s="1669">
        <f t="shared" si="16"/>
        <v>0</v>
      </c>
      <c r="K151" s="1669">
        <f t="shared" si="16"/>
        <v>825913</v>
      </c>
      <c r="L151" s="1669">
        <f>SUM(L129,L130,L139,L149,L150)</f>
        <v>829183</v>
      </c>
    </row>
    <row r="152" spans="1:14" ht="12.75" customHeight="1" thickTop="1" x14ac:dyDescent="0.2">
      <c r="A152" s="2174" t="s">
        <v>1178</v>
      </c>
      <c r="B152" s="2175"/>
      <c r="C152" s="618"/>
      <c r="D152" s="618"/>
      <c r="E152" s="618"/>
      <c r="F152" s="618"/>
      <c r="G152" s="618"/>
      <c r="H152" s="618"/>
      <c r="I152" s="618"/>
      <c r="J152" s="616"/>
      <c r="K152" s="1683">
        <f>'Revenues 9-14'!D268-'Expenditures 15-22'!K151</f>
        <v>-1679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1843</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1842</v>
      </c>
      <c r="C157" s="616"/>
      <c r="D157" s="616"/>
      <c r="E157" s="616"/>
      <c r="F157" s="616"/>
      <c r="G157" s="616"/>
      <c r="H157" s="641"/>
      <c r="I157" s="616"/>
      <c r="J157" s="616"/>
      <c r="K157" s="1670">
        <f>H157</f>
        <v>0</v>
      </c>
      <c r="L157" s="467">
        <v>0</v>
      </c>
      <c r="M157" s="619"/>
      <c r="N157" s="619"/>
    </row>
    <row r="158" spans="1:14" s="620" customFormat="1" ht="12" x14ac:dyDescent="0.2">
      <c r="A158" s="1825" t="s">
        <v>304</v>
      </c>
      <c r="B158" s="1826" t="s">
        <v>1844</v>
      </c>
      <c r="C158" s="616"/>
      <c r="D158" s="616"/>
      <c r="E158" s="616"/>
      <c r="F158" s="616"/>
      <c r="G158" s="616"/>
      <c r="H158" s="467"/>
      <c r="I158" s="616"/>
      <c r="J158" s="616"/>
      <c r="K158" s="1670">
        <f>H158</f>
        <v>0</v>
      </c>
      <c r="L158" s="467">
        <v>0</v>
      </c>
      <c r="M158" s="619"/>
      <c r="N158" s="619"/>
    </row>
    <row r="159" spans="1:14" s="620" customFormat="1" ht="12" x14ac:dyDescent="0.2">
      <c r="A159" s="1825" t="s">
        <v>1845</v>
      </c>
      <c r="B159" s="1826" t="s">
        <v>558</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1846</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v>0</v>
      </c>
    </row>
    <row r="164" spans="1:14" x14ac:dyDescent="0.2">
      <c r="A164" s="1503" t="s">
        <v>88</v>
      </c>
      <c r="B164" s="614">
        <v>5120</v>
      </c>
      <c r="C164" s="616"/>
      <c r="D164" s="616"/>
      <c r="E164" s="616"/>
      <c r="F164" s="616"/>
      <c r="G164" s="616"/>
      <c r="H164" s="466"/>
      <c r="I164" s="616"/>
      <c r="J164" s="616"/>
      <c r="K164" s="1670">
        <f>SUM(C164:J164)</f>
        <v>0</v>
      </c>
      <c r="L164" s="466">
        <v>0</v>
      </c>
    </row>
    <row r="165" spans="1:14" ht="12.75" customHeight="1" x14ac:dyDescent="0.2">
      <c r="A165" s="1503" t="s">
        <v>1170</v>
      </c>
      <c r="B165" s="614" t="s">
        <v>617</v>
      </c>
      <c r="C165" s="616"/>
      <c r="D165" s="616"/>
      <c r="E165" s="616"/>
      <c r="F165" s="616"/>
      <c r="G165" s="616"/>
      <c r="H165" s="466"/>
      <c r="I165" s="616"/>
      <c r="J165" s="616"/>
      <c r="K165" s="1670">
        <f>SUM(C165:J165)</f>
        <v>0</v>
      </c>
      <c r="L165" s="466">
        <v>0</v>
      </c>
    </row>
    <row r="166" spans="1:14" x14ac:dyDescent="0.2">
      <c r="A166" s="1503" t="s">
        <v>89</v>
      </c>
      <c r="B166" s="628" t="s">
        <v>589</v>
      </c>
      <c r="C166" s="616"/>
      <c r="D166" s="616"/>
      <c r="E166" s="616"/>
      <c r="F166" s="616"/>
      <c r="G166" s="616"/>
      <c r="H166" s="466"/>
      <c r="I166" s="616"/>
      <c r="J166" s="616"/>
      <c r="K166" s="1670">
        <f>SUM(C166:J166)</f>
        <v>0</v>
      </c>
      <c r="L166" s="466">
        <v>0</v>
      </c>
    </row>
    <row r="167" spans="1:14" ht="12.75" customHeight="1" x14ac:dyDescent="0.2">
      <c r="A167" s="1503" t="s">
        <v>619</v>
      </c>
      <c r="B167" s="614" t="s">
        <v>618</v>
      </c>
      <c r="C167" s="616"/>
      <c r="D167" s="616"/>
      <c r="E167" s="616"/>
      <c r="F167" s="616"/>
      <c r="G167" s="616"/>
      <c r="H167" s="466"/>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1291668</v>
      </c>
      <c r="I169" s="616"/>
      <c r="J169" s="616"/>
      <c r="K169" s="1670">
        <f>SUM(C169:H169)</f>
        <v>1291668</v>
      </c>
      <c r="L169" s="656">
        <v>1291618</v>
      </c>
    </row>
    <row r="170" spans="1:14" ht="33.75" customHeight="1" x14ac:dyDescent="0.2">
      <c r="A170" s="669" t="s">
        <v>1670</v>
      </c>
      <c r="B170" s="671" t="s">
        <v>31</v>
      </c>
      <c r="C170" s="616"/>
      <c r="D170" s="616"/>
      <c r="E170" s="616"/>
      <c r="F170" s="616"/>
      <c r="G170" s="616"/>
      <c r="H170" s="569">
        <v>485790</v>
      </c>
      <c r="I170" s="616"/>
      <c r="J170" s="616"/>
      <c r="K170" s="1670">
        <f>SUM(C170:J170)</f>
        <v>485790</v>
      </c>
      <c r="L170" s="569">
        <v>485791</v>
      </c>
    </row>
    <row r="171" spans="1:14" ht="15.75" customHeight="1" x14ac:dyDescent="0.2">
      <c r="A171" s="621" t="s">
        <v>766</v>
      </c>
      <c r="B171" s="672" t="s">
        <v>84</v>
      </c>
      <c r="C171" s="616"/>
      <c r="D171" s="616"/>
      <c r="E171" s="466"/>
      <c r="F171" s="616"/>
      <c r="G171" s="616"/>
      <c r="H171" s="569"/>
      <c r="I171" s="477"/>
      <c r="J171" s="616"/>
      <c r="K171" s="1670">
        <f>SUM(C171:J171)</f>
        <v>0</v>
      </c>
      <c r="L171" s="569">
        <v>0</v>
      </c>
    </row>
    <row r="172" spans="1:14" ht="12.75" customHeight="1" thickBot="1" x14ac:dyDescent="0.25">
      <c r="A172" s="1667" t="s">
        <v>638</v>
      </c>
      <c r="B172" s="1668" t="s">
        <v>492</v>
      </c>
      <c r="C172" s="616"/>
      <c r="D172" s="616"/>
      <c r="E172" s="1676">
        <f>SUM(E168,E169,E170,E171)</f>
        <v>0</v>
      </c>
      <c r="F172" s="616"/>
      <c r="G172" s="616"/>
      <c r="H172" s="1676">
        <f>SUM(H168,H169,H170,H171)</f>
        <v>1777458</v>
      </c>
      <c r="I172" s="638"/>
      <c r="J172" s="616"/>
      <c r="K172" s="1676">
        <f>SUM(K168,K169,K170,K171)</f>
        <v>1777458</v>
      </c>
      <c r="L172" s="1676">
        <f>SUM(L168,L169,L170,L171)</f>
        <v>1777409</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1777458</v>
      </c>
      <c r="I174" s="638"/>
      <c r="J174" s="616"/>
      <c r="K174" s="1676">
        <f>SUM(K160,K172,K173)</f>
        <v>1777458</v>
      </c>
      <c r="L174" s="1676">
        <f>SUM(L160,L172,L173)</f>
        <v>1777409</v>
      </c>
    </row>
    <row r="175" spans="1:14" ht="13.5" thickTop="1" x14ac:dyDescent="0.2">
      <c r="A175" s="2154" t="s">
        <v>996</v>
      </c>
      <c r="B175" s="2155"/>
      <c r="C175" s="616"/>
      <c r="D175" s="616"/>
      <c r="E175" s="616"/>
      <c r="F175" s="616"/>
      <c r="G175" s="616"/>
      <c r="H175" s="618"/>
      <c r="I175" s="616"/>
      <c r="J175" s="616"/>
      <c r="K175" s="1683">
        <f>'Revenues 9-14'!E268-'Expenditures 15-22'!K174</f>
        <v>-48515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2057</v>
      </c>
      <c r="B180" s="614" t="s">
        <v>716</v>
      </c>
      <c r="C180" s="466"/>
      <c r="D180" s="466"/>
      <c r="E180" s="466"/>
      <c r="F180" s="466"/>
      <c r="G180" s="466"/>
      <c r="H180" s="466"/>
      <c r="I180" s="467"/>
      <c r="J180" s="467"/>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c r="D182" s="466"/>
      <c r="E182" s="466">
        <v>846236</v>
      </c>
      <c r="F182" s="466"/>
      <c r="G182" s="466">
        <v>43456</v>
      </c>
      <c r="H182" s="466"/>
      <c r="I182" s="467"/>
      <c r="J182" s="467"/>
      <c r="K182" s="1670">
        <f>SUM(C182:J182)</f>
        <v>889692</v>
      </c>
      <c r="L182" s="466">
        <v>887791</v>
      </c>
    </row>
    <row r="183" spans="1:14" ht="12.75" customHeight="1" thickBot="1" x14ac:dyDescent="0.25">
      <c r="A183" s="1508" t="s">
        <v>980</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811</v>
      </c>
      <c r="B184" s="1668" t="s">
        <v>569</v>
      </c>
      <c r="C184" s="1676">
        <f>SUM(C180,C182,C183)</f>
        <v>0</v>
      </c>
      <c r="D184" s="1676">
        <f t="shared" ref="D184:J184" si="17">SUM(D180,D182,D183)</f>
        <v>0</v>
      </c>
      <c r="E184" s="1676">
        <f t="shared" si="17"/>
        <v>846236</v>
      </c>
      <c r="F184" s="1676">
        <f t="shared" si="17"/>
        <v>0</v>
      </c>
      <c r="G184" s="1676">
        <f t="shared" si="17"/>
        <v>43456</v>
      </c>
      <c r="H184" s="1676">
        <f t="shared" si="17"/>
        <v>0</v>
      </c>
      <c r="I184" s="1676">
        <f t="shared" si="17"/>
        <v>0</v>
      </c>
      <c r="J184" s="1676">
        <f t="shared" si="17"/>
        <v>0</v>
      </c>
      <c r="K184" s="1676">
        <f>SUM(K180,K182,K183)</f>
        <v>889692</v>
      </c>
      <c r="L184" s="1676">
        <f>SUM(L180, L182:L183)</f>
        <v>887791</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v>0</v>
      </c>
    </row>
    <row r="189" spans="1:14" x14ac:dyDescent="0.2">
      <c r="A189" s="1503" t="s">
        <v>304</v>
      </c>
      <c r="B189" s="614">
        <v>4120</v>
      </c>
      <c r="C189" s="616"/>
      <c r="D189" s="616"/>
      <c r="E189" s="466">
        <v>129935</v>
      </c>
      <c r="F189" s="616"/>
      <c r="G189" s="616"/>
      <c r="H189" s="466"/>
      <c r="I189" s="477"/>
      <c r="J189" s="616"/>
      <c r="K189" s="1670">
        <f t="shared" si="18"/>
        <v>129935</v>
      </c>
      <c r="L189" s="466">
        <v>129934</v>
      </c>
    </row>
    <row r="190" spans="1:14" x14ac:dyDescent="0.2">
      <c r="A190" s="1503" t="s">
        <v>305</v>
      </c>
      <c r="B190" s="628">
        <v>4130</v>
      </c>
      <c r="C190" s="616"/>
      <c r="D190" s="616"/>
      <c r="E190" s="466"/>
      <c r="F190" s="616"/>
      <c r="G190" s="616"/>
      <c r="H190" s="466"/>
      <c r="I190" s="477"/>
      <c r="J190" s="616"/>
      <c r="K190" s="1670">
        <f t="shared" si="18"/>
        <v>0</v>
      </c>
      <c r="L190" s="466">
        <v>0</v>
      </c>
    </row>
    <row r="191" spans="1:14" x14ac:dyDescent="0.2">
      <c r="A191" s="1503" t="s">
        <v>697</v>
      </c>
      <c r="B191" s="614">
        <v>4140</v>
      </c>
      <c r="C191" s="616"/>
      <c r="D191" s="616"/>
      <c r="E191" s="466"/>
      <c r="F191" s="616"/>
      <c r="G191" s="616"/>
      <c r="H191" s="466"/>
      <c r="I191" s="477"/>
      <c r="J191" s="616"/>
      <c r="K191" s="1670">
        <f t="shared" si="18"/>
        <v>0</v>
      </c>
      <c r="L191" s="466">
        <v>0</v>
      </c>
    </row>
    <row r="192" spans="1:14" x14ac:dyDescent="0.2">
      <c r="A192" s="1503" t="s">
        <v>86</v>
      </c>
      <c r="B192" s="614">
        <v>4170</v>
      </c>
      <c r="C192" s="616"/>
      <c r="D192" s="616"/>
      <c r="E192" s="466"/>
      <c r="F192" s="616"/>
      <c r="G192" s="616"/>
      <c r="H192" s="466"/>
      <c r="I192" s="477"/>
      <c r="J192" s="616"/>
      <c r="K192" s="1670">
        <f t="shared" si="18"/>
        <v>0</v>
      </c>
      <c r="L192" s="466">
        <v>0</v>
      </c>
    </row>
    <row r="193" spans="1:14" x14ac:dyDescent="0.2">
      <c r="A193" s="1507" t="s">
        <v>698</v>
      </c>
      <c r="B193" s="628">
        <v>4190</v>
      </c>
      <c r="C193" s="616"/>
      <c r="D193" s="616"/>
      <c r="E193" s="466"/>
      <c r="F193" s="616"/>
      <c r="G193" s="616"/>
      <c r="H193" s="466"/>
      <c r="I193" s="477"/>
      <c r="J193" s="616"/>
      <c r="K193" s="1670">
        <f t="shared" si="18"/>
        <v>0</v>
      </c>
      <c r="L193" s="466">
        <v>0</v>
      </c>
    </row>
    <row r="194" spans="1:14" ht="12.75" customHeight="1" thickBot="1" x14ac:dyDescent="0.25">
      <c r="A194" s="1667" t="s">
        <v>1140</v>
      </c>
      <c r="B194" s="1668" t="s">
        <v>559</v>
      </c>
      <c r="C194" s="616"/>
      <c r="D194" s="616"/>
      <c r="E194" s="1669">
        <f>SUM(E188:E193)</f>
        <v>129935</v>
      </c>
      <c r="F194" s="616"/>
      <c r="G194" s="616"/>
      <c r="H194" s="1669">
        <f>SUM(H188:H193)</f>
        <v>0</v>
      </c>
      <c r="I194" s="477"/>
      <c r="J194" s="616"/>
      <c r="K194" s="1669">
        <f>SUM(K188:K193)</f>
        <v>129935</v>
      </c>
      <c r="L194" s="1669">
        <f>SUM(L188:L193)</f>
        <v>129934</v>
      </c>
    </row>
    <row r="195" spans="1:14" ht="15.75" customHeight="1" thickTop="1" x14ac:dyDescent="0.2">
      <c r="A195" s="669" t="s">
        <v>92</v>
      </c>
      <c r="B195" s="678" t="s">
        <v>931</v>
      </c>
      <c r="C195" s="616"/>
      <c r="D195" s="616"/>
      <c r="E195" s="656"/>
      <c r="F195" s="616"/>
      <c r="G195" s="616"/>
      <c r="H195" s="656"/>
      <c r="I195" s="477"/>
      <c r="J195" s="616"/>
      <c r="K195" s="1684">
        <f>SUM(E195,H195)</f>
        <v>0</v>
      </c>
      <c r="L195" s="656">
        <v>0</v>
      </c>
    </row>
    <row r="196" spans="1:14" ht="12.75" customHeight="1" thickBot="1" x14ac:dyDescent="0.25">
      <c r="A196" s="1667" t="s">
        <v>1487</v>
      </c>
      <c r="B196" s="1668" t="s">
        <v>860</v>
      </c>
      <c r="C196" s="616"/>
      <c r="D196" s="616"/>
      <c r="E196" s="1676">
        <f>SUM(E194,E195)</f>
        <v>129935</v>
      </c>
      <c r="F196" s="616"/>
      <c r="G196" s="616"/>
      <c r="H196" s="1676">
        <f>SUM(H194,H195)</f>
        <v>0</v>
      </c>
      <c r="I196" s="477"/>
      <c r="J196" s="616"/>
      <c r="K196" s="1676">
        <f>SUM(K194,K195)</f>
        <v>129935</v>
      </c>
      <c r="L196" s="1676">
        <f>SUM(L194,L195)</f>
        <v>129934</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v>0</v>
      </c>
    </row>
    <row r="200" spans="1:14" x14ac:dyDescent="0.2">
      <c r="A200" s="1503" t="s">
        <v>88</v>
      </c>
      <c r="B200" s="614">
        <v>5120</v>
      </c>
      <c r="C200" s="616"/>
      <c r="D200" s="616"/>
      <c r="E200" s="616"/>
      <c r="F200" s="616"/>
      <c r="G200" s="616"/>
      <c r="H200" s="466"/>
      <c r="I200" s="616"/>
      <c r="J200" s="616"/>
      <c r="K200" s="1670">
        <f>SUM(H200)</f>
        <v>0</v>
      </c>
      <c r="L200" s="466">
        <v>0</v>
      </c>
    </row>
    <row r="201" spans="1:14" ht="12.75" customHeight="1" x14ac:dyDescent="0.2">
      <c r="A201" s="1503" t="s">
        <v>1170</v>
      </c>
      <c r="B201" s="628" t="s">
        <v>617</v>
      </c>
      <c r="C201" s="616"/>
      <c r="D201" s="616"/>
      <c r="E201" s="616"/>
      <c r="F201" s="616"/>
      <c r="G201" s="616"/>
      <c r="H201" s="466"/>
      <c r="I201" s="616"/>
      <c r="J201" s="616"/>
      <c r="K201" s="1670">
        <f>SUM(H201)</f>
        <v>0</v>
      </c>
      <c r="L201" s="466">
        <v>0</v>
      </c>
    </row>
    <row r="202" spans="1:14" x14ac:dyDescent="0.2">
      <c r="A202" s="1503" t="s">
        <v>89</v>
      </c>
      <c r="B202" s="614" t="s">
        <v>589</v>
      </c>
      <c r="C202" s="616"/>
      <c r="D202" s="616"/>
      <c r="E202" s="616"/>
      <c r="F202" s="616"/>
      <c r="G202" s="616"/>
      <c r="H202" s="466"/>
      <c r="I202" s="616"/>
      <c r="J202" s="616"/>
      <c r="K202" s="1670">
        <f>SUM(H202)</f>
        <v>0</v>
      </c>
      <c r="L202" s="466">
        <v>0</v>
      </c>
    </row>
    <row r="203" spans="1:14" x14ac:dyDescent="0.2">
      <c r="A203" s="1515" t="s">
        <v>619</v>
      </c>
      <c r="B203" s="614" t="s">
        <v>618</v>
      </c>
      <c r="C203" s="616"/>
      <c r="D203" s="616"/>
      <c r="E203" s="616"/>
      <c r="F203" s="616"/>
      <c r="G203" s="616"/>
      <c r="H203" s="471"/>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1671</v>
      </c>
      <c r="B206" s="672" t="s">
        <v>31</v>
      </c>
      <c r="C206" s="616"/>
      <c r="D206" s="616"/>
      <c r="E206" s="616"/>
      <c r="F206" s="616"/>
      <c r="G206" s="616"/>
      <c r="H206" s="466"/>
      <c r="I206" s="616"/>
      <c r="J206" s="616"/>
      <c r="K206" s="1670">
        <f>SUM(H206)</f>
        <v>0</v>
      </c>
      <c r="L206" s="466">
        <v>0</v>
      </c>
    </row>
    <row r="207" spans="1:14" ht="15.75" customHeight="1" x14ac:dyDescent="0.2">
      <c r="A207" s="621" t="s">
        <v>766</v>
      </c>
      <c r="B207" s="672" t="s">
        <v>84</v>
      </c>
      <c r="C207" s="616"/>
      <c r="D207" s="616"/>
      <c r="E207" s="616"/>
      <c r="F207" s="616"/>
      <c r="G207" s="616"/>
      <c r="H207" s="467"/>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0</v>
      </c>
      <c r="D210" s="1669">
        <f>SUM(D184,D185)</f>
        <v>0</v>
      </c>
      <c r="E210" s="1669">
        <f>SUM(E184,E185,E196)</f>
        <v>976171</v>
      </c>
      <c r="F210" s="1669">
        <f>SUM(F184,F185)</f>
        <v>0</v>
      </c>
      <c r="G210" s="1669">
        <f>SUM(G184,G185)</f>
        <v>43456</v>
      </c>
      <c r="H210" s="1669">
        <f>SUM(H184,H185,H196,H208,H209)</f>
        <v>0</v>
      </c>
      <c r="I210" s="1669">
        <f>SUM(I184,I185)</f>
        <v>0</v>
      </c>
      <c r="J210" s="1669">
        <f>SUM(J184,J185)</f>
        <v>0</v>
      </c>
      <c r="K210" s="1670">
        <f>SUM(K184,K185,K196,K208,K209)</f>
        <v>1019627</v>
      </c>
      <c r="L210" s="1669">
        <f>SUM(L184,L185,L196,L208,L209)</f>
        <v>1017725</v>
      </c>
    </row>
    <row r="211" spans="1:14" ht="13.5" thickTop="1" x14ac:dyDescent="0.2">
      <c r="A211" s="2154" t="s">
        <v>996</v>
      </c>
      <c r="B211" s="2155"/>
      <c r="C211" s="618"/>
      <c r="D211" s="618"/>
      <c r="E211" s="618"/>
      <c r="F211" s="618"/>
      <c r="G211" s="618"/>
      <c r="H211" s="618"/>
      <c r="I211" s="616"/>
      <c r="J211" s="616"/>
      <c r="K211" s="1683">
        <f>'Revenues 9-14'!F268-'Expenditures 15-22'!K210</f>
        <v>-19630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112398</v>
      </c>
      <c r="E215" s="616"/>
      <c r="F215" s="616"/>
      <c r="G215" s="616"/>
      <c r="H215" s="616"/>
      <c r="I215" s="616"/>
      <c r="J215" s="616"/>
      <c r="K215" s="1670">
        <f>D215</f>
        <v>112398</v>
      </c>
      <c r="L215" s="466">
        <v>109292</v>
      </c>
    </row>
    <row r="216" spans="1:14" x14ac:dyDescent="0.2">
      <c r="A216" s="1503" t="s">
        <v>163</v>
      </c>
      <c r="B216" s="614" t="s">
        <v>967</v>
      </c>
      <c r="C216" s="616"/>
      <c r="D216" s="467"/>
      <c r="E216" s="616"/>
      <c r="F216" s="616"/>
      <c r="G216" s="616"/>
      <c r="H216" s="616"/>
      <c r="I216" s="616"/>
      <c r="J216" s="616"/>
      <c r="K216" s="1670">
        <f t="shared" ref="K216:K228" si="19">D216</f>
        <v>0</v>
      </c>
      <c r="L216" s="466">
        <v>0</v>
      </c>
    </row>
    <row r="217" spans="1:14" x14ac:dyDescent="0.2">
      <c r="A217" s="1503" t="s">
        <v>164</v>
      </c>
      <c r="B217" s="614">
        <v>1200</v>
      </c>
      <c r="C217" s="616"/>
      <c r="D217" s="466"/>
      <c r="E217" s="616"/>
      <c r="F217" s="616"/>
      <c r="G217" s="616"/>
      <c r="H217" s="616"/>
      <c r="I217" s="616"/>
      <c r="J217" s="616"/>
      <c r="K217" s="1670">
        <f t="shared" si="19"/>
        <v>0</v>
      </c>
      <c r="L217" s="466">
        <v>0</v>
      </c>
    </row>
    <row r="218" spans="1:14" x14ac:dyDescent="0.2">
      <c r="A218" s="1503" t="s">
        <v>278</v>
      </c>
      <c r="B218" s="614" t="s">
        <v>968</v>
      </c>
      <c r="C218" s="616"/>
      <c r="D218" s="467"/>
      <c r="E218" s="616"/>
      <c r="F218" s="616"/>
      <c r="G218" s="616"/>
      <c r="H218" s="616"/>
      <c r="I218" s="616"/>
      <c r="J218" s="616"/>
      <c r="K218" s="1670">
        <f t="shared" si="19"/>
        <v>0</v>
      </c>
      <c r="L218" s="466">
        <v>0</v>
      </c>
    </row>
    <row r="219" spans="1:14" x14ac:dyDescent="0.2">
      <c r="A219" s="1503" t="s">
        <v>279</v>
      </c>
      <c r="B219" s="614">
        <v>1250</v>
      </c>
      <c r="C219" s="616"/>
      <c r="D219" s="466">
        <v>31188</v>
      </c>
      <c r="E219" s="616"/>
      <c r="F219" s="616"/>
      <c r="G219" s="616"/>
      <c r="H219" s="616"/>
      <c r="I219" s="616"/>
      <c r="J219" s="616"/>
      <c r="K219" s="1670">
        <f t="shared" si="19"/>
        <v>31188</v>
      </c>
      <c r="L219" s="466">
        <v>0</v>
      </c>
    </row>
    <row r="220" spans="1:14" x14ac:dyDescent="0.2">
      <c r="A220" s="1503" t="s">
        <v>280</v>
      </c>
      <c r="B220" s="614" t="s">
        <v>161</v>
      </c>
      <c r="C220" s="616"/>
      <c r="D220" s="467"/>
      <c r="E220" s="616"/>
      <c r="F220" s="616"/>
      <c r="G220" s="616"/>
      <c r="H220" s="616"/>
      <c r="I220" s="616"/>
      <c r="J220" s="616"/>
      <c r="K220" s="1670">
        <f t="shared" si="19"/>
        <v>0</v>
      </c>
      <c r="L220" s="466">
        <v>0</v>
      </c>
    </row>
    <row r="221" spans="1:14" x14ac:dyDescent="0.2">
      <c r="A221" s="1503" t="s">
        <v>962</v>
      </c>
      <c r="B221" s="614">
        <v>1300</v>
      </c>
      <c r="C221" s="616"/>
      <c r="D221" s="466"/>
      <c r="E221" s="616"/>
      <c r="F221" s="616"/>
      <c r="G221" s="616"/>
      <c r="H221" s="616"/>
      <c r="I221" s="616"/>
      <c r="J221" s="616"/>
      <c r="K221" s="1670">
        <f t="shared" si="19"/>
        <v>0</v>
      </c>
      <c r="L221" s="466">
        <v>0</v>
      </c>
    </row>
    <row r="222" spans="1:14" x14ac:dyDescent="0.2">
      <c r="A222" s="1503" t="s">
        <v>723</v>
      </c>
      <c r="B222" s="614">
        <v>1400</v>
      </c>
      <c r="C222" s="616"/>
      <c r="D222" s="466"/>
      <c r="E222" s="616"/>
      <c r="F222" s="616"/>
      <c r="G222" s="616"/>
      <c r="H222" s="616"/>
      <c r="I222" s="616"/>
      <c r="J222" s="616"/>
      <c r="K222" s="1670">
        <f t="shared" si="19"/>
        <v>0</v>
      </c>
      <c r="L222" s="466">
        <v>0</v>
      </c>
    </row>
    <row r="223" spans="1:14" x14ac:dyDescent="0.2">
      <c r="A223" s="1503" t="s">
        <v>963</v>
      </c>
      <c r="B223" s="614">
        <v>1500</v>
      </c>
      <c r="C223" s="616"/>
      <c r="D223" s="466">
        <v>10394</v>
      </c>
      <c r="E223" s="616"/>
      <c r="F223" s="616"/>
      <c r="G223" s="616"/>
      <c r="H223" s="616"/>
      <c r="I223" s="616"/>
      <c r="J223" s="616"/>
      <c r="K223" s="1670">
        <f t="shared" si="19"/>
        <v>10394</v>
      </c>
      <c r="L223" s="466">
        <v>10488</v>
      </c>
    </row>
    <row r="224" spans="1:14" x14ac:dyDescent="0.2">
      <c r="A224" s="1503" t="s">
        <v>964</v>
      </c>
      <c r="B224" s="614">
        <v>1600</v>
      </c>
      <c r="C224" s="616"/>
      <c r="D224" s="466"/>
      <c r="E224" s="616"/>
      <c r="F224" s="616"/>
      <c r="G224" s="616"/>
      <c r="H224" s="616"/>
      <c r="I224" s="616"/>
      <c r="J224" s="616"/>
      <c r="K224" s="1670">
        <f t="shared" si="19"/>
        <v>0</v>
      </c>
      <c r="L224" s="466">
        <v>0</v>
      </c>
    </row>
    <row r="225" spans="1:12" x14ac:dyDescent="0.2">
      <c r="A225" s="1503" t="s">
        <v>987</v>
      </c>
      <c r="B225" s="614">
        <v>1650</v>
      </c>
      <c r="C225" s="616"/>
      <c r="D225" s="466"/>
      <c r="E225" s="616"/>
      <c r="F225" s="616"/>
      <c r="G225" s="616"/>
      <c r="H225" s="616"/>
      <c r="I225" s="616"/>
      <c r="J225" s="616"/>
      <c r="K225" s="1670">
        <f t="shared" si="19"/>
        <v>0</v>
      </c>
      <c r="L225" s="466">
        <v>0</v>
      </c>
    </row>
    <row r="226" spans="1:12" x14ac:dyDescent="0.2">
      <c r="A226" s="1503" t="s">
        <v>724</v>
      </c>
      <c r="B226" s="614" t="s">
        <v>162</v>
      </c>
      <c r="C226" s="616"/>
      <c r="D226" s="467"/>
      <c r="E226" s="616"/>
      <c r="F226" s="616"/>
      <c r="G226" s="616"/>
      <c r="H226" s="616"/>
      <c r="I226" s="616"/>
      <c r="J226" s="616"/>
      <c r="K226" s="1670">
        <f t="shared" si="19"/>
        <v>0</v>
      </c>
      <c r="L226" s="466">
        <v>0</v>
      </c>
    </row>
    <row r="227" spans="1:12" x14ac:dyDescent="0.2">
      <c r="A227" s="1503" t="s">
        <v>1087</v>
      </c>
      <c r="B227" s="614">
        <v>1800</v>
      </c>
      <c r="C227" s="616"/>
      <c r="D227" s="466"/>
      <c r="E227" s="616"/>
      <c r="F227" s="616"/>
      <c r="G227" s="616"/>
      <c r="H227" s="616"/>
      <c r="I227" s="616"/>
      <c r="J227" s="616"/>
      <c r="K227" s="1670">
        <f t="shared" si="19"/>
        <v>0</v>
      </c>
      <c r="L227" s="466">
        <v>0</v>
      </c>
    </row>
    <row r="228" spans="1:12" x14ac:dyDescent="0.2">
      <c r="A228" s="1503" t="s">
        <v>1088</v>
      </c>
      <c r="B228" s="614">
        <v>1900</v>
      </c>
      <c r="C228" s="616"/>
      <c r="D228" s="466">
        <v>1213</v>
      </c>
      <c r="E228" s="616"/>
      <c r="F228" s="616"/>
      <c r="G228" s="616"/>
      <c r="H228" s="616"/>
      <c r="I228" s="616"/>
      <c r="J228" s="616"/>
      <c r="K228" s="1670">
        <f t="shared" si="19"/>
        <v>1213</v>
      </c>
      <c r="L228" s="466">
        <v>1413</v>
      </c>
    </row>
    <row r="229" spans="1:12" ht="12.75" customHeight="1" thickBot="1" x14ac:dyDescent="0.25">
      <c r="A229" s="1667" t="s">
        <v>715</v>
      </c>
      <c r="B229" s="1674" t="s">
        <v>570</v>
      </c>
      <c r="C229" s="616"/>
      <c r="D229" s="1669">
        <f>SUM(D215:D228)</f>
        <v>155193</v>
      </c>
      <c r="E229" s="616"/>
      <c r="F229" s="616"/>
      <c r="G229" s="616"/>
      <c r="H229" s="616"/>
      <c r="I229" s="616"/>
      <c r="J229" s="616"/>
      <c r="K229" s="1669">
        <f>SUM(K215:K228)</f>
        <v>155193</v>
      </c>
      <c r="L229" s="1669">
        <f>SUM(L215:L228)</f>
        <v>121193</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3218</v>
      </c>
      <c r="E232" s="616"/>
      <c r="F232" s="616"/>
      <c r="G232" s="616"/>
      <c r="H232" s="616"/>
      <c r="I232" s="616"/>
      <c r="J232" s="616"/>
      <c r="K232" s="1670">
        <f t="shared" ref="K232:K237" si="20">D232</f>
        <v>3218</v>
      </c>
      <c r="L232" s="466">
        <v>3821</v>
      </c>
    </row>
    <row r="233" spans="1:12" x14ac:dyDescent="0.2">
      <c r="A233" s="1503" t="s">
        <v>1090</v>
      </c>
      <c r="B233" s="614">
        <v>2120</v>
      </c>
      <c r="C233" s="616"/>
      <c r="D233" s="466">
        <v>2417</v>
      </c>
      <c r="E233" s="616"/>
      <c r="F233" s="616"/>
      <c r="G233" s="616"/>
      <c r="H233" s="616"/>
      <c r="I233" s="616"/>
      <c r="J233" s="616"/>
      <c r="K233" s="1670">
        <f t="shared" si="20"/>
        <v>2417</v>
      </c>
      <c r="L233" s="466">
        <v>2450</v>
      </c>
    </row>
    <row r="234" spans="1:12" x14ac:dyDescent="0.2">
      <c r="A234" s="1503" t="s">
        <v>198</v>
      </c>
      <c r="B234" s="614">
        <v>2130</v>
      </c>
      <c r="C234" s="616"/>
      <c r="D234" s="466">
        <v>15039</v>
      </c>
      <c r="E234" s="616"/>
      <c r="F234" s="616"/>
      <c r="G234" s="616"/>
      <c r="H234" s="616"/>
      <c r="I234" s="616"/>
      <c r="J234" s="616"/>
      <c r="K234" s="1670">
        <f t="shared" si="20"/>
        <v>15039</v>
      </c>
      <c r="L234" s="466">
        <v>15758</v>
      </c>
    </row>
    <row r="235" spans="1:12" x14ac:dyDescent="0.2">
      <c r="A235" s="1503" t="s">
        <v>199</v>
      </c>
      <c r="B235" s="614">
        <v>2140</v>
      </c>
      <c r="C235" s="616"/>
      <c r="D235" s="466"/>
      <c r="E235" s="616"/>
      <c r="F235" s="616"/>
      <c r="G235" s="616"/>
      <c r="H235" s="616"/>
      <c r="I235" s="616"/>
      <c r="J235" s="616"/>
      <c r="K235" s="1670">
        <f t="shared" si="20"/>
        <v>0</v>
      </c>
      <c r="L235" s="466">
        <v>0</v>
      </c>
    </row>
    <row r="236" spans="1:12" x14ac:dyDescent="0.2">
      <c r="A236" s="1503" t="s">
        <v>200</v>
      </c>
      <c r="B236" s="614">
        <v>2150</v>
      </c>
      <c r="C236" s="616"/>
      <c r="D236" s="466"/>
      <c r="E236" s="616"/>
      <c r="F236" s="616"/>
      <c r="G236" s="616"/>
      <c r="H236" s="616"/>
      <c r="I236" s="616"/>
      <c r="J236" s="616"/>
      <c r="K236" s="1670">
        <f t="shared" si="20"/>
        <v>0</v>
      </c>
      <c r="L236" s="466">
        <v>0</v>
      </c>
    </row>
    <row r="237" spans="1:12" x14ac:dyDescent="0.2">
      <c r="A237" s="1503" t="s">
        <v>165</v>
      </c>
      <c r="B237" s="614">
        <v>2190</v>
      </c>
      <c r="C237" s="616"/>
      <c r="D237" s="466">
        <v>3495</v>
      </c>
      <c r="E237" s="616"/>
      <c r="F237" s="616"/>
      <c r="G237" s="616"/>
      <c r="H237" s="616"/>
      <c r="I237" s="616"/>
      <c r="J237" s="616"/>
      <c r="K237" s="1670">
        <f t="shared" si="20"/>
        <v>3495</v>
      </c>
      <c r="L237" s="466">
        <v>2905</v>
      </c>
    </row>
    <row r="238" spans="1:12" ht="12.75" customHeight="1" thickBot="1" x14ac:dyDescent="0.25">
      <c r="A238" s="1667" t="s">
        <v>560</v>
      </c>
      <c r="B238" s="1674" t="s">
        <v>716</v>
      </c>
      <c r="C238" s="616"/>
      <c r="D238" s="1669">
        <f>SUM(D232:D237)</f>
        <v>24169</v>
      </c>
      <c r="E238" s="616"/>
      <c r="F238" s="616"/>
      <c r="G238" s="616"/>
      <c r="H238" s="616"/>
      <c r="I238" s="616"/>
      <c r="J238" s="616"/>
      <c r="K238" s="1669">
        <f>SUM(K232:K237)</f>
        <v>24169</v>
      </c>
      <c r="L238" s="1669">
        <f>SUM(L232:L237)</f>
        <v>24934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8060</v>
      </c>
      <c r="E240" s="616"/>
      <c r="F240" s="616"/>
      <c r="G240" s="616"/>
      <c r="H240" s="616"/>
      <c r="I240" s="616"/>
      <c r="J240" s="616"/>
      <c r="K240" s="1671">
        <f>D240</f>
        <v>8060</v>
      </c>
      <c r="L240" s="481">
        <v>8343</v>
      </c>
    </row>
    <row r="241" spans="1:12" x14ac:dyDescent="0.2">
      <c r="A241" s="1503" t="s">
        <v>815</v>
      </c>
      <c r="B241" s="614">
        <v>2220</v>
      </c>
      <c r="C241" s="616"/>
      <c r="D241" s="466">
        <v>13531</v>
      </c>
      <c r="E241" s="616"/>
      <c r="F241" s="616"/>
      <c r="G241" s="616"/>
      <c r="H241" s="616"/>
      <c r="I241" s="616"/>
      <c r="J241" s="616"/>
      <c r="K241" s="1671">
        <f>D241</f>
        <v>13531</v>
      </c>
      <c r="L241" s="466">
        <v>14120</v>
      </c>
    </row>
    <row r="242" spans="1:12" x14ac:dyDescent="0.2">
      <c r="A242" s="1503" t="s">
        <v>816</v>
      </c>
      <c r="B242" s="614">
        <v>2230</v>
      </c>
      <c r="C242" s="616"/>
      <c r="D242" s="466"/>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21591</v>
      </c>
      <c r="E243" s="616"/>
      <c r="F243" s="616"/>
      <c r="G243" s="616"/>
      <c r="H243" s="616"/>
      <c r="I243" s="616"/>
      <c r="J243" s="616"/>
      <c r="K243" s="1669">
        <f>SUM(K240:K242)</f>
        <v>21591</v>
      </c>
      <c r="L243" s="1669">
        <f>SUM(L240:L242)</f>
        <v>22463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479</v>
      </c>
      <c r="E245" s="616"/>
      <c r="F245" s="616"/>
      <c r="G245" s="616"/>
      <c r="H245" s="616"/>
      <c r="I245" s="616"/>
      <c r="J245" s="616"/>
      <c r="K245" s="1671">
        <f>D245</f>
        <v>479</v>
      </c>
      <c r="L245" s="481">
        <v>508</v>
      </c>
    </row>
    <row r="246" spans="1:12" x14ac:dyDescent="0.2">
      <c r="A246" s="1503" t="s">
        <v>818</v>
      </c>
      <c r="B246" s="614">
        <v>2320</v>
      </c>
      <c r="C246" s="616"/>
      <c r="D246" s="466">
        <v>18524</v>
      </c>
      <c r="E246" s="616"/>
      <c r="F246" s="616"/>
      <c r="G246" s="616"/>
      <c r="H246" s="616"/>
      <c r="I246" s="616"/>
      <c r="J246" s="616"/>
      <c r="K246" s="1671">
        <f t="shared" ref="K246:K256" si="21">D246</f>
        <v>18524</v>
      </c>
      <c r="L246" s="466">
        <v>18377</v>
      </c>
    </row>
    <row r="247" spans="1:12" x14ac:dyDescent="0.2">
      <c r="A247" s="1503" t="s">
        <v>819</v>
      </c>
      <c r="B247" s="614">
        <v>2330</v>
      </c>
      <c r="C247" s="616"/>
      <c r="D247" s="466"/>
      <c r="E247" s="616"/>
      <c r="F247" s="616"/>
      <c r="G247" s="616"/>
      <c r="H247" s="616"/>
      <c r="I247" s="616"/>
      <c r="J247" s="616"/>
      <c r="K247" s="1671">
        <f t="shared" si="21"/>
        <v>0</v>
      </c>
      <c r="L247" s="466">
        <v>0</v>
      </c>
    </row>
    <row r="248" spans="1:12" x14ac:dyDescent="0.2">
      <c r="A248" s="1504" t="s">
        <v>299</v>
      </c>
      <c r="B248" s="602" t="s">
        <v>281</v>
      </c>
      <c r="C248" s="616"/>
      <c r="D248" s="474"/>
      <c r="E248" s="616"/>
      <c r="F248" s="616"/>
      <c r="G248" s="616"/>
      <c r="H248" s="616"/>
      <c r="I248" s="616"/>
      <c r="J248" s="616"/>
      <c r="K248" s="1671">
        <f t="shared" si="21"/>
        <v>0</v>
      </c>
      <c r="L248" s="466">
        <v>0</v>
      </c>
    </row>
    <row r="249" spans="1:12" x14ac:dyDescent="0.2">
      <c r="A249" s="1505" t="s">
        <v>1802</v>
      </c>
      <c r="B249" s="683" t="s">
        <v>282</v>
      </c>
      <c r="C249" s="616"/>
      <c r="D249" s="474"/>
      <c r="E249" s="616"/>
      <c r="F249" s="616"/>
      <c r="G249" s="616"/>
      <c r="H249" s="616"/>
      <c r="I249" s="616"/>
      <c r="J249" s="616"/>
      <c r="K249" s="1671">
        <f t="shared" si="21"/>
        <v>0</v>
      </c>
      <c r="L249" s="466">
        <v>0</v>
      </c>
    </row>
    <row r="250" spans="1:12" x14ac:dyDescent="0.2">
      <c r="A250" s="1504" t="s">
        <v>1803</v>
      </c>
      <c r="B250" s="602" t="s">
        <v>283</v>
      </c>
      <c r="C250" s="616"/>
      <c r="D250" s="474"/>
      <c r="E250" s="616"/>
      <c r="F250" s="616"/>
      <c r="G250" s="616"/>
      <c r="H250" s="616"/>
      <c r="I250" s="616"/>
      <c r="J250" s="616"/>
      <c r="K250" s="1671">
        <f t="shared" si="21"/>
        <v>0</v>
      </c>
      <c r="L250" s="466">
        <v>0</v>
      </c>
    </row>
    <row r="251" spans="1:12" x14ac:dyDescent="0.2">
      <c r="A251" s="1504" t="s">
        <v>238</v>
      </c>
      <c r="B251" s="602" t="s">
        <v>284</v>
      </c>
      <c r="C251" s="616"/>
      <c r="D251" s="474"/>
      <c r="E251" s="616"/>
      <c r="F251" s="616"/>
      <c r="G251" s="616"/>
      <c r="H251" s="616"/>
      <c r="I251" s="616"/>
      <c r="J251" s="616"/>
      <c r="K251" s="1671">
        <f t="shared" si="21"/>
        <v>0</v>
      </c>
      <c r="L251" s="466">
        <v>0</v>
      </c>
    </row>
    <row r="252" spans="1:12" x14ac:dyDescent="0.2">
      <c r="A252" s="1504" t="s">
        <v>702</v>
      </c>
      <c r="B252" s="602" t="s">
        <v>285</v>
      </c>
      <c r="C252" s="616"/>
      <c r="D252" s="474">
        <v>1951</v>
      </c>
      <c r="E252" s="616"/>
      <c r="F252" s="616"/>
      <c r="G252" s="616"/>
      <c r="H252" s="616"/>
      <c r="I252" s="616"/>
      <c r="J252" s="616"/>
      <c r="K252" s="1671">
        <f t="shared" si="21"/>
        <v>1951</v>
      </c>
      <c r="L252" s="466">
        <v>2799</v>
      </c>
    </row>
    <row r="253" spans="1:12" x14ac:dyDescent="0.2">
      <c r="A253" s="1504" t="s">
        <v>239</v>
      </c>
      <c r="B253" s="602" t="s">
        <v>286</v>
      </c>
      <c r="C253" s="616"/>
      <c r="D253" s="474"/>
      <c r="E253" s="616"/>
      <c r="F253" s="616"/>
      <c r="G253" s="616"/>
      <c r="H253" s="616"/>
      <c r="I253" s="616"/>
      <c r="J253" s="616"/>
      <c r="K253" s="1671">
        <f t="shared" si="21"/>
        <v>0</v>
      </c>
      <c r="L253" s="466">
        <v>0</v>
      </c>
    </row>
    <row r="254" spans="1:12" ht="22.5" x14ac:dyDescent="0.2">
      <c r="A254" s="1504" t="s">
        <v>1029</v>
      </c>
      <c r="B254" s="683" t="s">
        <v>287</v>
      </c>
      <c r="C254" s="616"/>
      <c r="D254" s="474"/>
      <c r="E254" s="616"/>
      <c r="F254" s="616"/>
      <c r="G254" s="616"/>
      <c r="H254" s="616"/>
      <c r="I254" s="616"/>
      <c r="J254" s="616"/>
      <c r="K254" s="1671">
        <f t="shared" si="21"/>
        <v>0</v>
      </c>
      <c r="L254" s="466">
        <v>0</v>
      </c>
    </row>
    <row r="255" spans="1:12" x14ac:dyDescent="0.2">
      <c r="A255" s="1504" t="s">
        <v>1030</v>
      </c>
      <c r="B255" s="602" t="s">
        <v>288</v>
      </c>
      <c r="C255" s="616"/>
      <c r="D255" s="474"/>
      <c r="E255" s="616"/>
      <c r="F255" s="616"/>
      <c r="G255" s="616"/>
      <c r="H255" s="616"/>
      <c r="I255" s="616"/>
      <c r="J255" s="616"/>
      <c r="K255" s="1671">
        <f t="shared" si="21"/>
        <v>0</v>
      </c>
      <c r="L255" s="466">
        <v>0</v>
      </c>
    </row>
    <row r="256" spans="1:12" x14ac:dyDescent="0.2">
      <c r="A256" s="1504" t="s">
        <v>971</v>
      </c>
      <c r="B256" s="614" t="s">
        <v>289</v>
      </c>
      <c r="C256" s="616"/>
      <c r="D256" s="474"/>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20954</v>
      </c>
      <c r="E257" s="616"/>
      <c r="F257" s="616"/>
      <c r="G257" s="616"/>
      <c r="H257" s="616"/>
      <c r="I257" s="616"/>
      <c r="J257" s="616"/>
      <c r="K257" s="1669">
        <f>SUM(K245:K256)</f>
        <v>20954</v>
      </c>
      <c r="L257" s="1669">
        <f>SUM(L245:L256)</f>
        <v>21684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55694</v>
      </c>
      <c r="E259" s="616"/>
      <c r="F259" s="616"/>
      <c r="G259" s="616"/>
      <c r="H259" s="616"/>
      <c r="I259" s="616"/>
      <c r="J259" s="616"/>
      <c r="K259" s="1671">
        <f>D259</f>
        <v>55694</v>
      </c>
      <c r="L259" s="481">
        <v>60315</v>
      </c>
    </row>
    <row r="260" spans="1:14" s="597" customFormat="1" x14ac:dyDescent="0.2">
      <c r="A260" s="1521" t="s">
        <v>1801</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55694</v>
      </c>
      <c r="E261" s="616"/>
      <c r="F261" s="616"/>
      <c r="G261" s="616"/>
      <c r="H261" s="616"/>
      <c r="I261" s="616"/>
      <c r="J261" s="616"/>
      <c r="K261" s="1669">
        <f>SUM(K259:K260)</f>
        <v>55694</v>
      </c>
      <c r="L261" s="1669">
        <f>SUM(L259:L260)</f>
        <v>60315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v>0</v>
      </c>
    </row>
    <row r="264" spans="1:14" x14ac:dyDescent="0.2">
      <c r="A264" s="1503" t="s">
        <v>463</v>
      </c>
      <c r="B264" s="685">
        <v>2520</v>
      </c>
      <c r="C264" s="616"/>
      <c r="D264" s="466">
        <v>15555</v>
      </c>
      <c r="E264" s="616"/>
      <c r="F264" s="616"/>
      <c r="G264" s="616"/>
      <c r="H264" s="616"/>
      <c r="I264" s="616"/>
      <c r="J264" s="616"/>
      <c r="K264" s="1671">
        <f t="shared" ref="K264:K269" si="22">D264</f>
        <v>15555</v>
      </c>
      <c r="L264" s="466">
        <v>16236</v>
      </c>
    </row>
    <row r="265" spans="1:14" x14ac:dyDescent="0.2">
      <c r="A265" s="1503" t="s">
        <v>4</v>
      </c>
      <c r="B265" s="614">
        <v>2530</v>
      </c>
      <c r="C265" s="616"/>
      <c r="D265" s="466"/>
      <c r="E265" s="616"/>
      <c r="F265" s="616"/>
      <c r="G265" s="616"/>
      <c r="H265" s="616"/>
      <c r="I265" s="616"/>
      <c r="J265" s="616"/>
      <c r="K265" s="1671">
        <f t="shared" si="22"/>
        <v>0</v>
      </c>
      <c r="L265" s="466">
        <v>0</v>
      </c>
    </row>
    <row r="266" spans="1:14" x14ac:dyDescent="0.2">
      <c r="A266" s="1503" t="s">
        <v>197</v>
      </c>
      <c r="B266" s="614">
        <v>2540</v>
      </c>
      <c r="C266" s="616"/>
      <c r="D266" s="466">
        <v>147376</v>
      </c>
      <c r="E266" s="616"/>
      <c r="F266" s="616"/>
      <c r="G266" s="616"/>
      <c r="H266" s="616"/>
      <c r="I266" s="616"/>
      <c r="J266" s="616"/>
      <c r="K266" s="1671">
        <f t="shared" si="22"/>
        <v>147376</v>
      </c>
      <c r="L266" s="466">
        <v>158299</v>
      </c>
    </row>
    <row r="267" spans="1:14" x14ac:dyDescent="0.2">
      <c r="A267" s="1503" t="s">
        <v>953</v>
      </c>
      <c r="B267" s="614">
        <v>2550</v>
      </c>
      <c r="C267" s="616"/>
      <c r="D267" s="466"/>
      <c r="E267" s="616"/>
      <c r="F267" s="616"/>
      <c r="G267" s="616"/>
      <c r="H267" s="616"/>
      <c r="I267" s="616"/>
      <c r="J267" s="616"/>
      <c r="K267" s="1671">
        <f t="shared" si="22"/>
        <v>0</v>
      </c>
      <c r="L267" s="466">
        <v>0</v>
      </c>
    </row>
    <row r="268" spans="1:14" x14ac:dyDescent="0.2">
      <c r="A268" s="1503" t="s">
        <v>100</v>
      </c>
      <c r="B268" s="614">
        <v>2560</v>
      </c>
      <c r="C268" s="616"/>
      <c r="D268" s="466">
        <v>54383</v>
      </c>
      <c r="E268" s="616"/>
      <c r="F268" s="616"/>
      <c r="G268" s="616"/>
      <c r="H268" s="616"/>
      <c r="I268" s="616"/>
      <c r="J268" s="616"/>
      <c r="K268" s="1671">
        <f t="shared" si="22"/>
        <v>54383</v>
      </c>
      <c r="L268" s="466">
        <v>56452</v>
      </c>
    </row>
    <row r="269" spans="1:14" x14ac:dyDescent="0.2">
      <c r="A269" s="1503"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217314</v>
      </c>
      <c r="E270" s="616"/>
      <c r="F270" s="616"/>
      <c r="G270" s="616"/>
      <c r="H270" s="616"/>
      <c r="I270" s="616"/>
      <c r="J270" s="616"/>
      <c r="K270" s="1669">
        <f>SUM(K263:K269)</f>
        <v>217314</v>
      </c>
      <c r="L270" s="1669">
        <f>SUM(L263:L269)</f>
        <v>230987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v>0</v>
      </c>
    </row>
    <row r="273" spans="1:12" x14ac:dyDescent="0.2">
      <c r="A273" s="1503" t="s">
        <v>607</v>
      </c>
      <c r="B273" s="628">
        <v>2620</v>
      </c>
      <c r="C273" s="616"/>
      <c r="D273" s="466"/>
      <c r="E273" s="616"/>
      <c r="F273" s="616"/>
      <c r="G273" s="616"/>
      <c r="H273" s="616"/>
      <c r="I273" s="616"/>
      <c r="J273" s="616"/>
      <c r="K273" s="1671">
        <f>D273</f>
        <v>0</v>
      </c>
      <c r="L273" s="466">
        <v>0</v>
      </c>
    </row>
    <row r="274" spans="1:12" ht="12" customHeight="1" x14ac:dyDescent="0.2">
      <c r="A274" s="1503" t="s">
        <v>1061</v>
      </c>
      <c r="B274" s="614">
        <v>2630</v>
      </c>
      <c r="C274" s="616"/>
      <c r="D274" s="466"/>
      <c r="E274" s="616"/>
      <c r="F274" s="616"/>
      <c r="G274" s="616"/>
      <c r="H274" s="616"/>
      <c r="I274" s="616"/>
      <c r="J274" s="616"/>
      <c r="K274" s="1671">
        <f>D274</f>
        <v>0</v>
      </c>
      <c r="L274" s="466">
        <v>0</v>
      </c>
    </row>
    <row r="275" spans="1:12" x14ac:dyDescent="0.2">
      <c r="A275" s="1503" t="s">
        <v>403</v>
      </c>
      <c r="B275" s="614">
        <v>2640</v>
      </c>
      <c r="C275" s="616"/>
      <c r="D275" s="466"/>
      <c r="E275" s="616"/>
      <c r="F275" s="616"/>
      <c r="G275" s="616"/>
      <c r="H275" s="616"/>
      <c r="I275" s="616"/>
      <c r="J275" s="616"/>
      <c r="K275" s="1671">
        <f>D275</f>
        <v>0</v>
      </c>
      <c r="L275" s="466">
        <v>0</v>
      </c>
    </row>
    <row r="276" spans="1:12" x14ac:dyDescent="0.2">
      <c r="A276" s="1503" t="s">
        <v>404</v>
      </c>
      <c r="B276" s="614">
        <v>2660</v>
      </c>
      <c r="C276" s="616"/>
      <c r="D276" s="466">
        <v>23316</v>
      </c>
      <c r="E276" s="616"/>
      <c r="F276" s="616"/>
      <c r="G276" s="616"/>
      <c r="H276" s="616"/>
      <c r="I276" s="616"/>
      <c r="J276" s="616"/>
      <c r="K276" s="1671">
        <f>D276</f>
        <v>23316</v>
      </c>
      <c r="L276" s="466">
        <v>26662</v>
      </c>
    </row>
    <row r="277" spans="1:12" ht="12.75" customHeight="1" thickBot="1" x14ac:dyDescent="0.25">
      <c r="A277" s="1690" t="s">
        <v>37</v>
      </c>
      <c r="B277" s="1668" t="s">
        <v>36</v>
      </c>
      <c r="C277" s="616"/>
      <c r="D277" s="1669">
        <f>SUM(D272:D276)</f>
        <v>23316</v>
      </c>
      <c r="E277" s="616"/>
      <c r="F277" s="616"/>
      <c r="G277" s="616"/>
      <c r="H277" s="616"/>
      <c r="I277" s="616"/>
      <c r="J277" s="616"/>
      <c r="K277" s="1669">
        <f>SUM(K272:K276)</f>
        <v>23316</v>
      </c>
      <c r="L277" s="1669">
        <f>SUM(L272:L276)</f>
        <v>26662</v>
      </c>
    </row>
    <row r="278" spans="1:12" ht="13.5" customHeight="1" thickTop="1" x14ac:dyDescent="0.2">
      <c r="A278" s="1509" t="s">
        <v>980</v>
      </c>
      <c r="B278" s="655" t="s">
        <v>574</v>
      </c>
      <c r="C278" s="616"/>
      <c r="D278" s="656"/>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363038</v>
      </c>
      <c r="E279" s="616"/>
      <c r="F279" s="616"/>
      <c r="G279" s="616"/>
      <c r="H279" s="616"/>
      <c r="I279" s="616"/>
      <c r="J279" s="616"/>
      <c r="K279" s="1676">
        <f>SUM(K238,K243,K257,K261,K270,K277,K278)</f>
        <v>363038</v>
      </c>
      <c r="L279" s="1676">
        <f>SUM(L238,L243,L257,L261,L270,L277,L278)</f>
        <v>387045</v>
      </c>
    </row>
    <row r="280" spans="1:12" ht="15.75" customHeight="1" thickTop="1" thickBot="1" x14ac:dyDescent="0.25">
      <c r="A280" s="1623" t="s">
        <v>875</v>
      </c>
      <c r="B280" s="1612">
        <v>3000</v>
      </c>
      <c r="C280" s="616"/>
      <c r="D280" s="576">
        <v>54</v>
      </c>
      <c r="E280" s="616"/>
      <c r="F280" s="616"/>
      <c r="G280" s="616"/>
      <c r="H280" s="616"/>
      <c r="I280" s="616"/>
      <c r="J280" s="616"/>
      <c r="K280" s="1678">
        <f>D280</f>
        <v>54</v>
      </c>
      <c r="L280" s="576">
        <v>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1842</v>
      </c>
      <c r="C282" s="616"/>
      <c r="D282" s="467"/>
      <c r="E282" s="616"/>
      <c r="F282" s="616"/>
      <c r="G282" s="616"/>
      <c r="H282" s="616"/>
      <c r="I282" s="616"/>
      <c r="J282" s="616"/>
      <c r="K282" s="1670">
        <f>D282</f>
        <v>0</v>
      </c>
      <c r="L282" s="467">
        <v>0</v>
      </c>
    </row>
    <row r="283" spans="1:12" x14ac:dyDescent="0.2">
      <c r="A283" s="1503" t="s">
        <v>304</v>
      </c>
      <c r="B283" s="614">
        <v>4120</v>
      </c>
      <c r="C283" s="616"/>
      <c r="D283" s="466"/>
      <c r="E283" s="616"/>
      <c r="F283" s="616"/>
      <c r="G283" s="616"/>
      <c r="H283" s="616"/>
      <c r="I283" s="616"/>
      <c r="J283" s="616"/>
      <c r="K283" s="1670">
        <f>D283</f>
        <v>0</v>
      </c>
      <c r="L283" s="466">
        <v>0</v>
      </c>
    </row>
    <row r="284" spans="1:12" x14ac:dyDescent="0.2">
      <c r="A284" s="1503" t="s">
        <v>697</v>
      </c>
      <c r="B284" s="614">
        <v>4140</v>
      </c>
      <c r="C284" s="616"/>
      <c r="D284" s="467"/>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v>0</v>
      </c>
    </row>
    <row r="289" spans="1:14" x14ac:dyDescent="0.2">
      <c r="A289" s="1503" t="s">
        <v>88</v>
      </c>
      <c r="B289" s="614">
        <v>5120</v>
      </c>
      <c r="C289" s="616"/>
      <c r="D289" s="616"/>
      <c r="E289" s="616"/>
      <c r="F289" s="616"/>
      <c r="G289" s="616"/>
      <c r="H289" s="466"/>
      <c r="I289" s="616"/>
      <c r="J289" s="616"/>
      <c r="K289" s="1670">
        <f>H289</f>
        <v>0</v>
      </c>
      <c r="L289" s="466">
        <v>0</v>
      </c>
    </row>
    <row r="290" spans="1:14" ht="12.75" customHeight="1" x14ac:dyDescent="0.2">
      <c r="A290" s="1503" t="s">
        <v>1170</v>
      </c>
      <c r="B290" s="628" t="s">
        <v>617</v>
      </c>
      <c r="C290" s="616"/>
      <c r="D290" s="616"/>
      <c r="E290" s="616"/>
      <c r="F290" s="616"/>
      <c r="G290" s="616"/>
      <c r="H290" s="466"/>
      <c r="I290" s="616"/>
      <c r="J290" s="616"/>
      <c r="K290" s="1670">
        <f>H290</f>
        <v>0</v>
      </c>
      <c r="L290" s="466">
        <v>0</v>
      </c>
    </row>
    <row r="291" spans="1:14" x14ac:dyDescent="0.2">
      <c r="A291" s="1503" t="s">
        <v>89</v>
      </c>
      <c r="B291" s="614" t="s">
        <v>589</v>
      </c>
      <c r="C291" s="616"/>
      <c r="D291" s="616"/>
      <c r="E291" s="616"/>
      <c r="F291" s="616"/>
      <c r="G291" s="616"/>
      <c r="H291" s="466"/>
      <c r="I291" s="616"/>
      <c r="J291" s="616"/>
      <c r="K291" s="1670">
        <f>H291</f>
        <v>0</v>
      </c>
      <c r="L291" s="466">
        <v>0</v>
      </c>
    </row>
    <row r="292" spans="1:14" x14ac:dyDescent="0.2">
      <c r="A292" s="1503" t="s">
        <v>762</v>
      </c>
      <c r="B292" s="614" t="s">
        <v>618</v>
      </c>
      <c r="C292" s="616"/>
      <c r="D292" s="616"/>
      <c r="E292" s="616"/>
      <c r="F292" s="616"/>
      <c r="G292" s="616"/>
      <c r="H292" s="466"/>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69">
        <f>SUM(D229,D279,D280,D285)</f>
        <v>518285</v>
      </c>
      <c r="E295" s="616"/>
      <c r="F295" s="616"/>
      <c r="G295" s="616"/>
      <c r="H295" s="1669">
        <f>H293</f>
        <v>0</v>
      </c>
      <c r="I295" s="616"/>
      <c r="J295" s="616"/>
      <c r="K295" s="1669">
        <f>SUM(K229,K279,K280,K285,K293,K294)</f>
        <v>518285</v>
      </c>
      <c r="L295" s="1669">
        <f>SUM(L229,L279,L280,L285,L293,L294)</f>
        <v>508238</v>
      </c>
    </row>
    <row r="296" spans="1:14" ht="13.5" thickTop="1" x14ac:dyDescent="0.2">
      <c r="A296" s="2154" t="s">
        <v>996</v>
      </c>
      <c r="B296" s="2155"/>
      <c r="C296" s="616"/>
      <c r="D296" s="618"/>
      <c r="E296" s="616"/>
      <c r="F296" s="616"/>
      <c r="G296" s="616"/>
      <c r="H296" s="687"/>
      <c r="I296" s="616"/>
      <c r="J296" s="616"/>
      <c r="K296" s="1683">
        <f>'Revenues 9-14'!G268-'Expenditures 15-22'!K295</f>
        <v>10739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v>101614</v>
      </c>
      <c r="H301" s="466"/>
      <c r="I301" s="467"/>
      <c r="J301" s="467"/>
      <c r="K301" s="1670">
        <f>SUM(C301:J301)</f>
        <v>101614</v>
      </c>
      <c r="L301" s="467">
        <v>131928</v>
      </c>
    </row>
    <row r="302" spans="1:14" ht="13.5" customHeight="1" x14ac:dyDescent="0.2">
      <c r="A302" s="1516" t="s">
        <v>980</v>
      </c>
      <c r="B302" s="614" t="s">
        <v>574</v>
      </c>
      <c r="C302" s="466"/>
      <c r="D302" s="466"/>
      <c r="E302" s="466"/>
      <c r="F302" s="466"/>
      <c r="G302" s="466"/>
      <c r="H302" s="466"/>
      <c r="I302" s="467"/>
      <c r="J302" s="467"/>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101614</v>
      </c>
      <c r="H303" s="1676">
        <f t="shared" si="23"/>
        <v>0</v>
      </c>
      <c r="I303" s="1676">
        <f t="shared" si="23"/>
        <v>0</v>
      </c>
      <c r="J303" s="1676">
        <f t="shared" si="23"/>
        <v>0</v>
      </c>
      <c r="K303" s="1676">
        <f t="shared" si="23"/>
        <v>101614</v>
      </c>
      <c r="L303" s="1676">
        <f t="shared" si="23"/>
        <v>131928</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1847</v>
      </c>
      <c r="B306" s="690" t="s">
        <v>1842</v>
      </c>
      <c r="C306" s="616"/>
      <c r="D306" s="616"/>
      <c r="E306" s="467"/>
      <c r="F306" s="616"/>
      <c r="G306" s="616"/>
      <c r="H306" s="467"/>
      <c r="I306" s="616"/>
      <c r="J306" s="616"/>
      <c r="K306" s="1670">
        <f>SUM(E306,H306)</f>
        <v>0</v>
      </c>
      <c r="L306" s="467">
        <v>0</v>
      </c>
    </row>
    <row r="307" spans="1:14" x14ac:dyDescent="0.2">
      <c r="A307" s="1503" t="s">
        <v>304</v>
      </c>
      <c r="B307" s="614">
        <v>4120</v>
      </c>
      <c r="C307" s="616"/>
      <c r="D307" s="616"/>
      <c r="E307" s="467"/>
      <c r="F307" s="616"/>
      <c r="G307" s="616"/>
      <c r="H307" s="467"/>
      <c r="I307" s="477"/>
      <c r="J307" s="616"/>
      <c r="K307" s="1670">
        <f>SUM(E307,H307)</f>
        <v>0</v>
      </c>
      <c r="L307" s="466">
        <v>0</v>
      </c>
    </row>
    <row r="308" spans="1:14" x14ac:dyDescent="0.2">
      <c r="A308" s="1503" t="s">
        <v>697</v>
      </c>
      <c r="B308" s="614">
        <v>4140</v>
      </c>
      <c r="C308" s="616"/>
      <c r="D308" s="616"/>
      <c r="E308" s="467"/>
      <c r="F308" s="616"/>
      <c r="G308" s="616"/>
      <c r="H308" s="467"/>
      <c r="I308" s="477"/>
      <c r="J308" s="616"/>
      <c r="K308" s="1670">
        <f>SUM(E308,H308)</f>
        <v>0</v>
      </c>
      <c r="L308" s="466">
        <v>0</v>
      </c>
    </row>
    <row r="309" spans="1:14" ht="12.75" customHeight="1" x14ac:dyDescent="0.2">
      <c r="A309" s="1507" t="s">
        <v>698</v>
      </c>
      <c r="B309" s="628">
        <v>4190</v>
      </c>
      <c r="C309" s="616"/>
      <c r="D309" s="616"/>
      <c r="E309" s="467"/>
      <c r="F309" s="616"/>
      <c r="G309" s="616"/>
      <c r="H309" s="467"/>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69">
        <f>SUM(C303)</f>
        <v>0</v>
      </c>
      <c r="D312" s="1669">
        <f>SUM(D303)</f>
        <v>0</v>
      </c>
      <c r="E312" s="1669">
        <f>SUM(E303,E310)</f>
        <v>0</v>
      </c>
      <c r="F312" s="1669">
        <f>SUM(F303)</f>
        <v>0</v>
      </c>
      <c r="G312" s="1669">
        <f>SUM(G303)</f>
        <v>101614</v>
      </c>
      <c r="H312" s="1669">
        <f>SUM(H303,H310)</f>
        <v>0</v>
      </c>
      <c r="I312" s="1669">
        <f>SUM(I303)</f>
        <v>0</v>
      </c>
      <c r="J312" s="1669">
        <f>SUM(J303)</f>
        <v>0</v>
      </c>
      <c r="K312" s="1669">
        <f>SUM(K303,K310,K311)</f>
        <v>101614</v>
      </c>
      <c r="L312" s="1669">
        <f>SUM(L303,L310,L311)</f>
        <v>131928</v>
      </c>
      <c r="M312" s="665"/>
      <c r="N312" s="665"/>
    </row>
    <row r="313" spans="1:14" ht="13.5" thickTop="1" x14ac:dyDescent="0.2">
      <c r="A313" s="2165" t="s">
        <v>996</v>
      </c>
      <c r="B313" s="2166"/>
      <c r="C313" s="626"/>
      <c r="D313" s="626"/>
      <c r="E313" s="626"/>
      <c r="F313" s="626"/>
      <c r="G313" s="626"/>
      <c r="H313" s="626"/>
      <c r="I313" s="626"/>
      <c r="J313" s="626"/>
      <c r="K313" s="1684">
        <f>'Revenues 9-14'!H268-'Expenditures 15-22'!K312</f>
        <v>528644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v>0</v>
      </c>
      <c r="M319" s="665"/>
      <c r="N319" s="665"/>
    </row>
    <row r="320" spans="1:14" s="674" customFormat="1" x14ac:dyDescent="0.2">
      <c r="A320" s="1522" t="s">
        <v>1802</v>
      </c>
      <c r="B320" s="698" t="s">
        <v>282</v>
      </c>
      <c r="C320" s="467"/>
      <c r="D320" s="467"/>
      <c r="E320" s="467"/>
      <c r="F320" s="467"/>
      <c r="G320" s="467"/>
      <c r="H320" s="467"/>
      <c r="I320" s="467"/>
      <c r="J320" s="467"/>
      <c r="K320" s="1670">
        <f t="shared" ref="K320:K327" si="24">SUM(C320:J320)</f>
        <v>0</v>
      </c>
      <c r="L320" s="467">
        <v>0</v>
      </c>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v>0</v>
      </c>
      <c r="M321" s="665"/>
      <c r="N321" s="665"/>
    </row>
    <row r="322" spans="1:14" s="674" customFormat="1" x14ac:dyDescent="0.2">
      <c r="A322" s="1518" t="s">
        <v>238</v>
      </c>
      <c r="B322" s="697" t="s">
        <v>284</v>
      </c>
      <c r="C322" s="467"/>
      <c r="D322" s="467"/>
      <c r="E322" s="467">
        <v>95969</v>
      </c>
      <c r="F322" s="467"/>
      <c r="G322" s="467"/>
      <c r="H322" s="467"/>
      <c r="I322" s="467"/>
      <c r="J322" s="467"/>
      <c r="K322" s="1670">
        <f t="shared" si="24"/>
        <v>95969</v>
      </c>
      <c r="L322" s="467">
        <v>95969</v>
      </c>
      <c r="M322" s="665"/>
      <c r="N322" s="665"/>
    </row>
    <row r="323" spans="1:14" s="674" customFormat="1" x14ac:dyDescent="0.2">
      <c r="A323" s="1518" t="s">
        <v>702</v>
      </c>
      <c r="B323" s="697" t="s">
        <v>285</v>
      </c>
      <c r="C323" s="467">
        <v>117852</v>
      </c>
      <c r="D323" s="467">
        <v>10079</v>
      </c>
      <c r="E323" s="467">
        <v>61098</v>
      </c>
      <c r="F323" s="467"/>
      <c r="G323" s="467"/>
      <c r="H323" s="467"/>
      <c r="I323" s="467"/>
      <c r="J323" s="467"/>
      <c r="K323" s="1670">
        <f t="shared" si="24"/>
        <v>189029</v>
      </c>
      <c r="L323" s="467">
        <v>183598</v>
      </c>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v>0</v>
      </c>
      <c r="M324" s="665"/>
      <c r="N324" s="665"/>
    </row>
    <row r="325" spans="1:14" s="674" customFormat="1" ht="22.5" x14ac:dyDescent="0.2">
      <c r="A325" s="1518" t="s">
        <v>1029</v>
      </c>
      <c r="B325" s="698" t="s">
        <v>287</v>
      </c>
      <c r="C325" s="467"/>
      <c r="D325" s="467"/>
      <c r="E325" s="467">
        <v>8365</v>
      </c>
      <c r="F325" s="467"/>
      <c r="G325" s="467"/>
      <c r="H325" s="467"/>
      <c r="I325" s="467"/>
      <c r="J325" s="467"/>
      <c r="K325" s="1670">
        <f t="shared" si="24"/>
        <v>8365</v>
      </c>
      <c r="L325" s="467">
        <v>12158</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v>0</v>
      </c>
      <c r="M326" s="665"/>
      <c r="N326" s="665"/>
    </row>
    <row r="327" spans="1:14" s="674" customFormat="1" x14ac:dyDescent="0.2">
      <c r="A327" s="1518" t="s">
        <v>971</v>
      </c>
      <c r="B327" s="697" t="s">
        <v>289</v>
      </c>
      <c r="C327" s="467"/>
      <c r="D327" s="467"/>
      <c r="E327" s="467">
        <v>11016</v>
      </c>
      <c r="F327" s="467"/>
      <c r="G327" s="467"/>
      <c r="H327" s="467"/>
      <c r="I327" s="467"/>
      <c r="J327" s="467"/>
      <c r="K327" s="1670">
        <f t="shared" si="24"/>
        <v>11016</v>
      </c>
      <c r="L327" s="467">
        <v>14000</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v>0</v>
      </c>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717</v>
      </c>
      <c r="B330" s="1668" t="s">
        <v>569</v>
      </c>
      <c r="C330" s="1669">
        <f>SUM(C319:C329)</f>
        <v>117852</v>
      </c>
      <c r="D330" s="1669">
        <f t="shared" ref="D330:J330" si="25">SUM(D319:D329)</f>
        <v>10079</v>
      </c>
      <c r="E330" s="1669">
        <f t="shared" si="25"/>
        <v>176448</v>
      </c>
      <c r="F330" s="1669">
        <f t="shared" si="25"/>
        <v>0</v>
      </c>
      <c r="G330" s="1669">
        <f t="shared" si="25"/>
        <v>0</v>
      </c>
      <c r="H330" s="1669">
        <f t="shared" si="25"/>
        <v>0</v>
      </c>
      <c r="I330" s="1669">
        <f t="shared" si="25"/>
        <v>0</v>
      </c>
      <c r="J330" s="1669">
        <f t="shared" si="25"/>
        <v>0</v>
      </c>
      <c r="K330" s="1669">
        <f>SUM(K319:K329)</f>
        <v>304379</v>
      </c>
      <c r="L330" s="1669">
        <f>SUM(L319:L329)</f>
        <v>305725</v>
      </c>
      <c r="M330" s="665"/>
      <c r="N330" s="665"/>
    </row>
    <row r="331" spans="1:14" s="674" customFormat="1" ht="12.75" customHeight="1" thickTop="1" x14ac:dyDescent="0.2">
      <c r="A331" s="1830" t="s">
        <v>1848</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1842</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304</v>
      </c>
      <c r="B333" s="1826" t="s">
        <v>1844</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1849</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v>0</v>
      </c>
    </row>
    <row r="338" spans="1:14" ht="12.75" customHeight="1" x14ac:dyDescent="0.2">
      <c r="A338" s="1517" t="s">
        <v>1170</v>
      </c>
      <c r="B338" s="690" t="s">
        <v>617</v>
      </c>
      <c r="C338" s="638"/>
      <c r="D338" s="638"/>
      <c r="E338" s="638"/>
      <c r="F338" s="638"/>
      <c r="G338" s="638"/>
      <c r="H338" s="478"/>
      <c r="I338" s="638"/>
      <c r="J338" s="638"/>
      <c r="K338" s="1670">
        <f>H338</f>
        <v>0</v>
      </c>
      <c r="L338" s="478">
        <v>0</v>
      </c>
    </row>
    <row r="339" spans="1:14" x14ac:dyDescent="0.2">
      <c r="A339" s="1503" t="s">
        <v>901</v>
      </c>
      <c r="B339" s="628">
        <v>5150</v>
      </c>
      <c r="C339" s="638"/>
      <c r="D339" s="638"/>
      <c r="E339" s="638"/>
      <c r="F339" s="638"/>
      <c r="G339" s="638"/>
      <c r="H339" s="467"/>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117852</v>
      </c>
      <c r="D342" s="1669">
        <f>SUM(D330)</f>
        <v>10079</v>
      </c>
      <c r="E342" s="1669">
        <f>SUM(E330)</f>
        <v>176448</v>
      </c>
      <c r="F342" s="1669">
        <f>SUM(F330)</f>
        <v>0</v>
      </c>
      <c r="G342" s="1669">
        <f>SUM(G330)</f>
        <v>0</v>
      </c>
      <c r="H342" s="1669">
        <f>SUM(H330,H334,H340)</f>
        <v>0</v>
      </c>
      <c r="I342" s="1669">
        <f>SUM(I330)</f>
        <v>0</v>
      </c>
      <c r="J342" s="1669">
        <f>SUM(J330)</f>
        <v>0</v>
      </c>
      <c r="K342" s="1669">
        <f>SUM(K330,K334,K340)</f>
        <v>304379</v>
      </c>
      <c r="L342" s="1676">
        <f>SUM(L330,L340,L341)</f>
        <v>305725</v>
      </c>
    </row>
    <row r="343" spans="1:14" ht="12.75" customHeight="1" thickTop="1" x14ac:dyDescent="0.2">
      <c r="A343" s="2167" t="s">
        <v>996</v>
      </c>
      <c r="B343" s="2168"/>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v>0</v>
      </c>
    </row>
    <row r="349" spans="1:14" x14ac:dyDescent="0.2">
      <c r="A349" s="1503" t="s">
        <v>197</v>
      </c>
      <c r="B349" s="614">
        <v>2540</v>
      </c>
      <c r="C349" s="466"/>
      <c r="D349" s="466"/>
      <c r="E349" s="466"/>
      <c r="F349" s="466"/>
      <c r="G349" s="466"/>
      <c r="H349" s="466"/>
      <c r="I349" s="467"/>
      <c r="J349" s="467"/>
      <c r="K349" s="1670">
        <f>SUM(C349:J349)</f>
        <v>0</v>
      </c>
      <c r="L349" s="466">
        <v>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c r="D351" s="481"/>
      <c r="E351" s="481"/>
      <c r="F351" s="481"/>
      <c r="G351" s="481"/>
      <c r="H351" s="481"/>
      <c r="I351" s="478"/>
      <c r="J351" s="478"/>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1850</v>
      </c>
      <c r="B354" s="683" t="s">
        <v>1842</v>
      </c>
      <c r="C354" s="616"/>
      <c r="D354" s="616"/>
      <c r="E354" s="616"/>
      <c r="F354" s="616"/>
      <c r="G354" s="616"/>
      <c r="H354" s="474"/>
      <c r="I354" s="701"/>
      <c r="J354" s="616"/>
      <c r="K354" s="1698">
        <f>H354</f>
        <v>0</v>
      </c>
      <c r="L354" s="471">
        <v>0</v>
      </c>
    </row>
    <row r="355" spans="1:14" ht="12.75" customHeight="1" x14ac:dyDescent="0.2">
      <c r="A355" s="1512" t="s">
        <v>1851</v>
      </c>
      <c r="B355" s="690" t="s">
        <v>1844</v>
      </c>
      <c r="C355" s="616"/>
      <c r="D355" s="616"/>
      <c r="E355" s="616"/>
      <c r="F355" s="616"/>
      <c r="G355" s="616"/>
      <c r="H355" s="467"/>
      <c r="I355" s="701"/>
      <c r="J355" s="616"/>
      <c r="K355" s="1742">
        <f>H355</f>
        <v>0</v>
      </c>
      <c r="L355" s="467">
        <v>0</v>
      </c>
    </row>
    <row r="356" spans="1:14" ht="12.75" customHeight="1" x14ac:dyDescent="0.2">
      <c r="A356" s="1833" t="s">
        <v>698</v>
      </c>
      <c r="B356" s="683" t="s">
        <v>558</v>
      </c>
      <c r="C356" s="616"/>
      <c r="D356" s="616"/>
      <c r="E356" s="616"/>
      <c r="F356" s="616"/>
      <c r="G356" s="616"/>
      <c r="H356" s="479"/>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v>0</v>
      </c>
    </row>
    <row r="361" spans="1:14" ht="12.75" customHeight="1" x14ac:dyDescent="0.2">
      <c r="A361" s="1504" t="s">
        <v>619</v>
      </c>
      <c r="B361" s="602" t="s">
        <v>618</v>
      </c>
      <c r="C361" s="616"/>
      <c r="D361" s="616"/>
      <c r="E361" s="616"/>
      <c r="F361" s="616"/>
      <c r="G361" s="616"/>
      <c r="H361" s="467"/>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4" t="s">
        <v>996</v>
      </c>
      <c r="B368" s="2155"/>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86" bottom="0.6" header="0.5"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accompanying notes are an integral part of these financial statements.
Print Date: &amp;D
&amp;F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1" t="s">
        <v>1799</v>
      </c>
      <c r="B2" s="1527" t="s">
        <v>1948</v>
      </c>
      <c r="C2" s="714" t="s">
        <v>1949</v>
      </c>
      <c r="D2" s="714" t="s">
        <v>1950</v>
      </c>
      <c r="E2" s="714" t="s">
        <v>1951</v>
      </c>
      <c r="F2" s="714" t="s">
        <v>1952</v>
      </c>
    </row>
    <row r="3" spans="1:6" ht="12" customHeight="1" x14ac:dyDescent="0.2">
      <c r="A3" s="2182"/>
      <c r="B3" s="1524"/>
      <c r="C3" s="1525"/>
      <c r="D3" s="1526" t="s">
        <v>256</v>
      </c>
      <c r="E3" s="1525"/>
      <c r="F3" s="1526" t="s">
        <v>257</v>
      </c>
    </row>
    <row r="4" spans="1:6" ht="13.7" customHeight="1" x14ac:dyDescent="0.2">
      <c r="A4" s="715" t="s">
        <v>1155</v>
      </c>
      <c r="B4" s="1748">
        <f>'Revenues 9-14'!C5</f>
        <v>3826859</v>
      </c>
      <c r="C4" s="1523"/>
      <c r="D4" s="1751">
        <f>B4-C4</f>
        <v>3826859</v>
      </c>
      <c r="E4" s="1523">
        <v>3899989</v>
      </c>
      <c r="F4" s="1751">
        <f>E4-C4</f>
        <v>3899989</v>
      </c>
    </row>
    <row r="5" spans="1:6" ht="13.7" customHeight="1" x14ac:dyDescent="0.2">
      <c r="A5" s="715" t="s">
        <v>870</v>
      </c>
      <c r="B5" s="1749">
        <f>'Revenues 9-14'!D5</f>
        <v>798846</v>
      </c>
      <c r="C5" s="585"/>
      <c r="D5" s="1752">
        <f t="shared" ref="D5:D18" si="0">B5-C5</f>
        <v>798846</v>
      </c>
      <c r="E5" s="585">
        <v>922861</v>
      </c>
      <c r="F5" s="1752">
        <f>E5-C5</f>
        <v>922861</v>
      </c>
    </row>
    <row r="6" spans="1:6" ht="13.7" customHeight="1" x14ac:dyDescent="0.2">
      <c r="A6" s="715" t="s">
        <v>411</v>
      </c>
      <c r="B6" s="1749">
        <f>'Revenues 9-14'!E5</f>
        <v>424163</v>
      </c>
      <c r="C6" s="585"/>
      <c r="D6" s="1752">
        <f t="shared" si="0"/>
        <v>424163</v>
      </c>
      <c r="E6" s="585">
        <v>423649</v>
      </c>
      <c r="F6" s="1752">
        <f t="shared" ref="F6:F18" si="1">E6-C6</f>
        <v>423649</v>
      </c>
    </row>
    <row r="7" spans="1:6" ht="13.7" customHeight="1" x14ac:dyDescent="0.2">
      <c r="A7" s="715" t="s">
        <v>155</v>
      </c>
      <c r="B7" s="1749">
        <f>'Revenues 9-14'!F5</f>
        <v>595214</v>
      </c>
      <c r="C7" s="585"/>
      <c r="D7" s="1752">
        <f t="shared" si="0"/>
        <v>595214</v>
      </c>
      <c r="E7" s="585">
        <v>607279</v>
      </c>
      <c r="F7" s="1752">
        <f t="shared" si="1"/>
        <v>607279</v>
      </c>
    </row>
    <row r="8" spans="1:6" ht="13.7" customHeight="1" x14ac:dyDescent="0.2">
      <c r="A8" s="715" t="s">
        <v>1179</v>
      </c>
      <c r="B8" s="1749">
        <f>'Revenues 9-14'!G5</f>
        <v>254777</v>
      </c>
      <c r="C8" s="585"/>
      <c r="D8" s="1752">
        <f t="shared" si="0"/>
        <v>254777</v>
      </c>
      <c r="E8" s="585">
        <v>232735</v>
      </c>
      <c r="F8" s="1752">
        <f t="shared" si="1"/>
        <v>232735</v>
      </c>
    </row>
    <row r="9" spans="1:6" ht="13.7" customHeight="1" x14ac:dyDescent="0.2">
      <c r="A9" s="715" t="s">
        <v>408</v>
      </c>
      <c r="B9" s="1749">
        <f>'Revenues 9-14'!H5</f>
        <v>0</v>
      </c>
      <c r="C9" s="585"/>
      <c r="D9" s="1752">
        <f t="shared" si="0"/>
        <v>0</v>
      </c>
      <c r="E9" s="585">
        <v>0</v>
      </c>
      <c r="F9" s="1752">
        <f t="shared" si="1"/>
        <v>0</v>
      </c>
    </row>
    <row r="10" spans="1:6" ht="13.7" customHeight="1" x14ac:dyDescent="0.2">
      <c r="A10" s="715" t="s">
        <v>407</v>
      </c>
      <c r="B10" s="1749">
        <f>'Revenues 9-14'!I5</f>
        <v>0</v>
      </c>
      <c r="C10" s="585"/>
      <c r="D10" s="1752">
        <f t="shared" si="0"/>
        <v>0</v>
      </c>
      <c r="E10" s="585">
        <v>0</v>
      </c>
      <c r="F10" s="1752">
        <f t="shared" si="1"/>
        <v>0</v>
      </c>
    </row>
    <row r="11" spans="1:6" x14ac:dyDescent="0.2">
      <c r="A11" s="715" t="s">
        <v>409</v>
      </c>
      <c r="B11" s="1749">
        <f>'Revenues 9-14'!J5</f>
        <v>303238</v>
      </c>
      <c r="C11" s="585"/>
      <c r="D11" s="1752">
        <f t="shared" si="0"/>
        <v>303238</v>
      </c>
      <c r="E11" s="585">
        <v>309382</v>
      </c>
      <c r="F11" s="1752">
        <f t="shared" si="1"/>
        <v>309382</v>
      </c>
    </row>
    <row r="12" spans="1:6" ht="13.7" customHeight="1" x14ac:dyDescent="0.2">
      <c r="A12" s="715" t="s">
        <v>157</v>
      </c>
      <c r="B12" s="1749">
        <f>'Revenues 9-14'!K5</f>
        <v>0</v>
      </c>
      <c r="C12" s="585"/>
      <c r="D12" s="1752">
        <f t="shared" si="0"/>
        <v>0</v>
      </c>
      <c r="E12" s="585">
        <v>0</v>
      </c>
      <c r="F12" s="1752">
        <f t="shared" si="1"/>
        <v>0</v>
      </c>
    </row>
    <row r="13" spans="1:6" ht="13.7" customHeight="1" x14ac:dyDescent="0.2">
      <c r="A13" s="715" t="s">
        <v>936</v>
      </c>
      <c r="B13" s="1749">
        <f>SUM('Revenues 9-14'!C6:D6)</f>
        <v>0</v>
      </c>
      <c r="C13" s="585"/>
      <c r="D13" s="1752">
        <f t="shared" si="0"/>
        <v>0</v>
      </c>
      <c r="E13" s="585">
        <v>0</v>
      </c>
      <c r="F13" s="1752">
        <f t="shared" si="1"/>
        <v>0</v>
      </c>
    </row>
    <row r="14" spans="1:6" ht="13.7" customHeight="1" x14ac:dyDescent="0.2">
      <c r="A14" s="715" t="s">
        <v>410</v>
      </c>
      <c r="B14" s="1749">
        <f>SUM('Revenues 9-14'!C7:D7,'Revenues 9-14'!F7:H7)</f>
        <v>0</v>
      </c>
      <c r="C14" s="585"/>
      <c r="D14" s="1752">
        <f t="shared" si="0"/>
        <v>0</v>
      </c>
      <c r="E14" s="585">
        <v>0</v>
      </c>
      <c r="F14" s="1752">
        <f t="shared" si="1"/>
        <v>0</v>
      </c>
    </row>
    <row r="15" spans="1:6" ht="13.7" customHeight="1" x14ac:dyDescent="0.2">
      <c r="A15" s="715" t="s">
        <v>1158</v>
      </c>
      <c r="B15" s="1749">
        <f>SUM('Revenues 9-14'!D9:E9,'Revenues 9-14'!H9)</f>
        <v>0</v>
      </c>
      <c r="C15" s="585"/>
      <c r="D15" s="1752">
        <f t="shared" si="0"/>
        <v>0</v>
      </c>
      <c r="E15" s="585">
        <v>0</v>
      </c>
      <c r="F15" s="1752">
        <f t="shared" si="1"/>
        <v>0</v>
      </c>
    </row>
    <row r="16" spans="1:6" ht="13.7" customHeight="1" x14ac:dyDescent="0.2">
      <c r="A16" s="715" t="s">
        <v>1159</v>
      </c>
      <c r="B16" s="1749">
        <f>'Revenues 9-14'!G8</f>
        <v>254777</v>
      </c>
      <c r="C16" s="585"/>
      <c r="D16" s="1752">
        <f t="shared" si="0"/>
        <v>254777</v>
      </c>
      <c r="E16" s="585">
        <v>287125</v>
      </c>
      <c r="F16" s="1752">
        <f t="shared" si="1"/>
        <v>287125</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6457874</v>
      </c>
      <c r="C19" s="1750">
        <f>SUM(C4:C18)</f>
        <v>0</v>
      </c>
      <c r="D19" s="1750">
        <f>SUM(D4:D18)</f>
        <v>6457874</v>
      </c>
      <c r="E19" s="1750">
        <f>SUM(E4:E18)</f>
        <v>6683020</v>
      </c>
      <c r="F19" s="1750">
        <f>SUM(F4:F18)</f>
        <v>6683020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L29" sqref="L2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1799</v>
      </c>
      <c r="B2" s="2209"/>
      <c r="C2" s="1881" t="s">
        <v>1953</v>
      </c>
      <c r="D2" s="723" t="s">
        <v>1954</v>
      </c>
      <c r="E2" s="723" t="s">
        <v>1955</v>
      </c>
      <c r="F2" s="1881" t="s">
        <v>1956</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4">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4" t="s">
        <v>631</v>
      </c>
      <c r="B15" s="2195"/>
      <c r="C15" s="1754">
        <f>SUM(C6:C14)</f>
        <v>0</v>
      </c>
      <c r="D15" s="1754">
        <f>SUM(D6:D14)</f>
        <v>0</v>
      </c>
      <c r="E15" s="1754">
        <f>SUM(E6:E14)</f>
        <v>0</v>
      </c>
      <c r="F15" s="1754">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4">
        <f>SUM(C17+D17)-E17</f>
        <v>0</v>
      </c>
    </row>
    <row r="18" spans="1:11" ht="12.75" customHeight="1" thickTop="1" thickBot="1" x14ac:dyDescent="0.25">
      <c r="A18" s="2189" t="s">
        <v>6</v>
      </c>
      <c r="B18" s="2190"/>
      <c r="C18" s="726"/>
      <c r="D18" s="585"/>
      <c r="E18" s="726"/>
      <c r="F18" s="1754">
        <f>SUM(C18+D18)-E18</f>
        <v>0</v>
      </c>
    </row>
    <row r="19" spans="1:11" ht="12.75" customHeight="1" thickTop="1" thickBot="1" x14ac:dyDescent="0.25">
      <c r="A19" s="2189" t="s">
        <v>388</v>
      </c>
      <c r="B19" s="2190"/>
      <c r="C19" s="726"/>
      <c r="D19" s="585"/>
      <c r="E19" s="726"/>
      <c r="F19" s="1754">
        <f>SUM(C19+D19)-E19</f>
        <v>0</v>
      </c>
    </row>
    <row r="20" spans="1:11" ht="12.75" customHeight="1" thickTop="1" thickBot="1" x14ac:dyDescent="0.25">
      <c r="A20" s="2189" t="s">
        <v>448</v>
      </c>
      <c r="B20" s="2190"/>
      <c r="C20" s="726"/>
      <c r="D20" s="585"/>
      <c r="E20" s="726"/>
      <c r="F20" s="1754">
        <f>SUM(C20+D20)-E20</f>
        <v>0</v>
      </c>
    </row>
    <row r="21" spans="1:11" ht="14.25" thickTop="1" thickBot="1" x14ac:dyDescent="0.25">
      <c r="A21" s="2194" t="s">
        <v>632</v>
      </c>
      <c r="B21" s="2195"/>
      <c r="C21" s="1754">
        <f>SUM(C17:C20)</f>
        <v>0</v>
      </c>
      <c r="D21" s="1754">
        <f>SUM(D17:D20)</f>
        <v>0</v>
      </c>
      <c r="E21" s="1754">
        <f>SUM(E17:E20)</f>
        <v>0</v>
      </c>
      <c r="F21" s="1754">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4">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4">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4">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8" t="s">
        <v>1071</v>
      </c>
      <c r="B30" s="730" t="s">
        <v>1124</v>
      </c>
      <c r="C30" s="1882" t="s">
        <v>583</v>
      </c>
      <c r="D30" s="1882" t="s">
        <v>1673</v>
      </c>
      <c r="E30" s="1882" t="s">
        <v>1957</v>
      </c>
      <c r="F30" s="1882" t="s">
        <v>1958</v>
      </c>
      <c r="G30" s="1882" t="s">
        <v>1908</v>
      </c>
      <c r="H30" s="1882" t="s">
        <v>1959</v>
      </c>
      <c r="I30" s="1882" t="s">
        <v>1960</v>
      </c>
      <c r="J30" s="1883" t="s">
        <v>2</v>
      </c>
      <c r="K30" s="731"/>
    </row>
    <row r="31" spans="1:11" ht="12" customHeight="1" x14ac:dyDescent="0.2">
      <c r="A31" s="732" t="s">
        <v>2082</v>
      </c>
      <c r="B31" s="733">
        <v>40709</v>
      </c>
      <c r="C31" s="734">
        <v>850000</v>
      </c>
      <c r="D31" s="735">
        <v>3</v>
      </c>
      <c r="E31" s="734">
        <v>655000</v>
      </c>
      <c r="F31" s="734"/>
      <c r="G31" s="734"/>
      <c r="H31" s="734">
        <v>35000</v>
      </c>
      <c r="I31" s="1755">
        <f>((E31+F31)-H31)+G31</f>
        <v>620000</v>
      </c>
      <c r="J31" s="734">
        <v>620000</v>
      </c>
      <c r="K31" s="736"/>
    </row>
    <row r="32" spans="1:11" ht="12" customHeight="1" x14ac:dyDescent="0.2">
      <c r="A32" s="732" t="s">
        <v>2083</v>
      </c>
      <c r="B32" s="733">
        <v>41338</v>
      </c>
      <c r="C32" s="734">
        <v>3800000</v>
      </c>
      <c r="D32" s="735">
        <v>6</v>
      </c>
      <c r="E32" s="734">
        <v>3260000</v>
      </c>
      <c r="F32" s="734"/>
      <c r="G32" s="734"/>
      <c r="H32" s="734">
        <v>140000</v>
      </c>
      <c r="I32" s="1755">
        <f>((E32+F32)-H32)+G32</f>
        <v>3120000</v>
      </c>
      <c r="J32" s="734">
        <v>3120000</v>
      </c>
      <c r="K32" s="736"/>
    </row>
    <row r="33" spans="1:11" ht="12" customHeight="1" x14ac:dyDescent="0.2">
      <c r="A33" s="732" t="s">
        <v>2251</v>
      </c>
      <c r="B33" s="733">
        <v>41466</v>
      </c>
      <c r="C33" s="734">
        <v>2785000</v>
      </c>
      <c r="D33" s="735">
        <v>3</v>
      </c>
      <c r="E33" s="734">
        <v>1780000</v>
      </c>
      <c r="F33" s="734"/>
      <c r="G33" s="734"/>
      <c r="H33" s="734">
        <v>270000</v>
      </c>
      <c r="I33" s="1755">
        <f t="shared" ref="I33:I48" si="1">((E33+F33)-H33)+G33</f>
        <v>1510000</v>
      </c>
      <c r="J33" s="734">
        <v>1510000</v>
      </c>
      <c r="K33" s="736"/>
    </row>
    <row r="34" spans="1:11" ht="12" customHeight="1" x14ac:dyDescent="0.2">
      <c r="A34" s="732" t="s">
        <v>2084</v>
      </c>
      <c r="B34" s="733">
        <v>42264</v>
      </c>
      <c r="C34" s="734">
        <v>20010000</v>
      </c>
      <c r="D34" s="735">
        <v>3</v>
      </c>
      <c r="E34" s="734">
        <v>20010000</v>
      </c>
      <c r="F34" s="734"/>
      <c r="G34" s="734"/>
      <c r="H34" s="734"/>
      <c r="I34" s="1755">
        <f t="shared" si="1"/>
        <v>20010000</v>
      </c>
      <c r="J34" s="734">
        <v>20010000</v>
      </c>
      <c r="K34" s="737"/>
    </row>
    <row r="35" spans="1:11" ht="12" customHeight="1" x14ac:dyDescent="0.2">
      <c r="A35" s="732" t="s">
        <v>2085</v>
      </c>
      <c r="B35" s="733">
        <v>42663</v>
      </c>
      <c r="C35" s="738">
        <v>2485000</v>
      </c>
      <c r="D35" s="735">
        <v>1</v>
      </c>
      <c r="E35" s="738">
        <v>2485000</v>
      </c>
      <c r="F35" s="738"/>
      <c r="G35" s="738"/>
      <c r="H35" s="738"/>
      <c r="I35" s="1755">
        <f t="shared" si="1"/>
        <v>2485000</v>
      </c>
      <c r="J35" s="738">
        <v>2485000</v>
      </c>
      <c r="K35" s="737"/>
    </row>
    <row r="36" spans="1:11" ht="12" customHeight="1" x14ac:dyDescent="0.2">
      <c r="A36" s="732" t="s">
        <v>2252</v>
      </c>
      <c r="B36" s="733">
        <v>42046</v>
      </c>
      <c r="C36" s="734">
        <v>160167</v>
      </c>
      <c r="D36" s="735">
        <v>7</v>
      </c>
      <c r="E36" s="734">
        <v>65782</v>
      </c>
      <c r="F36" s="734"/>
      <c r="G36" s="734"/>
      <c r="H36" s="734">
        <v>34760</v>
      </c>
      <c r="I36" s="1755">
        <f t="shared" si="1"/>
        <v>31022</v>
      </c>
      <c r="J36" s="734">
        <v>28671</v>
      </c>
      <c r="K36" s="739"/>
    </row>
    <row r="37" spans="1:11" ht="12" customHeight="1" x14ac:dyDescent="0.2">
      <c r="A37" s="732" t="s">
        <v>2253</v>
      </c>
      <c r="B37" s="733">
        <v>42083</v>
      </c>
      <c r="C37" s="467">
        <v>26221</v>
      </c>
      <c r="D37" s="740">
        <v>7</v>
      </c>
      <c r="E37" s="467">
        <v>11238</v>
      </c>
      <c r="F37" s="467"/>
      <c r="G37" s="467"/>
      <c r="H37" s="467">
        <v>6030</v>
      </c>
      <c r="I37" s="1755">
        <f t="shared" si="1"/>
        <v>5208</v>
      </c>
      <c r="J37" s="467">
        <v>5208</v>
      </c>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30116388</v>
      </c>
      <c r="D49" s="745"/>
      <c r="E49" s="1755">
        <f t="shared" ref="E49:J49" si="2">SUM(E31:E48)</f>
        <v>28267020</v>
      </c>
      <c r="F49" s="1755">
        <f t="shared" si="2"/>
        <v>0</v>
      </c>
      <c r="G49" s="1755">
        <f t="shared" si="2"/>
        <v>0</v>
      </c>
      <c r="H49" s="1755">
        <f t="shared" si="2"/>
        <v>485790</v>
      </c>
      <c r="I49" s="1755">
        <f t="shared" si="2"/>
        <v>27781230</v>
      </c>
      <c r="J49" s="1755">
        <f t="shared" si="2"/>
        <v>27778879</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2086</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29"/>
      <c r="I1" s="760"/>
      <c r="J1" s="433"/>
    </row>
    <row r="2" spans="1:11" ht="26.25" x14ac:dyDescent="0.2">
      <c r="A2" s="2231" t="s">
        <v>1677</v>
      </c>
      <c r="B2" s="2232"/>
      <c r="C2" s="2232"/>
      <c r="D2" s="2232"/>
      <c r="E2" s="2233"/>
      <c r="F2" s="761" t="s">
        <v>904</v>
      </c>
      <c r="G2" s="762" t="s">
        <v>1674</v>
      </c>
      <c r="H2" s="762" t="s">
        <v>410</v>
      </c>
      <c r="I2" s="762" t="s">
        <v>1158</v>
      </c>
      <c r="J2" s="762" t="s">
        <v>1809</v>
      </c>
      <c r="K2" s="762" t="s">
        <v>138</v>
      </c>
    </row>
    <row r="3" spans="1:11" x14ac:dyDescent="0.2">
      <c r="A3" s="2234" t="s">
        <v>1961</v>
      </c>
      <c r="B3" s="2235"/>
      <c r="C3" s="2235"/>
      <c r="D3" s="2235"/>
      <c r="E3" s="2236"/>
      <c r="F3" s="763"/>
      <c r="G3" s="764"/>
      <c r="H3" s="764"/>
      <c r="I3" s="764"/>
      <c r="J3" s="765">
        <v>1592829</v>
      </c>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c r="I5" s="772"/>
      <c r="J5" s="773"/>
      <c r="K5" s="773"/>
    </row>
    <row r="6" spans="1:11" x14ac:dyDescent="0.2">
      <c r="A6" s="774" t="s">
        <v>720</v>
      </c>
      <c r="B6" s="775"/>
      <c r="C6" s="775"/>
      <c r="D6" s="775"/>
      <c r="E6" s="776"/>
      <c r="F6" s="777" t="s">
        <v>849</v>
      </c>
      <c r="G6" s="764"/>
      <c r="H6" s="764"/>
      <c r="I6" s="764"/>
      <c r="J6" s="765">
        <v>10214</v>
      </c>
      <c r="K6" s="765"/>
    </row>
    <row r="7" spans="1:11" x14ac:dyDescent="0.2">
      <c r="A7" s="778" t="s">
        <v>246</v>
      </c>
      <c r="B7" s="779"/>
      <c r="C7" s="779"/>
      <c r="D7" s="779"/>
      <c r="E7" s="780"/>
      <c r="F7" s="770" t="s">
        <v>850</v>
      </c>
      <c r="G7" s="767"/>
      <c r="H7" s="767"/>
      <c r="I7" s="767"/>
      <c r="J7" s="781"/>
      <c r="K7" s="765">
        <v>29621</v>
      </c>
    </row>
    <row r="8" spans="1:11" x14ac:dyDescent="0.2">
      <c r="A8" s="778" t="s">
        <v>345</v>
      </c>
      <c r="B8" s="779"/>
      <c r="C8" s="779"/>
      <c r="D8" s="779"/>
      <c r="E8" s="780"/>
      <c r="F8" s="770" t="s">
        <v>851</v>
      </c>
      <c r="G8" s="782"/>
      <c r="H8" s="782"/>
      <c r="I8" s="782"/>
      <c r="J8" s="765">
        <v>620043</v>
      </c>
      <c r="K8" s="769"/>
    </row>
    <row r="9" spans="1:11" x14ac:dyDescent="0.2">
      <c r="A9" s="778" t="s">
        <v>138</v>
      </c>
      <c r="B9" s="779"/>
      <c r="C9" s="779"/>
      <c r="D9" s="779"/>
      <c r="E9" s="780"/>
      <c r="F9" s="777" t="s">
        <v>853</v>
      </c>
      <c r="G9" s="782"/>
      <c r="H9" s="771"/>
      <c r="I9" s="771"/>
      <c r="J9" s="781"/>
      <c r="K9" s="765">
        <v>41966</v>
      </c>
    </row>
    <row r="10" spans="1:11" x14ac:dyDescent="0.2">
      <c r="A10" s="2215" t="s">
        <v>1810</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6"/>
      <c r="G12" s="1757">
        <f>SUM(G5:G11)</f>
        <v>0</v>
      </c>
      <c r="H12" s="1757">
        <f>SUM(H5:H11)</f>
        <v>0</v>
      </c>
      <c r="I12" s="1757">
        <f>SUM(I5:I11)</f>
        <v>0</v>
      </c>
      <c r="J12" s="1757">
        <f>SUM(J5:J11)</f>
        <v>630257</v>
      </c>
      <c r="K12" s="1757">
        <f>SUM(K5:K11)</f>
        <v>71587</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c r="I14" s="771"/>
      <c r="J14" s="773"/>
      <c r="K14" s="765">
        <v>71587</v>
      </c>
    </row>
    <row r="15" spans="1:11" x14ac:dyDescent="0.2">
      <c r="A15" s="2216" t="s">
        <v>4</v>
      </c>
      <c r="B15" s="2216"/>
      <c r="C15" s="2216"/>
      <c r="D15" s="2216"/>
      <c r="E15" s="2217"/>
      <c r="F15" s="789" t="s">
        <v>855</v>
      </c>
      <c r="G15" s="771"/>
      <c r="H15" s="764"/>
      <c r="I15" s="764"/>
      <c r="J15" s="765">
        <v>101613</v>
      </c>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1806</v>
      </c>
      <c r="B19" s="2224"/>
      <c r="C19" s="2224"/>
      <c r="D19" s="2224"/>
      <c r="E19" s="2225"/>
      <c r="F19" s="789" t="s">
        <v>933</v>
      </c>
      <c r="G19" s="782"/>
      <c r="H19" s="782"/>
      <c r="I19" s="782"/>
      <c r="J19" s="765"/>
      <c r="K19" s="795"/>
    </row>
    <row r="20" spans="1:11" x14ac:dyDescent="0.2">
      <c r="A20" s="2226" t="s">
        <v>1811</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8"/>
      <c r="G21" s="792"/>
      <c r="H21" s="796"/>
      <c r="I21" s="796"/>
      <c r="J21" s="1759">
        <f>SUM(J18:J20)</f>
        <v>0</v>
      </c>
      <c r="K21" s="793"/>
    </row>
    <row r="22" spans="1:11" ht="13.5" thickTop="1" x14ac:dyDescent="0.2">
      <c r="A22" s="2216" t="s">
        <v>1812</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0"/>
      <c r="G23" s="1757">
        <f>SUM(G14:G16,G21,G22)</f>
        <v>0</v>
      </c>
      <c r="H23" s="1757">
        <f>SUM(H14:H16,H21,H22)</f>
        <v>0</v>
      </c>
      <c r="I23" s="1757">
        <f>SUM(I14:I16,I21,I22)</f>
        <v>0</v>
      </c>
      <c r="J23" s="1757">
        <f>SUM(J14:J16,J21,J22)</f>
        <v>101613</v>
      </c>
      <c r="K23" s="1757">
        <f>SUM(K14:K16,K21,K22)</f>
        <v>71587</v>
      </c>
    </row>
    <row r="24" spans="1:11" ht="14.25" thickTop="1" thickBot="1" x14ac:dyDescent="0.25">
      <c r="A24" s="2246" t="s">
        <v>1962</v>
      </c>
      <c r="B24" s="2245"/>
      <c r="C24" s="2245"/>
      <c r="D24" s="2245"/>
      <c r="E24" s="2245"/>
      <c r="F24" s="1761"/>
      <c r="G24" s="1762">
        <f>SUM(G3,G12)-G23</f>
        <v>0</v>
      </c>
      <c r="H24" s="1762">
        <f>SUM(H3,H12)-H23</f>
        <v>0</v>
      </c>
      <c r="I24" s="1762">
        <f>SUM(I3,I12)-I23</f>
        <v>0</v>
      </c>
      <c r="J24" s="1762">
        <f>SUM(J3,J12)-J23</f>
        <v>2121473</v>
      </c>
      <c r="K24" s="1762">
        <f>SUM(K3,K12)-K23</f>
        <v>0</v>
      </c>
    </row>
    <row r="25" spans="1:11" ht="13.5" thickTop="1" x14ac:dyDescent="0.2">
      <c r="A25" s="798" t="s">
        <v>420</v>
      </c>
      <c r="B25" s="799"/>
      <c r="C25" s="799"/>
      <c r="D25" s="799"/>
      <c r="E25" s="800"/>
      <c r="F25" s="801">
        <v>714</v>
      </c>
      <c r="G25" s="802"/>
      <c r="H25" s="802"/>
      <c r="I25" s="802"/>
      <c r="J25" s="797">
        <v>2121473</v>
      </c>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7" t="s">
        <v>1907</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1807</v>
      </c>
      <c r="B46" s="408" t="s">
        <v>1675</v>
      </c>
    </row>
    <row r="47" spans="1:11" s="823" customFormat="1" ht="12.75" customHeight="1" x14ac:dyDescent="0.2">
      <c r="A47" s="821"/>
      <c r="B47" s="822" t="s">
        <v>1676</v>
      </c>
      <c r="E47" s="822"/>
      <c r="K47" s="824"/>
    </row>
    <row r="48" spans="1:11" ht="12.75" customHeight="1" x14ac:dyDescent="0.2">
      <c r="A48" s="1531"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2" sqref="L12:L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1906</v>
      </c>
      <c r="B1" s="2252"/>
      <c r="C1" s="2253"/>
      <c r="D1" s="826"/>
      <c r="E1" s="827"/>
      <c r="F1" s="827"/>
      <c r="G1" s="828"/>
      <c r="H1" s="829"/>
      <c r="I1" s="830"/>
      <c r="J1" s="2249"/>
      <c r="K1" s="2250"/>
      <c r="L1" s="2250"/>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1012480</v>
      </c>
      <c r="D5" s="841"/>
      <c r="E5" s="841"/>
      <c r="F5" s="1759">
        <f>(C5+D5)-E5</f>
        <v>1012480</v>
      </c>
      <c r="G5" s="837"/>
      <c r="H5" s="842"/>
      <c r="I5" s="842"/>
      <c r="J5" s="842"/>
      <c r="K5" s="793"/>
      <c r="L5" s="1768">
        <f>F5-K5</f>
        <v>1012480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49256403</v>
      </c>
      <c r="D8" s="844">
        <v>142073</v>
      </c>
      <c r="E8" s="844"/>
      <c r="F8" s="1759">
        <f>(C8+D8)-E8</f>
        <v>49398476</v>
      </c>
      <c r="G8" s="843">
        <v>50</v>
      </c>
      <c r="H8" s="765">
        <v>19997262</v>
      </c>
      <c r="I8" s="765">
        <v>987970</v>
      </c>
      <c r="J8" s="765"/>
      <c r="K8" s="1768">
        <f>(H8+I8)-J8</f>
        <v>20985232</v>
      </c>
      <c r="L8" s="1768">
        <f>F8-K8</f>
        <v>28413244</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6740832</v>
      </c>
      <c r="D10" s="846"/>
      <c r="E10" s="846"/>
      <c r="F10" s="1763">
        <f>(C10+D10)-E10</f>
        <v>6740832</v>
      </c>
      <c r="G10" s="843">
        <v>20</v>
      </c>
      <c r="H10" s="847">
        <v>2292964</v>
      </c>
      <c r="I10" s="847">
        <v>311352</v>
      </c>
      <c r="J10" s="847"/>
      <c r="K10" s="1768">
        <f>(H10+I10)-J10</f>
        <v>2604316</v>
      </c>
      <c r="L10" s="1768">
        <f>F10-K10</f>
        <v>4136516</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2562753</v>
      </c>
      <c r="D12" s="844">
        <v>376606</v>
      </c>
      <c r="E12" s="844">
        <v>560869</v>
      </c>
      <c r="F12" s="1759">
        <f>(C12+D12)-E12</f>
        <v>2378490</v>
      </c>
      <c r="G12" s="843">
        <v>10</v>
      </c>
      <c r="H12" s="765">
        <v>1603591</v>
      </c>
      <c r="I12" s="765">
        <v>237849</v>
      </c>
      <c r="J12" s="765">
        <v>560869</v>
      </c>
      <c r="K12" s="1768">
        <f>(H12+I12)-J12</f>
        <v>1280571</v>
      </c>
      <c r="L12" s="1768">
        <f>F12-K12</f>
        <v>1097919</v>
      </c>
    </row>
    <row r="13" spans="1:14" ht="14.25" thickTop="1" thickBot="1" x14ac:dyDescent="0.25">
      <c r="A13" s="848" t="s">
        <v>1122</v>
      </c>
      <c r="B13" s="840">
        <v>252</v>
      </c>
      <c r="C13" s="844"/>
      <c r="D13" s="844">
        <v>43456</v>
      </c>
      <c r="E13" s="844"/>
      <c r="F13" s="1759">
        <f>(C13+D13)-E13</f>
        <v>43456</v>
      </c>
      <c r="G13" s="843">
        <v>5</v>
      </c>
      <c r="H13" s="765"/>
      <c r="I13" s="765">
        <v>7966.93</v>
      </c>
      <c r="J13" s="765"/>
      <c r="K13" s="1768">
        <f>(H13+I13)-J13</f>
        <v>7966.93</v>
      </c>
      <c r="L13" s="1768">
        <f>F13-K13</f>
        <v>35489.07</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59572468</v>
      </c>
      <c r="D16" s="1759">
        <f>SUM(D3,D5:D6,D8:D10,D12:D15)</f>
        <v>562135</v>
      </c>
      <c r="E16" s="1759">
        <f>SUM(E3,E5:E6,E8:E10,E12:E15)</f>
        <v>560869</v>
      </c>
      <c r="F16" s="1759">
        <f>SUM(F3,F5:F6,F8:F10,F12:F15)</f>
        <v>59573734</v>
      </c>
      <c r="G16" s="843"/>
      <c r="H16" s="1759">
        <f>SUM(H3,H6,H8:H10,H12:H14,)</f>
        <v>23893817</v>
      </c>
      <c r="I16" s="1759">
        <f>SUM(I3,I6,I8:I10,I12:I14,)</f>
        <v>1545137.93</v>
      </c>
      <c r="J16" s="1759">
        <f>SUM(J3,J6,J8:J10,J12:J14,)</f>
        <v>560869</v>
      </c>
      <c r="K16" s="1759">
        <f>(H16+I16)-J16</f>
        <v>24878085.93</v>
      </c>
      <c r="L16" s="1759">
        <f>F16-K16</f>
        <v>34695648.07</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1545137.93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1972</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19174843</v>
      </c>
      <c r="G8" s="865"/>
    </row>
    <row r="9" spans="1:7" x14ac:dyDescent="0.2">
      <c r="A9" s="869" t="s">
        <v>460</v>
      </c>
      <c r="B9" s="870" t="s">
        <v>1874</v>
      </c>
      <c r="C9" s="871"/>
      <c r="D9" s="869" t="s">
        <v>501</v>
      </c>
      <c r="E9" s="868"/>
      <c r="F9" s="1906">
        <f>'Expenditures 15-22'!K151</f>
        <v>825913</v>
      </c>
      <c r="G9" s="872"/>
    </row>
    <row r="10" spans="1:7" x14ac:dyDescent="0.2">
      <c r="A10" s="869" t="s">
        <v>499</v>
      </c>
      <c r="B10" s="870" t="s">
        <v>1875</v>
      </c>
      <c r="C10" s="871"/>
      <c r="D10" s="869" t="s">
        <v>501</v>
      </c>
      <c r="E10" s="868"/>
      <c r="F10" s="1906">
        <f>'Expenditures 15-22'!K174</f>
        <v>1777458</v>
      </c>
      <c r="G10" s="872"/>
    </row>
    <row r="11" spans="1:7" x14ac:dyDescent="0.2">
      <c r="A11" s="869" t="s">
        <v>461</v>
      </c>
      <c r="B11" s="870" t="s">
        <v>1876</v>
      </c>
      <c r="C11" s="871"/>
      <c r="D11" s="869" t="s">
        <v>501</v>
      </c>
      <c r="E11" s="868"/>
      <c r="F11" s="1906">
        <f>'Expenditures 15-22'!K210</f>
        <v>1019627</v>
      </c>
      <c r="G11" s="872"/>
    </row>
    <row r="12" spans="1:7" x14ac:dyDescent="0.2">
      <c r="A12" s="869" t="s">
        <v>462</v>
      </c>
      <c r="B12" s="870" t="s">
        <v>1877</v>
      </c>
      <c r="C12" s="871"/>
      <c r="D12" s="869" t="s">
        <v>501</v>
      </c>
      <c r="E12" s="868"/>
      <c r="F12" s="1906">
        <f>'Expenditures 15-22'!K295</f>
        <v>518285</v>
      </c>
      <c r="G12" s="872"/>
    </row>
    <row r="13" spans="1:7" x14ac:dyDescent="0.2">
      <c r="A13" s="869" t="s">
        <v>106</v>
      </c>
      <c r="B13" s="870" t="s">
        <v>1878</v>
      </c>
      <c r="C13" s="871"/>
      <c r="D13" s="869" t="s">
        <v>501</v>
      </c>
      <c r="E13" s="868"/>
      <c r="F13" s="1906">
        <f>'Expenditures 15-22'!K342</f>
        <v>304379</v>
      </c>
      <c r="G13" s="873"/>
    </row>
    <row r="14" spans="1:7" ht="12" customHeight="1" thickBot="1" x14ac:dyDescent="0.25">
      <c r="A14" s="1769"/>
      <c r="B14" s="1770"/>
      <c r="C14" s="1771"/>
      <c r="D14" s="1772" t="s">
        <v>501</v>
      </c>
      <c r="E14" s="1773" t="s">
        <v>958</v>
      </c>
      <c r="F14" s="1774">
        <f>SUM(F8:F13)</f>
        <v>23620505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1">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1999</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39445</v>
      </c>
      <c r="G52" s="865"/>
    </row>
    <row r="53" spans="1:7" x14ac:dyDescent="0.2">
      <c r="A53" s="869" t="s">
        <v>459</v>
      </c>
      <c r="B53" s="869" t="s">
        <v>1475</v>
      </c>
      <c r="C53" s="889">
        <f>'Expenditures 15-22'!B102</f>
        <v>4000</v>
      </c>
      <c r="D53" s="888" t="str">
        <f>'Expenditures 15-22'!A102</f>
        <v>Total Payments to Other Govt Units</v>
      </c>
      <c r="E53" s="868"/>
      <c r="F53" s="1910">
        <f>'Expenditures 15-22'!K102</f>
        <v>2759355</v>
      </c>
      <c r="G53" s="865"/>
    </row>
    <row r="54" spans="1:7" x14ac:dyDescent="0.2">
      <c r="A54" s="869" t="s">
        <v>459</v>
      </c>
      <c r="B54" s="869" t="s">
        <v>1476</v>
      </c>
      <c r="C54" s="889" t="s">
        <v>982</v>
      </c>
      <c r="D54" s="885" t="s">
        <v>1095</v>
      </c>
      <c r="E54" s="868"/>
      <c r="F54" s="1910">
        <f>'Expenditures 15-22'!G114</f>
        <v>254471</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0">
        <f>'Expenditures 15-22'!K139</f>
        <v>0</v>
      </c>
      <c r="G57" s="865"/>
    </row>
    <row r="58" spans="1:7" x14ac:dyDescent="0.2">
      <c r="A58" s="869" t="s">
        <v>460</v>
      </c>
      <c r="B58" s="869" t="s">
        <v>1880</v>
      </c>
      <c r="C58" s="886" t="s">
        <v>982</v>
      </c>
      <c r="D58" s="885" t="s">
        <v>1095</v>
      </c>
      <c r="E58" s="868"/>
      <c r="F58" s="1912">
        <f>'Expenditures 15-22'!G151</f>
        <v>121804</v>
      </c>
      <c r="G58" s="865"/>
    </row>
    <row r="59" spans="1:7" x14ac:dyDescent="0.2">
      <c r="A59" s="893" t="s">
        <v>460</v>
      </c>
      <c r="B59" s="856" t="s">
        <v>1881</v>
      </c>
      <c r="C59" s="894" t="s">
        <v>982</v>
      </c>
      <c r="D59" s="856" t="s">
        <v>291</v>
      </c>
      <c r="F59" s="1913">
        <f>'Expenditures 15-22'!I151</f>
        <v>0</v>
      </c>
      <c r="G59" s="865"/>
    </row>
    <row r="60" spans="1:7" x14ac:dyDescent="0.2">
      <c r="A60" s="893" t="s">
        <v>499</v>
      </c>
      <c r="B60" s="856" t="s">
        <v>1882</v>
      </c>
      <c r="C60" s="894">
        <v>4000</v>
      </c>
      <c r="D60" s="856" t="s">
        <v>312</v>
      </c>
      <c r="F60" s="1911">
        <f>'Expenditures 15-22'!K160</f>
        <v>0</v>
      </c>
      <c r="G60" s="865"/>
    </row>
    <row r="61" spans="1:7" x14ac:dyDescent="0.2">
      <c r="A61" s="895" t="s">
        <v>499</v>
      </c>
      <c r="B61" s="895" t="s">
        <v>1883</v>
      </c>
      <c r="C61" s="896" t="str">
        <f>'Expenditures 15-22'!B170</f>
        <v>5300</v>
      </c>
      <c r="D61" s="897" t="s">
        <v>311</v>
      </c>
      <c r="E61" s="879"/>
      <c r="F61" s="1910">
        <f>'Expenditures 15-22'!K170</f>
        <v>485790</v>
      </c>
      <c r="G61" s="865"/>
    </row>
    <row r="62" spans="1:7" x14ac:dyDescent="0.2">
      <c r="A62" s="869" t="s">
        <v>461</v>
      </c>
      <c r="B62" s="869" t="s">
        <v>1884</v>
      </c>
      <c r="C62" s="886">
        <f>'Expenditures 15-22'!B185</f>
        <v>3000</v>
      </c>
      <c r="D62" s="876" t="s">
        <v>449</v>
      </c>
      <c r="E62" s="868"/>
      <c r="F62" s="1910">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0">
        <f>'Expenditures 15-22'!K196</f>
        <v>129935</v>
      </c>
      <c r="G63" s="865"/>
    </row>
    <row r="64" spans="1:7" x14ac:dyDescent="0.2">
      <c r="A64" s="895" t="s">
        <v>461</v>
      </c>
      <c r="B64" s="895" t="s">
        <v>1886</v>
      </c>
      <c r="C64" s="896" t="str">
        <f>'Expenditures 15-22'!B206</f>
        <v>5300</v>
      </c>
      <c r="D64" s="892" t="s">
        <v>311</v>
      </c>
      <c r="E64" s="868"/>
      <c r="F64" s="1910">
        <f>'Expenditures 15-22'!K206</f>
        <v>0</v>
      </c>
      <c r="G64" s="865"/>
    </row>
    <row r="65" spans="1:8" x14ac:dyDescent="0.2">
      <c r="A65" s="869" t="s">
        <v>461</v>
      </c>
      <c r="B65" s="869" t="s">
        <v>1887</v>
      </c>
      <c r="C65" s="886" t="s">
        <v>982</v>
      </c>
      <c r="D65" s="885" t="s">
        <v>1095</v>
      </c>
      <c r="E65" s="868"/>
      <c r="F65" s="1910">
        <f>'Expenditures 15-22'!G210</f>
        <v>43456</v>
      </c>
      <c r="G65" s="865"/>
    </row>
    <row r="66" spans="1:8" x14ac:dyDescent="0.2">
      <c r="A66" s="869" t="s">
        <v>461</v>
      </c>
      <c r="B66" s="869" t="s">
        <v>1888</v>
      </c>
      <c r="C66" s="886" t="s">
        <v>982</v>
      </c>
      <c r="D66" s="885" t="s">
        <v>291</v>
      </c>
      <c r="E66" s="868"/>
      <c r="F66" s="1910">
        <f>'Expenditures 15-22'!I210</f>
        <v>0</v>
      </c>
      <c r="G66" s="865"/>
    </row>
    <row r="67" spans="1:8" x14ac:dyDescent="0.2">
      <c r="A67" s="869" t="s">
        <v>462</v>
      </c>
      <c r="B67" s="869" t="s">
        <v>1889</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1891</v>
      </c>
      <c r="C70" s="886">
        <f>'Expenditures 15-22'!B221</f>
        <v>1300</v>
      </c>
      <c r="D70" s="887" t="str">
        <f>'Expenditures 15-22'!A221</f>
        <v>Adult/Continuing Education Programs</v>
      </c>
      <c r="E70" s="868"/>
      <c r="F70" s="1910">
        <f>'Expenditures 15-22'!K221</f>
        <v>0</v>
      </c>
      <c r="G70" s="865"/>
    </row>
    <row r="71" spans="1:8" x14ac:dyDescent="0.2">
      <c r="A71" s="869" t="s">
        <v>462</v>
      </c>
      <c r="B71" s="869" t="s">
        <v>1892</v>
      </c>
      <c r="C71" s="886">
        <f>'Expenditures 15-22'!B224</f>
        <v>1600</v>
      </c>
      <c r="D71" s="887" t="str">
        <f>'Expenditures 15-22'!A224</f>
        <v>Summer School Programs</v>
      </c>
      <c r="E71" s="868"/>
      <c r="F71" s="1910">
        <f>'Expenditures 15-22'!K224</f>
        <v>0</v>
      </c>
      <c r="G71" s="865"/>
    </row>
    <row r="72" spans="1:8" x14ac:dyDescent="0.2">
      <c r="A72" s="869" t="s">
        <v>462</v>
      </c>
      <c r="B72" s="869" t="s">
        <v>1893</v>
      </c>
      <c r="C72" s="886">
        <f>'Expenditures 15-22'!B280</f>
        <v>3000</v>
      </c>
      <c r="D72" s="876" t="s">
        <v>449</v>
      </c>
      <c r="E72" s="868"/>
      <c r="F72" s="1910">
        <f>'Expenditures 15-22'!K280</f>
        <v>54</v>
      </c>
      <c r="G72" s="865"/>
    </row>
    <row r="73" spans="1:8" x14ac:dyDescent="0.2">
      <c r="A73" s="869" t="s">
        <v>462</v>
      </c>
      <c r="B73" s="869" t="s">
        <v>1894</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1895</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1896</v>
      </c>
      <c r="E76" s="1773" t="s">
        <v>958</v>
      </c>
      <c r="F76" s="1777">
        <f>SUM(F18:F74)</f>
        <v>3834310</v>
      </c>
      <c r="G76" s="865"/>
    </row>
    <row r="77" spans="1:8" s="893" customFormat="1" ht="12" customHeight="1" thickTop="1" thickBot="1" x14ac:dyDescent="0.25">
      <c r="A77" s="1778"/>
      <c r="B77" s="1775"/>
      <c r="C77" s="1771"/>
      <c r="D77" s="1776" t="s">
        <v>1897</v>
      </c>
      <c r="E77" s="1773"/>
      <c r="F77" s="1779">
        <f>(F14-F76)</f>
        <v>19786195</v>
      </c>
      <c r="G77" s="869"/>
    </row>
    <row r="78" spans="1:8" s="893" customFormat="1" ht="12" customHeight="1" thickTop="1" x14ac:dyDescent="0.2">
      <c r="A78" s="1780"/>
      <c r="B78" s="1775"/>
      <c r="C78" s="1771"/>
      <c r="D78" s="1776" t="s">
        <v>2059</v>
      </c>
      <c r="E78" s="1773"/>
      <c r="F78" s="898">
        <v>2262</v>
      </c>
      <c r="G78" s="899"/>
      <c r="H78" s="869"/>
    </row>
    <row r="79" spans="1:8" s="893" customFormat="1" ht="12" customHeight="1" thickBot="1" x14ac:dyDescent="0.25">
      <c r="A79" s="1781"/>
      <c r="B79" s="1775"/>
      <c r="C79" s="1771"/>
      <c r="D79" s="1776" t="s">
        <v>1898</v>
      </c>
      <c r="E79" s="1773" t="s">
        <v>958</v>
      </c>
      <c r="F79" s="1782">
        <f>IF(F78&gt;0,F77/F78," Complete Line 78")</f>
        <v>8747.21264367816</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184309</v>
      </c>
      <c r="G94" s="912"/>
    </row>
    <row r="95" spans="1:7" x14ac:dyDescent="0.2">
      <c r="A95" s="908" t="s">
        <v>140</v>
      </c>
      <c r="B95" s="908" t="s">
        <v>175</v>
      </c>
      <c r="C95" s="910">
        <v>1700</v>
      </c>
      <c r="D95" s="918" t="str">
        <f>'Revenues 9-14'!A82</f>
        <v>Total District/School Activity Income</v>
      </c>
      <c r="E95" s="906"/>
      <c r="F95" s="1788">
        <f>SUM('Revenues 9-14'!C82,'Revenues 9-14'!D82)</f>
        <v>330178</v>
      </c>
      <c r="G95" s="912"/>
    </row>
    <row r="96" spans="1:7" x14ac:dyDescent="0.2">
      <c r="A96" s="908" t="s">
        <v>459</v>
      </c>
      <c r="B96" s="908" t="s">
        <v>176</v>
      </c>
      <c r="C96" s="910">
        <f>'Revenues 9-14'!B84</f>
        <v>1811</v>
      </c>
      <c r="D96" s="911" t="str">
        <f>'Revenues 9-14'!A84</f>
        <v>Rentals - Regular Textbooks</v>
      </c>
      <c r="E96" s="906"/>
      <c r="F96" s="1788">
        <f>'Revenues 9-14'!C84</f>
        <v>46676</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22299</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71916</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2000</v>
      </c>
      <c r="C105" s="913">
        <v>3100</v>
      </c>
      <c r="D105" s="919" t="str">
        <f>'Revenues 9-14'!A132</f>
        <v>Total Special Education</v>
      </c>
      <c r="E105" s="906"/>
      <c r="F105" s="1788">
        <f>SUM('Revenues 9-14'!C132:D132,'Revenues 9-14'!F132)</f>
        <v>119955</v>
      </c>
      <c r="G105" s="912"/>
    </row>
    <row r="106" spans="1:7" x14ac:dyDescent="0.2">
      <c r="A106" s="908" t="s">
        <v>673</v>
      </c>
      <c r="B106" s="908" t="s">
        <v>2001</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2002</v>
      </c>
      <c r="C107" s="920">
        <v>3300</v>
      </c>
      <c r="D107" s="911" t="str">
        <f>'Revenues 9-14'!A145</f>
        <v>Total Bilingual Ed</v>
      </c>
      <c r="E107" s="906"/>
      <c r="F107" s="1788">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8">
        <f>'Revenues 9-14'!C146</f>
        <v>15092</v>
      </c>
      <c r="G108" s="912"/>
    </row>
    <row r="109" spans="1:7" x14ac:dyDescent="0.2">
      <c r="A109" s="908" t="s">
        <v>673</v>
      </c>
      <c r="B109" s="908" t="s">
        <v>2004</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8">
        <f>SUM('Revenues 9-14'!C148,'Revenues 9-14'!D148)</f>
        <v>41966</v>
      </c>
      <c r="G110" s="912"/>
    </row>
    <row r="111" spans="1:7" x14ac:dyDescent="0.2">
      <c r="A111" s="908" t="s">
        <v>668</v>
      </c>
      <c r="B111" s="908" t="s">
        <v>2006</v>
      </c>
      <c r="C111" s="922">
        <v>3500</v>
      </c>
      <c r="D111" s="911" t="str">
        <f>'Revenues 9-14'!A155</f>
        <v>Total Transportation</v>
      </c>
      <c r="E111" s="906"/>
      <c r="F111" s="1788">
        <f>SUM('Revenues 9-14'!C155,'Revenues 9-14'!D155,'Revenues 9-14'!F155,'Revenues 9-14'!G155)</f>
        <v>396529</v>
      </c>
      <c r="G111" s="912"/>
    </row>
    <row r="112" spans="1:7" x14ac:dyDescent="0.2">
      <c r="A112" s="908" t="s">
        <v>459</v>
      </c>
      <c r="B112" s="908" t="s">
        <v>2007</v>
      </c>
      <c r="C112" s="920">
        <f>'Revenues 9-14'!B156</f>
        <v>3610</v>
      </c>
      <c r="D112" s="911" t="str">
        <f>'Revenues 9-14'!A156</f>
        <v>Learning Improvement - Change Grants</v>
      </c>
      <c r="E112" s="906"/>
      <c r="F112" s="1788">
        <f>'Revenues 9-14'!C156</f>
        <v>0</v>
      </c>
      <c r="G112" s="912"/>
    </row>
    <row r="113" spans="1:7" x14ac:dyDescent="0.2">
      <c r="A113" s="908" t="s">
        <v>668</v>
      </c>
      <c r="B113" s="908" t="s">
        <v>2008</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4">
        <f>SUM('Revenues 9-14'!C163:G163)</f>
        <v>0</v>
      </c>
      <c r="G118" s="912"/>
    </row>
    <row r="119" spans="1:7" x14ac:dyDescent="0.2">
      <c r="A119" s="923" t="s">
        <v>504</v>
      </c>
      <c r="B119" s="923" t="s">
        <v>2014</v>
      </c>
      <c r="C119" s="924">
        <f>'Revenues 9-14'!B164</f>
        <v>3815</v>
      </c>
      <c r="D119" s="925" t="str">
        <f>'Revenues 9-14'!A164</f>
        <v>State Charter Schools</v>
      </c>
      <c r="E119" s="906"/>
      <c r="F119" s="1904">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8">
        <f>'Revenues 9-14'!D167</f>
        <v>0</v>
      </c>
      <c r="G120" s="930"/>
    </row>
    <row r="121" spans="1:7" x14ac:dyDescent="0.2">
      <c r="A121" s="927" t="s">
        <v>500</v>
      </c>
      <c r="B121" s="927" t="s">
        <v>2016</v>
      </c>
      <c r="C121" s="928">
        <f>'Revenues 9-14'!B168</f>
        <v>3999</v>
      </c>
      <c r="D121" s="929" t="s">
        <v>543</v>
      </c>
      <c r="E121" s="931"/>
      <c r="F121" s="1788">
        <f>SUM('Revenues 9-14'!C168:G168,'Revenues 9-14'!J168)</f>
        <v>15589</v>
      </c>
      <c r="G121" s="930"/>
    </row>
    <row r="122" spans="1:7" x14ac:dyDescent="0.2">
      <c r="A122" s="927" t="s">
        <v>459</v>
      </c>
      <c r="B122" s="927" t="s">
        <v>2017</v>
      </c>
      <c r="C122" s="932">
        <f>'Revenues 9-14'!B177</f>
        <v>4045</v>
      </c>
      <c r="D122" s="929" t="str">
        <f>'Revenues 9-14'!A177 &amp; " (Subtract)"</f>
        <v>Head Start (Subtract)</v>
      </c>
      <c r="E122" s="906"/>
      <c r="F122" s="1788">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2019</v>
      </c>
      <c r="C124" s="932">
        <v>4100</v>
      </c>
      <c r="D124" s="933" t="str">
        <f>'Revenues 9-14'!A188</f>
        <v>Total Title V</v>
      </c>
      <c r="E124" s="906"/>
      <c r="F124" s="1788">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8">
        <f>SUM('Revenues 9-14'!C198,'Revenues 9-14'!G198)</f>
        <v>782447</v>
      </c>
      <c r="G125" s="930"/>
    </row>
    <row r="126" spans="1:7" x14ac:dyDescent="0.2">
      <c r="A126" s="927" t="s">
        <v>668</v>
      </c>
      <c r="B126" s="927" t="s">
        <v>2021</v>
      </c>
      <c r="C126" s="932">
        <v>4300</v>
      </c>
      <c r="D126" s="933" t="str">
        <f>'Revenues 9-14'!A204</f>
        <v>Total Title I</v>
      </c>
      <c r="E126" s="906"/>
      <c r="F126" s="1788">
        <f>SUM('Revenues 9-14'!C204,'Revenues 9-14'!D204,'Revenues 9-14'!F204,'Revenues 9-14'!G204)</f>
        <v>685578</v>
      </c>
      <c r="G126" s="930"/>
    </row>
    <row r="127" spans="1:7" x14ac:dyDescent="0.2">
      <c r="A127" s="927" t="s">
        <v>668</v>
      </c>
      <c r="B127" s="927" t="s">
        <v>2022</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8">
        <f>SUM('Revenues 9-14'!C213:D213,'Revenues 9-14'!F213:G213)</f>
        <v>10067</v>
      </c>
      <c r="G128" s="930"/>
    </row>
    <row r="129" spans="1:7" x14ac:dyDescent="0.2">
      <c r="A129" s="927" t="s">
        <v>668</v>
      </c>
      <c r="B129" s="927" t="s">
        <v>2024</v>
      </c>
      <c r="C129" s="932">
        <f>'Revenues 9-14'!B214</f>
        <v>4625</v>
      </c>
      <c r="D129" s="933" t="str">
        <f>'Revenues 9-14'!A214</f>
        <v>Fed - Spec Education - IDEA - Room &amp; Board</v>
      </c>
      <c r="E129" s="906"/>
      <c r="F129" s="1788">
        <f>SUM('Revenues 9-14'!C214,'Revenues 9-14'!D214,'Revenues 9-14'!F214,'Revenues 9-14'!G214)</f>
        <v>38541</v>
      </c>
      <c r="G129" s="930"/>
    </row>
    <row r="130" spans="1:7" x14ac:dyDescent="0.2">
      <c r="A130" s="927" t="s">
        <v>668</v>
      </c>
      <c r="B130" s="927" t="s">
        <v>2025</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2026</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8">
        <v>0</v>
      </c>
      <c r="G138" s="905"/>
    </row>
    <row r="139" spans="1:7" s="867" customFormat="1" hidden="1" x14ac:dyDescent="0.2">
      <c r="A139" s="934" t="s">
        <v>206</v>
      </c>
      <c r="B139" s="934" t="s">
        <v>2033</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2041</v>
      </c>
      <c r="C157" s="940" t="s">
        <v>841</v>
      </c>
      <c r="D157" s="941" t="s">
        <v>777</v>
      </c>
      <c r="E157" s="942"/>
      <c r="F157" s="1788">
        <f>SUM(F133:F156)</f>
        <v>0</v>
      </c>
      <c r="G157" s="905"/>
    </row>
    <row r="158" spans="1:7" s="867" customFormat="1" x14ac:dyDescent="0.2">
      <c r="A158" s="938" t="s">
        <v>459</v>
      </c>
      <c r="B158" s="939" t="s">
        <v>2042</v>
      </c>
      <c r="C158" s="940" t="s">
        <v>1427</v>
      </c>
      <c r="D158" s="941" t="s">
        <v>1428</v>
      </c>
      <c r="E158" s="942"/>
      <c r="F158" s="1788">
        <f>SUM('Revenues 9-14'!C253)</f>
        <v>0</v>
      </c>
      <c r="G158" s="905"/>
    </row>
    <row r="159" spans="1:7" s="867" customFormat="1" x14ac:dyDescent="0.2">
      <c r="A159" s="938" t="s">
        <v>500</v>
      </c>
      <c r="B159" s="939" t="s">
        <v>2043</v>
      </c>
      <c r="C159" s="940" t="s">
        <v>1466</v>
      </c>
      <c r="D159" s="941" t="s">
        <v>1467</v>
      </c>
      <c r="E159" s="942"/>
      <c r="F159" s="1788">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4">
        <f>SUM('Revenues 9-14'!C259,'Revenues 9-14'!D259,'Revenues 9-14'!F259,'Revenues 9-14'!G259)</f>
        <v>137961</v>
      </c>
      <c r="G164" s="930"/>
    </row>
    <row r="165" spans="1:7" x14ac:dyDescent="0.2">
      <c r="A165" s="927" t="s">
        <v>668</v>
      </c>
      <c r="B165" s="927" t="s">
        <v>2049</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8">
        <f>SUM('Revenues 9-14'!C263:D263,'Revenues 9-14'!F263:G263)</f>
        <v>11754</v>
      </c>
      <c r="G168" s="947">
        <v>6320</v>
      </c>
    </row>
    <row r="169" spans="1:7" x14ac:dyDescent="0.2">
      <c r="A169" s="927" t="s">
        <v>668</v>
      </c>
      <c r="B169" s="927" t="s">
        <v>2051</v>
      </c>
      <c r="C169" s="932">
        <f>'Revenues 9-14'!B264</f>
        <v>4992</v>
      </c>
      <c r="D169" s="933" t="str">
        <f>'Revenues 9-14'!A264</f>
        <v>Medicaid Matching Funds - Fee-for-Service Program</v>
      </c>
      <c r="E169" s="906"/>
      <c r="F169" s="1788">
        <f>SUM('Revenues 9-14'!C264:D264,'Revenues 9-14'!F264:G264)</f>
        <v>7777</v>
      </c>
      <c r="G169" s="947"/>
    </row>
    <row r="170" spans="1:7" x14ac:dyDescent="0.2">
      <c r="A170" s="948" t="s">
        <v>668</v>
      </c>
      <c r="B170" s="944" t="s">
        <v>2052</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5" t="s">
        <v>5</v>
      </c>
      <c r="B171" s="1916" t="s">
        <v>1917</v>
      </c>
      <c r="C171" s="1917">
        <v>3100</v>
      </c>
      <c r="D171" s="1918" t="s">
        <v>1919</v>
      </c>
      <c r="E171" s="906"/>
      <c r="F171" s="1903">
        <v>501665</v>
      </c>
      <c r="G171" s="927"/>
    </row>
    <row r="172" spans="1:7" x14ac:dyDescent="0.2">
      <c r="A172" s="1915" t="s">
        <v>664</v>
      </c>
      <c r="B172" s="1916" t="s">
        <v>1917</v>
      </c>
      <c r="C172" s="1917">
        <v>3300</v>
      </c>
      <c r="D172" s="1918" t="s">
        <v>1920</v>
      </c>
      <c r="E172" s="906"/>
      <c r="F172" s="1903">
        <v>2784</v>
      </c>
      <c r="G172" s="927"/>
    </row>
    <row r="173" spans="1:7" ht="6" customHeight="1" x14ac:dyDescent="0.2">
      <c r="A173" s="927"/>
      <c r="B173" s="927"/>
      <c r="C173" s="949"/>
      <c r="D173" s="927"/>
      <c r="E173" s="906"/>
      <c r="F173" s="950"/>
      <c r="G173" s="947"/>
    </row>
    <row r="174" spans="1:7" x14ac:dyDescent="0.2">
      <c r="A174" s="1769"/>
      <c r="B174" s="1783"/>
      <c r="C174" s="1784"/>
      <c r="D174" s="1785" t="s">
        <v>2053</v>
      </c>
      <c r="E174" s="1786" t="s">
        <v>958</v>
      </c>
      <c r="F174" s="1787">
        <f>SUM(F84:F132,F157:F172)</f>
        <v>3423083</v>
      </c>
    </row>
    <row r="175" spans="1:7" ht="12" customHeight="1" x14ac:dyDescent="0.2">
      <c r="A175" s="1769"/>
      <c r="B175" s="1783"/>
      <c r="C175" s="1784"/>
      <c r="D175" s="1785" t="s">
        <v>2054</v>
      </c>
      <c r="E175" s="1786"/>
      <c r="F175" s="1788">
        <f>'PCTC-OEPP 27-28'!F77-F174</f>
        <v>16363112</v>
      </c>
    </row>
    <row r="176" spans="1:7" ht="12" customHeight="1" x14ac:dyDescent="0.2">
      <c r="A176" s="1769"/>
      <c r="B176" s="1783"/>
      <c r="C176" s="1784"/>
      <c r="D176" s="1785" t="s">
        <v>1814</v>
      </c>
      <c r="E176" s="1786"/>
      <c r="F176" s="1788">
        <f>'Cap Outlay Deprec 26'!I18</f>
        <v>1545137.93</v>
      </c>
    </row>
    <row r="177" spans="1:7" ht="12" customHeight="1" x14ac:dyDescent="0.2">
      <c r="A177" s="1769"/>
      <c r="B177" s="1783"/>
      <c r="C177" s="1784"/>
      <c r="D177" s="1785" t="s">
        <v>2055</v>
      </c>
      <c r="E177" s="1786"/>
      <c r="F177" s="1788">
        <f>F175+F176</f>
        <v>17908249.93</v>
      </c>
    </row>
    <row r="178" spans="1:7" ht="12" customHeight="1" x14ac:dyDescent="0.2">
      <c r="A178" s="1769"/>
      <c r="B178" s="1789"/>
      <c r="C178" s="1784"/>
      <c r="D178" s="1785" t="str">
        <f>D78</f>
        <v>9 Month ADA from District Average Daily Attendance/Prior General State Aid Inquiry 2018-2019</v>
      </c>
      <c r="E178" s="1786"/>
      <c r="F178" s="1790">
        <f>'PCTC-OEPP 27-28'!F78</f>
        <v>2262</v>
      </c>
      <c r="G178" s="930"/>
    </row>
    <row r="179" spans="1:7" ht="12" customHeight="1" thickBot="1" x14ac:dyDescent="0.25">
      <c r="A179" s="1769"/>
      <c r="B179" s="1789"/>
      <c r="C179" s="1784"/>
      <c r="D179" s="1785" t="s">
        <v>2056</v>
      </c>
      <c r="E179" s="1786" t="s">
        <v>1545</v>
      </c>
      <c r="F179" s="1791">
        <f>F177/F178</f>
        <v>7916.9982007073386</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9" customFormat="1" ht="12.2" customHeight="1" x14ac:dyDescent="0.2">
      <c r="A182" s="1919" t="s">
        <v>1991</v>
      </c>
      <c r="B182" s="1920"/>
      <c r="C182" s="1921"/>
      <c r="D182" s="1920"/>
      <c r="E182" s="1921"/>
      <c r="F182" s="1920"/>
      <c r="G182" s="1920"/>
    </row>
    <row r="183" spans="1:7" s="1919" customFormat="1" ht="12.2" customHeight="1" x14ac:dyDescent="0.2">
      <c r="A183" s="1922" t="s">
        <v>1993</v>
      </c>
      <c r="C183" s="1921"/>
      <c r="D183" s="1920"/>
      <c r="E183" s="1921"/>
      <c r="F183" s="1920"/>
      <c r="G183" s="1920"/>
    </row>
    <row r="184" spans="1:7" ht="12" customHeight="1" x14ac:dyDescent="0.2">
      <c r="C184" s="949"/>
      <c r="D184" s="930"/>
      <c r="E184" s="949"/>
      <c r="F184" s="930"/>
      <c r="G184" s="930"/>
    </row>
    <row r="185" spans="1:7" x14ac:dyDescent="0.2">
      <c r="A185" s="1923" t="s">
        <v>1922</v>
      </c>
      <c r="B185" s="1924"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3" zoomScaleNormal="100" workbookViewId="0">
      <selection activeCell="B25" sqref="B25"/>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1829</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8" t="s">
        <v>1815</v>
      </c>
      <c r="B4" s="2269"/>
      <c r="C4" s="2269"/>
      <c r="D4" s="2269"/>
      <c r="E4" s="2269"/>
      <c r="F4" s="2269"/>
      <c r="G4" s="2270"/>
    </row>
    <row r="5" spans="1:7" x14ac:dyDescent="0.25">
      <c r="A5" s="2271"/>
      <c r="B5" s="2272"/>
      <c r="C5" s="2272"/>
      <c r="D5" s="2272"/>
      <c r="E5" s="2272"/>
      <c r="F5" s="2272"/>
      <c r="G5" s="2273"/>
    </row>
    <row r="6" spans="1:7" ht="18.75" x14ac:dyDescent="0.25">
      <c r="A6" s="1533" t="s">
        <v>1816</v>
      </c>
      <c r="B6" s="1534"/>
      <c r="C6" s="1534"/>
      <c r="D6" s="1534"/>
      <c r="E6" s="1534"/>
      <c r="F6" s="1534"/>
      <c r="G6" s="1535"/>
    </row>
    <row r="7" spans="1:7" ht="30.75" customHeight="1" x14ac:dyDescent="0.25">
      <c r="A7" s="2274" t="s">
        <v>1929</v>
      </c>
      <c r="B7" s="2275"/>
      <c r="C7" s="2275"/>
      <c r="D7" s="2275"/>
      <c r="E7" s="2275"/>
      <c r="F7" s="2275"/>
      <c r="G7" s="2276"/>
    </row>
    <row r="8" spans="1:7" ht="15.75" customHeight="1" x14ac:dyDescent="0.25">
      <c r="A8" s="2277" t="s">
        <v>1904</v>
      </c>
      <c r="B8" s="2278"/>
      <c r="C8" s="2278"/>
      <c r="D8" s="2278"/>
      <c r="E8" s="2278"/>
      <c r="F8" s="2278"/>
      <c r="G8" s="2279"/>
    </row>
    <row r="9" spans="1:7" ht="35.25" customHeight="1" x14ac:dyDescent="0.25">
      <c r="A9" s="2274" t="s">
        <v>1932</v>
      </c>
      <c r="B9" s="2275"/>
      <c r="C9" s="2275"/>
      <c r="D9" s="2275"/>
      <c r="E9" s="2275"/>
      <c r="F9" s="2275"/>
      <c r="G9" s="2276"/>
    </row>
    <row r="10" spans="1:7" ht="15" customHeight="1" x14ac:dyDescent="0.25">
      <c r="A10" s="1536" t="s">
        <v>1817</v>
      </c>
      <c r="B10" s="1537"/>
      <c r="C10" s="1537"/>
      <c r="D10" s="1537"/>
      <c r="E10" s="1537"/>
      <c r="F10" s="1537"/>
      <c r="G10" s="1538"/>
    </row>
    <row r="11" spans="1:7" ht="17.25" customHeight="1" x14ac:dyDescent="0.25">
      <c r="A11" s="2274" t="s">
        <v>1931</v>
      </c>
      <c r="B11" s="2275"/>
      <c r="C11" s="2275"/>
      <c r="D11" s="2275"/>
      <c r="E11" s="2275"/>
      <c r="F11" s="2275"/>
      <c r="G11" s="2276"/>
    </row>
    <row r="12" spans="1:7" ht="15" customHeight="1" x14ac:dyDescent="0.25">
      <c r="A12" s="1536" t="s">
        <v>1822</v>
      </c>
      <c r="B12" s="1537"/>
      <c r="C12" s="1537"/>
      <c r="D12" s="1537"/>
      <c r="E12" s="1537"/>
      <c r="F12" s="1537"/>
      <c r="G12" s="1538"/>
    </row>
    <row r="13" spans="1:7" ht="32.25" customHeight="1" x14ac:dyDescent="0.25">
      <c r="A13" s="2265" t="s">
        <v>1973</v>
      </c>
      <c r="B13" s="2266"/>
      <c r="C13" s="2266"/>
      <c r="D13" s="2266"/>
      <c r="E13" s="2266"/>
      <c r="F13" s="2266"/>
      <c r="G13" s="2267"/>
    </row>
    <row r="14" spans="1:7" x14ac:dyDescent="0.25">
      <c r="A14" s="1660" t="s">
        <v>1830</v>
      </c>
      <c r="B14" s="1661"/>
      <c r="C14" s="1661"/>
      <c r="D14" s="1661"/>
      <c r="E14" s="1661"/>
      <c r="F14" s="1661"/>
      <c r="G14" s="1662"/>
    </row>
    <row r="15" spans="1:7" ht="61.5" customHeight="1" x14ac:dyDescent="0.25">
      <c r="A15" s="1545" t="s">
        <v>1823</v>
      </c>
      <c r="B15" s="1545" t="s">
        <v>1824</v>
      </c>
      <c r="C15" s="1545" t="s">
        <v>1825</v>
      </c>
      <c r="D15" s="1546" t="s">
        <v>1826</v>
      </c>
      <c r="E15" s="1546" t="s">
        <v>1818</v>
      </c>
      <c r="F15" s="1546" t="s">
        <v>1827</v>
      </c>
      <c r="G15" s="1546" t="s">
        <v>1828</v>
      </c>
    </row>
    <row r="16" spans="1:7" x14ac:dyDescent="0.25">
      <c r="A16" s="1647" t="s">
        <v>1831</v>
      </c>
      <c r="B16" s="1648" t="s">
        <v>1821</v>
      </c>
      <c r="C16" s="1649" t="s">
        <v>1819</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2" t="s">
        <v>2087</v>
      </c>
      <c r="B17" s="2486" t="s">
        <v>2255</v>
      </c>
      <c r="C17" s="1934" t="s">
        <v>2088</v>
      </c>
      <c r="D17" s="1843">
        <v>47658</v>
      </c>
      <c r="E17" s="1539">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22658</v>
      </c>
      <c r="H17" s="1646"/>
    </row>
    <row r="18" spans="1:8" x14ac:dyDescent="0.25">
      <c r="A18" s="1932" t="s">
        <v>2095</v>
      </c>
      <c r="B18" s="1933" t="s">
        <v>2089</v>
      </c>
      <c r="C18" s="1934" t="s">
        <v>2090</v>
      </c>
      <c r="D18" s="1843">
        <v>10825</v>
      </c>
      <c r="E18" s="1539">
        <f t="shared" ref="E18:E140" si="2">IF(D18&lt;=25000,D18,IF(D18&gt;25000,25000,0))</f>
        <v>10825</v>
      </c>
      <c r="F18" s="1929">
        <f t="shared" si="1"/>
        <v>10825</v>
      </c>
      <c r="G18" s="1792">
        <f t="shared" ref="G18:G140" si="3">IF(F18=0,0,D18-F18)</f>
        <v>0</v>
      </c>
    </row>
    <row r="19" spans="1:8" ht="30" x14ac:dyDescent="0.25">
      <c r="A19" s="1932" t="s">
        <v>2091</v>
      </c>
      <c r="B19" s="1933" t="s">
        <v>2089</v>
      </c>
      <c r="C19" s="1934" t="s">
        <v>2092</v>
      </c>
      <c r="D19" s="1843">
        <v>3256</v>
      </c>
      <c r="E19" s="1539">
        <f t="shared" si="2"/>
        <v>3256</v>
      </c>
      <c r="F19" s="1929">
        <f t="shared" si="1"/>
        <v>3256</v>
      </c>
      <c r="G19" s="1792">
        <f t="shared" si="3"/>
        <v>0</v>
      </c>
    </row>
    <row r="20" spans="1:8" ht="30" x14ac:dyDescent="0.25">
      <c r="A20" s="1932" t="s">
        <v>2091</v>
      </c>
      <c r="B20" s="1933" t="s">
        <v>2089</v>
      </c>
      <c r="C20" s="1934" t="s">
        <v>2093</v>
      </c>
      <c r="D20" s="1843">
        <v>3125</v>
      </c>
      <c r="E20" s="1539">
        <f t="shared" si="2"/>
        <v>3125</v>
      </c>
      <c r="F20" s="1929">
        <f t="shared" si="1"/>
        <v>3125</v>
      </c>
      <c r="G20" s="1792">
        <f t="shared" si="3"/>
        <v>0</v>
      </c>
    </row>
    <row r="21" spans="1:8" ht="30" x14ac:dyDescent="0.25">
      <c r="A21" s="1932" t="s">
        <v>2091</v>
      </c>
      <c r="B21" s="1933" t="s">
        <v>2089</v>
      </c>
      <c r="C21" s="1934" t="s">
        <v>2094</v>
      </c>
      <c r="D21" s="1843">
        <v>8500</v>
      </c>
      <c r="E21" s="1539">
        <f t="shared" si="2"/>
        <v>8500</v>
      </c>
      <c r="F21" s="1929">
        <f t="shared" si="1"/>
        <v>8500</v>
      </c>
      <c r="G21" s="1792">
        <f t="shared" si="3"/>
        <v>0</v>
      </c>
    </row>
    <row r="22" spans="1:8" ht="30" x14ac:dyDescent="0.25">
      <c r="A22" s="1932" t="s">
        <v>2091</v>
      </c>
      <c r="B22" s="1933" t="s">
        <v>2089</v>
      </c>
      <c r="C22" s="1934" t="s">
        <v>2096</v>
      </c>
      <c r="D22" s="1843">
        <v>10900</v>
      </c>
      <c r="E22" s="1539">
        <f t="shared" si="2"/>
        <v>10900</v>
      </c>
      <c r="F22" s="1929">
        <f t="shared" si="1"/>
        <v>10900</v>
      </c>
      <c r="G22" s="1792">
        <f t="shared" si="3"/>
        <v>0</v>
      </c>
    </row>
    <row r="23" spans="1:8" ht="30" x14ac:dyDescent="0.25">
      <c r="A23" s="1932" t="s">
        <v>2097</v>
      </c>
      <c r="B23" s="1933" t="s">
        <v>2089</v>
      </c>
      <c r="C23" s="1934" t="s">
        <v>2098</v>
      </c>
      <c r="D23" s="1843">
        <v>791</v>
      </c>
      <c r="E23" s="1539">
        <f t="shared" si="2"/>
        <v>791</v>
      </c>
      <c r="F23" s="1929">
        <f t="shared" si="1"/>
        <v>791</v>
      </c>
      <c r="G23" s="1792">
        <f t="shared" si="3"/>
        <v>0</v>
      </c>
    </row>
    <row r="24" spans="1:8" x14ac:dyDescent="0.25">
      <c r="A24" s="1932" t="s">
        <v>2099</v>
      </c>
      <c r="B24" s="1933" t="s">
        <v>2089</v>
      </c>
      <c r="C24" s="1934" t="s">
        <v>2100</v>
      </c>
      <c r="D24" s="1843">
        <v>17056</v>
      </c>
      <c r="E24" s="1539">
        <f t="shared" si="2"/>
        <v>17056</v>
      </c>
      <c r="F24" s="1929">
        <f t="shared" si="1"/>
        <v>17056</v>
      </c>
      <c r="G24" s="1792">
        <f t="shared" si="3"/>
        <v>0</v>
      </c>
    </row>
    <row r="25" spans="1:8" x14ac:dyDescent="0.25">
      <c r="A25" s="1932" t="s">
        <v>2101</v>
      </c>
      <c r="B25" s="2486" t="s">
        <v>2256</v>
      </c>
      <c r="C25" s="1934" t="s">
        <v>2100</v>
      </c>
      <c r="D25" s="1843">
        <v>102754</v>
      </c>
      <c r="E25" s="1539">
        <f t="shared" si="2"/>
        <v>25000</v>
      </c>
      <c r="F25" s="1929">
        <f t="shared" si="1"/>
        <v>25000</v>
      </c>
      <c r="G25" s="1792">
        <f t="shared" si="3"/>
        <v>77754</v>
      </c>
    </row>
    <row r="26" spans="1:8" x14ac:dyDescent="0.25">
      <c r="A26" s="1932" t="s">
        <v>2102</v>
      </c>
      <c r="B26" s="1933" t="s">
        <v>2103</v>
      </c>
      <c r="C26" s="1934" t="s">
        <v>2104</v>
      </c>
      <c r="D26" s="1843">
        <v>8780</v>
      </c>
      <c r="E26" s="1539">
        <f t="shared" si="2"/>
        <v>8780</v>
      </c>
      <c r="F26" s="1929">
        <f t="shared" si="1"/>
        <v>8780</v>
      </c>
      <c r="G26" s="1792">
        <f t="shared" si="3"/>
        <v>0</v>
      </c>
    </row>
    <row r="27" spans="1:8" ht="30" x14ac:dyDescent="0.25">
      <c r="A27" s="1932" t="s">
        <v>2105</v>
      </c>
      <c r="B27" s="1933" t="s">
        <v>2103</v>
      </c>
      <c r="C27" s="1934" t="s">
        <v>2106</v>
      </c>
      <c r="D27" s="1843">
        <v>2508</v>
      </c>
      <c r="E27" s="1539">
        <f t="shared" si="2"/>
        <v>2508</v>
      </c>
      <c r="F27" s="1929">
        <f t="shared" si="1"/>
        <v>2508</v>
      </c>
      <c r="G27" s="1792">
        <f t="shared" si="3"/>
        <v>0</v>
      </c>
    </row>
    <row r="28" spans="1:8" ht="30" x14ac:dyDescent="0.25">
      <c r="A28" s="1932" t="s">
        <v>2110</v>
      </c>
      <c r="B28" s="1933" t="s">
        <v>2107</v>
      </c>
      <c r="C28" s="1934" t="s">
        <v>2108</v>
      </c>
      <c r="D28" s="1843">
        <v>20312</v>
      </c>
      <c r="E28" s="1539">
        <f t="shared" si="2"/>
        <v>20312</v>
      </c>
      <c r="F28" s="1929">
        <f t="shared" si="1"/>
        <v>20312</v>
      </c>
      <c r="G28" s="1792">
        <f t="shared" si="3"/>
        <v>0</v>
      </c>
    </row>
    <row r="29" spans="1:8" ht="30" x14ac:dyDescent="0.25">
      <c r="A29" s="1932" t="s">
        <v>2111</v>
      </c>
      <c r="B29" s="1933" t="s">
        <v>2107</v>
      </c>
      <c r="C29" s="1934" t="s">
        <v>2109</v>
      </c>
      <c r="D29" s="1843">
        <v>4900</v>
      </c>
      <c r="E29" s="1539">
        <f t="shared" si="2"/>
        <v>4900</v>
      </c>
      <c r="F29" s="1929">
        <f t="shared" si="1"/>
        <v>4900</v>
      </c>
      <c r="G29" s="1792">
        <f t="shared" si="3"/>
        <v>0</v>
      </c>
    </row>
    <row r="30" spans="1:8" ht="30" x14ac:dyDescent="0.25">
      <c r="A30" s="1932" t="s">
        <v>2111</v>
      </c>
      <c r="B30" s="1933" t="s">
        <v>2107</v>
      </c>
      <c r="C30" s="1934" t="s">
        <v>2112</v>
      </c>
      <c r="D30" s="1843">
        <v>6988</v>
      </c>
      <c r="E30" s="1539">
        <f t="shared" si="2"/>
        <v>6988</v>
      </c>
      <c r="F30" s="1929">
        <f t="shared" si="1"/>
        <v>6988</v>
      </c>
      <c r="G30" s="1792">
        <f t="shared" si="3"/>
        <v>0</v>
      </c>
    </row>
    <row r="31" spans="1:8" ht="30" x14ac:dyDescent="0.25">
      <c r="A31" s="1932" t="s">
        <v>2111</v>
      </c>
      <c r="B31" s="1933" t="s">
        <v>2107</v>
      </c>
      <c r="C31" s="1934" t="s">
        <v>2113</v>
      </c>
      <c r="D31" s="1843">
        <v>6780</v>
      </c>
      <c r="E31" s="1539">
        <f t="shared" si="2"/>
        <v>6780</v>
      </c>
      <c r="F31" s="1929">
        <f t="shared" si="1"/>
        <v>6780</v>
      </c>
      <c r="G31" s="1792">
        <f t="shared" si="3"/>
        <v>0</v>
      </c>
    </row>
    <row r="32" spans="1:8" ht="30" x14ac:dyDescent="0.25">
      <c r="A32" s="1932" t="s">
        <v>2111</v>
      </c>
      <c r="B32" s="1933" t="s">
        <v>2107</v>
      </c>
      <c r="C32" s="1934" t="s">
        <v>2114</v>
      </c>
      <c r="D32" s="1843">
        <v>3759</v>
      </c>
      <c r="E32" s="1539">
        <f t="shared" si="2"/>
        <v>3759</v>
      </c>
      <c r="F32" s="1929">
        <f t="shared" si="1"/>
        <v>3759</v>
      </c>
      <c r="G32" s="1792">
        <f t="shared" si="3"/>
        <v>0</v>
      </c>
    </row>
    <row r="33" spans="1:7" ht="30" x14ac:dyDescent="0.25">
      <c r="A33" s="1932" t="s">
        <v>2111</v>
      </c>
      <c r="B33" s="1933" t="s">
        <v>2107</v>
      </c>
      <c r="C33" s="1934" t="s">
        <v>2115</v>
      </c>
      <c r="D33" s="1843">
        <v>3175</v>
      </c>
      <c r="E33" s="1539">
        <f t="shared" si="2"/>
        <v>3175</v>
      </c>
      <c r="F33" s="1929">
        <f t="shared" si="1"/>
        <v>3175</v>
      </c>
      <c r="G33" s="1792">
        <f t="shared" si="3"/>
        <v>0</v>
      </c>
    </row>
    <row r="34" spans="1:7" ht="30" x14ac:dyDescent="0.25">
      <c r="A34" s="1932" t="s">
        <v>2111</v>
      </c>
      <c r="B34" s="1933" t="s">
        <v>2107</v>
      </c>
      <c r="C34" s="1934" t="s">
        <v>2116</v>
      </c>
      <c r="D34" s="1843">
        <v>1400</v>
      </c>
      <c r="E34" s="1539">
        <f t="shared" si="2"/>
        <v>1400</v>
      </c>
      <c r="F34" s="1929">
        <f t="shared" si="1"/>
        <v>1400</v>
      </c>
      <c r="G34" s="1792">
        <f t="shared" si="3"/>
        <v>0</v>
      </c>
    </row>
    <row r="35" spans="1:7" ht="30" x14ac:dyDescent="0.25">
      <c r="A35" s="1932" t="s">
        <v>2111</v>
      </c>
      <c r="B35" s="1933" t="s">
        <v>2107</v>
      </c>
      <c r="C35" s="1934" t="s">
        <v>2117</v>
      </c>
      <c r="D35" s="1843">
        <v>20810</v>
      </c>
      <c r="E35" s="1539">
        <f t="shared" si="2"/>
        <v>20810</v>
      </c>
      <c r="F35" s="1929">
        <f t="shared" si="1"/>
        <v>20810</v>
      </c>
      <c r="G35" s="1792">
        <f t="shared" si="3"/>
        <v>0</v>
      </c>
    </row>
    <row r="36" spans="1:7" ht="30" x14ac:dyDescent="0.25">
      <c r="A36" s="1932" t="s">
        <v>2111</v>
      </c>
      <c r="B36" s="1933" t="s">
        <v>2107</v>
      </c>
      <c r="C36" s="1934" t="s">
        <v>2118</v>
      </c>
      <c r="D36" s="1843">
        <v>1280</v>
      </c>
      <c r="E36" s="1539">
        <f t="shared" si="2"/>
        <v>1280</v>
      </c>
      <c r="F36" s="1929">
        <f t="shared" si="1"/>
        <v>1280</v>
      </c>
      <c r="G36" s="1792">
        <f t="shared" si="3"/>
        <v>0</v>
      </c>
    </row>
    <row r="37" spans="1:7" ht="30" x14ac:dyDescent="0.25">
      <c r="A37" s="1932" t="s">
        <v>2111</v>
      </c>
      <c r="B37" s="1933" t="s">
        <v>2107</v>
      </c>
      <c r="C37" s="1934" t="s">
        <v>2119</v>
      </c>
      <c r="D37" s="1843">
        <v>5798</v>
      </c>
      <c r="E37" s="1539">
        <f t="shared" si="2"/>
        <v>5798</v>
      </c>
      <c r="F37" s="1929">
        <f t="shared" si="1"/>
        <v>5798</v>
      </c>
      <c r="G37" s="1792">
        <f t="shared" si="3"/>
        <v>0</v>
      </c>
    </row>
    <row r="38" spans="1:7" ht="30" x14ac:dyDescent="0.25">
      <c r="A38" s="1932" t="s">
        <v>2111</v>
      </c>
      <c r="B38" s="1935" t="s">
        <v>2107</v>
      </c>
      <c r="C38" s="1934" t="s">
        <v>2120</v>
      </c>
      <c r="D38" s="1843">
        <v>5216</v>
      </c>
      <c r="E38" s="1539">
        <f t="shared" si="2"/>
        <v>5216</v>
      </c>
      <c r="F38" s="1929">
        <f t="shared" si="1"/>
        <v>5216</v>
      </c>
      <c r="G38" s="1792">
        <f t="shared" si="3"/>
        <v>0</v>
      </c>
    </row>
    <row r="39" spans="1:7" ht="30" x14ac:dyDescent="0.25">
      <c r="A39" s="1932" t="s">
        <v>2111</v>
      </c>
      <c r="B39" s="1935" t="s">
        <v>2107</v>
      </c>
      <c r="C39" s="1934" t="s">
        <v>2121</v>
      </c>
      <c r="D39" s="1843">
        <v>3664</v>
      </c>
      <c r="E39" s="1539">
        <f t="shared" si="2"/>
        <v>3664</v>
      </c>
      <c r="F39" s="1929">
        <f t="shared" si="1"/>
        <v>3664</v>
      </c>
      <c r="G39" s="1792">
        <f t="shared" si="3"/>
        <v>0</v>
      </c>
    </row>
    <row r="40" spans="1:7" ht="30" x14ac:dyDescent="0.25">
      <c r="A40" s="1932" t="s">
        <v>2111</v>
      </c>
      <c r="B40" s="1935" t="s">
        <v>2107</v>
      </c>
      <c r="C40" s="1934" t="s">
        <v>2122</v>
      </c>
      <c r="D40" s="1843">
        <v>10963</v>
      </c>
      <c r="E40" s="1539">
        <f t="shared" si="2"/>
        <v>10963</v>
      </c>
      <c r="F40" s="1929">
        <f t="shared" si="1"/>
        <v>10963</v>
      </c>
      <c r="G40" s="1792">
        <f t="shared" si="3"/>
        <v>0</v>
      </c>
    </row>
    <row r="41" spans="1:7" ht="30" x14ac:dyDescent="0.25">
      <c r="A41" s="1932" t="s">
        <v>2111</v>
      </c>
      <c r="B41" s="1935" t="s">
        <v>2107</v>
      </c>
      <c r="C41" s="1934" t="s">
        <v>2123</v>
      </c>
      <c r="D41" s="1843">
        <v>45129</v>
      </c>
      <c r="E41" s="1539">
        <f t="shared" si="2"/>
        <v>25000</v>
      </c>
      <c r="F41" s="1929">
        <f t="shared" si="1"/>
        <v>25000</v>
      </c>
      <c r="G41" s="1792">
        <f t="shared" si="3"/>
        <v>20129</v>
      </c>
    </row>
    <row r="42" spans="1:7" ht="30" x14ac:dyDescent="0.25">
      <c r="A42" s="1932" t="s">
        <v>2111</v>
      </c>
      <c r="B42" s="1935" t="s">
        <v>2107</v>
      </c>
      <c r="C42" s="1934" t="s">
        <v>2096</v>
      </c>
      <c r="D42" s="1843">
        <v>4570</v>
      </c>
      <c r="E42" s="1539">
        <f t="shared" si="2"/>
        <v>4570</v>
      </c>
      <c r="F42" s="1929">
        <f t="shared" si="1"/>
        <v>4570</v>
      </c>
      <c r="G42" s="1792">
        <f t="shared" si="3"/>
        <v>0</v>
      </c>
    </row>
    <row r="43" spans="1:7" ht="30" x14ac:dyDescent="0.25">
      <c r="A43" s="1932" t="s">
        <v>2124</v>
      </c>
      <c r="B43" s="1935" t="s">
        <v>2125</v>
      </c>
      <c r="C43" s="1934" t="s">
        <v>2126</v>
      </c>
      <c r="D43" s="1843">
        <v>846992</v>
      </c>
      <c r="E43" s="1539">
        <f t="shared" si="2"/>
        <v>25000</v>
      </c>
      <c r="F43" s="1929">
        <f t="shared" si="1"/>
        <v>25000</v>
      </c>
      <c r="G43" s="1792">
        <f t="shared" si="3"/>
        <v>821992</v>
      </c>
    </row>
    <row r="44" spans="1:7" x14ac:dyDescent="0.25">
      <c r="A44" s="1932" t="s">
        <v>2127</v>
      </c>
      <c r="B44" s="1935" t="s">
        <v>2128</v>
      </c>
      <c r="C44" s="1934" t="s">
        <v>2129</v>
      </c>
      <c r="D44" s="1843">
        <v>18743</v>
      </c>
      <c r="E44" s="1539">
        <f t="shared" si="2"/>
        <v>18743</v>
      </c>
      <c r="F44" s="1929">
        <f t="shared" si="1"/>
        <v>18743</v>
      </c>
      <c r="G44" s="1792">
        <f t="shared" si="3"/>
        <v>0</v>
      </c>
    </row>
    <row r="45" spans="1:7" x14ac:dyDescent="0.25">
      <c r="A45" s="1932" t="s">
        <v>2127</v>
      </c>
      <c r="B45" s="1935" t="s">
        <v>2128</v>
      </c>
      <c r="C45" s="1934" t="s">
        <v>2130</v>
      </c>
      <c r="D45" s="1843">
        <v>1746</v>
      </c>
      <c r="E45" s="1539">
        <f t="shared" si="2"/>
        <v>1746</v>
      </c>
      <c r="F45" s="1929">
        <f t="shared" si="1"/>
        <v>1746</v>
      </c>
      <c r="G45" s="1792">
        <f t="shared" si="3"/>
        <v>0</v>
      </c>
    </row>
    <row r="46" spans="1:7" x14ac:dyDescent="0.25">
      <c r="A46" s="1932" t="s">
        <v>2127</v>
      </c>
      <c r="B46" s="1935" t="s">
        <v>2128</v>
      </c>
      <c r="C46" s="1934" t="s">
        <v>2131</v>
      </c>
      <c r="D46" s="1843">
        <v>75480</v>
      </c>
      <c r="E46" s="1539">
        <f t="shared" si="2"/>
        <v>25000</v>
      </c>
      <c r="F46" s="1929">
        <f t="shared" si="1"/>
        <v>25000</v>
      </c>
      <c r="G46" s="1792">
        <f t="shared" si="3"/>
        <v>50480</v>
      </c>
    </row>
    <row r="47" spans="1:7" x14ac:dyDescent="0.25">
      <c r="A47" s="1932" t="s">
        <v>2132</v>
      </c>
      <c r="B47" s="1935" t="s">
        <v>2128</v>
      </c>
      <c r="C47" s="1934" t="s">
        <v>2133</v>
      </c>
      <c r="D47" s="1843">
        <v>14057</v>
      </c>
      <c r="E47" s="1539">
        <f t="shared" si="2"/>
        <v>14057</v>
      </c>
      <c r="F47" s="1929">
        <f t="shared" si="1"/>
        <v>14057</v>
      </c>
      <c r="G47" s="1792">
        <f t="shared" si="3"/>
        <v>0</v>
      </c>
    </row>
    <row r="48" spans="1:7" x14ac:dyDescent="0.25">
      <c r="A48" s="1932" t="s">
        <v>2132</v>
      </c>
      <c r="B48" s="1935" t="s">
        <v>2128</v>
      </c>
      <c r="C48" s="1934" t="s">
        <v>2134</v>
      </c>
      <c r="D48" s="1843">
        <v>46066</v>
      </c>
      <c r="E48" s="1539">
        <f t="shared" si="2"/>
        <v>25000</v>
      </c>
      <c r="F48" s="1929">
        <f t="shared" si="1"/>
        <v>25000</v>
      </c>
      <c r="G48" s="1792">
        <f t="shared" si="3"/>
        <v>21066</v>
      </c>
    </row>
    <row r="49" spans="1:7" x14ac:dyDescent="0.25">
      <c r="A49" s="1932" t="s">
        <v>2132</v>
      </c>
      <c r="B49" s="1935" t="s">
        <v>2128</v>
      </c>
      <c r="C49" s="1934" t="s">
        <v>2135</v>
      </c>
      <c r="D49" s="1843">
        <v>975</v>
      </c>
      <c r="E49" s="1539">
        <f t="shared" si="2"/>
        <v>975</v>
      </c>
      <c r="F49" s="1929">
        <f t="shared" si="1"/>
        <v>975</v>
      </c>
      <c r="G49" s="1792">
        <f t="shared" si="3"/>
        <v>0</v>
      </c>
    </row>
    <row r="50" spans="1:7" x14ac:dyDescent="0.25">
      <c r="A50" s="1932" t="s">
        <v>2132</v>
      </c>
      <c r="B50" s="1935" t="s">
        <v>2128</v>
      </c>
      <c r="C50" s="1934" t="s">
        <v>2136</v>
      </c>
      <c r="D50" s="1843">
        <v>1500</v>
      </c>
      <c r="E50" s="1539">
        <f t="shared" si="2"/>
        <v>1500</v>
      </c>
      <c r="F50" s="1929">
        <f t="shared" si="1"/>
        <v>1500</v>
      </c>
      <c r="G50" s="1792">
        <f t="shared" si="3"/>
        <v>0</v>
      </c>
    </row>
    <row r="51" spans="1:7" x14ac:dyDescent="0.25">
      <c r="A51" s="1932" t="s">
        <v>2132</v>
      </c>
      <c r="B51" s="1935" t="s">
        <v>2128</v>
      </c>
      <c r="C51" s="1934" t="s">
        <v>2137</v>
      </c>
      <c r="D51" s="1843">
        <v>6515</v>
      </c>
      <c r="E51" s="1539">
        <f t="shared" si="2"/>
        <v>6515</v>
      </c>
      <c r="F51" s="1929">
        <f t="shared" si="1"/>
        <v>6515</v>
      </c>
      <c r="G51" s="1792">
        <f t="shared" si="3"/>
        <v>0</v>
      </c>
    </row>
    <row r="52" spans="1:7" x14ac:dyDescent="0.25">
      <c r="A52" s="1932" t="s">
        <v>2138</v>
      </c>
      <c r="B52" s="1935" t="s">
        <v>2128</v>
      </c>
      <c r="C52" s="1934" t="s">
        <v>2139</v>
      </c>
      <c r="D52" s="1843">
        <v>6690</v>
      </c>
      <c r="E52" s="1539">
        <f t="shared" si="2"/>
        <v>6690</v>
      </c>
      <c r="F52" s="1929">
        <f t="shared" si="1"/>
        <v>6690</v>
      </c>
      <c r="G52" s="1792">
        <f t="shared" si="3"/>
        <v>0</v>
      </c>
    </row>
    <row r="53" spans="1:7" x14ac:dyDescent="0.25">
      <c r="A53" s="1932" t="s">
        <v>2138</v>
      </c>
      <c r="B53" s="1935" t="s">
        <v>2128</v>
      </c>
      <c r="C53" s="1934" t="s">
        <v>2140</v>
      </c>
      <c r="D53" s="1843">
        <v>4326</v>
      </c>
      <c r="E53" s="1539">
        <f t="shared" si="2"/>
        <v>4326</v>
      </c>
      <c r="F53" s="1929">
        <f t="shared" si="1"/>
        <v>4326</v>
      </c>
      <c r="G53" s="1792">
        <f t="shared" si="3"/>
        <v>0</v>
      </c>
    </row>
    <row r="54" spans="1:7" x14ac:dyDescent="0.25">
      <c r="A54" s="1652"/>
      <c r="B54" s="1666"/>
      <c r="C54" s="1653"/>
      <c r="D54" s="1843"/>
      <c r="E54" s="1539">
        <f t="shared" si="2"/>
        <v>0</v>
      </c>
      <c r="F54" s="1929">
        <f t="shared" si="1"/>
        <v>0</v>
      </c>
      <c r="G54" s="1792">
        <f t="shared" si="3"/>
        <v>0</v>
      </c>
    </row>
    <row r="55" spans="1:7" x14ac:dyDescent="0.25">
      <c r="A55" s="1652"/>
      <c r="B55" s="1666"/>
      <c r="C55" s="1653"/>
      <c r="D55" s="1843"/>
      <c r="E55" s="1539">
        <f t="shared" si="2"/>
        <v>0</v>
      </c>
      <c r="F55" s="1929">
        <f t="shared" si="1"/>
        <v>0</v>
      </c>
      <c r="G55" s="1792">
        <f t="shared" si="3"/>
        <v>0</v>
      </c>
    </row>
    <row r="56" spans="1:7" x14ac:dyDescent="0.25">
      <c r="A56" s="1652"/>
      <c r="B56" s="1666"/>
      <c r="C56" s="1653"/>
      <c r="D56" s="1843"/>
      <c r="E56" s="1539">
        <f t="shared" si="2"/>
        <v>0</v>
      </c>
      <c r="F56" s="1929">
        <f t="shared" si="1"/>
        <v>0</v>
      </c>
      <c r="G56" s="1792">
        <f t="shared" si="3"/>
        <v>0</v>
      </c>
    </row>
    <row r="57" spans="1:7" x14ac:dyDescent="0.25">
      <c r="A57" s="1652"/>
      <c r="B57" s="1666"/>
      <c r="C57" s="1653"/>
      <c r="D57" s="1843"/>
      <c r="E57" s="1539">
        <f t="shared" si="2"/>
        <v>0</v>
      </c>
      <c r="F57" s="1929">
        <f t="shared" si="1"/>
        <v>0</v>
      </c>
      <c r="G57" s="1792">
        <f t="shared" si="3"/>
        <v>0</v>
      </c>
    </row>
    <row r="58" spans="1:7" x14ac:dyDescent="0.25">
      <c r="A58" s="1652"/>
      <c r="B58" s="1666"/>
      <c r="C58" s="1653"/>
      <c r="D58" s="1843"/>
      <c r="E58" s="1539">
        <f t="shared" si="2"/>
        <v>0</v>
      </c>
      <c r="F58" s="1929">
        <f t="shared" si="1"/>
        <v>0</v>
      </c>
      <c r="G58" s="1792">
        <f t="shared" si="3"/>
        <v>0</v>
      </c>
    </row>
    <row r="59" spans="1:7" x14ac:dyDescent="0.25">
      <c r="A59" s="1652"/>
      <c r="B59" s="1666"/>
      <c r="C59" s="1653"/>
      <c r="D59" s="1843"/>
      <c r="E59" s="1539">
        <f t="shared" si="2"/>
        <v>0</v>
      </c>
      <c r="F59" s="1929">
        <f t="shared" si="1"/>
        <v>0</v>
      </c>
      <c r="G59" s="1792">
        <f t="shared" si="3"/>
        <v>0</v>
      </c>
    </row>
    <row r="60" spans="1:7" x14ac:dyDescent="0.25">
      <c r="A60" s="1652"/>
      <c r="B60" s="1666"/>
      <c r="C60" s="1653"/>
      <c r="D60" s="1843"/>
      <c r="E60" s="1539">
        <f t="shared" si="2"/>
        <v>0</v>
      </c>
      <c r="F60" s="1929">
        <f t="shared" si="1"/>
        <v>0</v>
      </c>
      <c r="G60" s="1792">
        <f t="shared" si="3"/>
        <v>0</v>
      </c>
    </row>
    <row r="61" spans="1:7" x14ac:dyDescent="0.25">
      <c r="A61" s="1652"/>
      <c r="B61" s="1666"/>
      <c r="C61" s="1653"/>
      <c r="D61" s="1843"/>
      <c r="E61" s="1539">
        <f t="shared" si="2"/>
        <v>0</v>
      </c>
      <c r="F61" s="1929">
        <f t="shared" si="1"/>
        <v>0</v>
      </c>
      <c r="G61" s="1792">
        <f t="shared" si="3"/>
        <v>0</v>
      </c>
    </row>
    <row r="62" spans="1:7" x14ac:dyDescent="0.25">
      <c r="A62" s="1652"/>
      <c r="B62" s="1666"/>
      <c r="C62" s="1653"/>
      <c r="D62" s="1843"/>
      <c r="E62" s="1539">
        <f t="shared" si="2"/>
        <v>0</v>
      </c>
      <c r="F62" s="1929">
        <f t="shared" si="1"/>
        <v>0</v>
      </c>
      <c r="G62" s="1792">
        <f t="shared" si="3"/>
        <v>0</v>
      </c>
    </row>
    <row r="63" spans="1:7" x14ac:dyDescent="0.25">
      <c r="A63" s="1652"/>
      <c r="B63" s="1666"/>
      <c r="C63" s="1653"/>
      <c r="D63" s="1843"/>
      <c r="E63" s="1539">
        <f t="shared" si="2"/>
        <v>0</v>
      </c>
      <c r="F63" s="1929">
        <f t="shared" si="1"/>
        <v>0</v>
      </c>
      <c r="G63" s="1792">
        <f t="shared" si="3"/>
        <v>0</v>
      </c>
    </row>
    <row r="64" spans="1:7" x14ac:dyDescent="0.25">
      <c r="A64" s="1654"/>
      <c r="B64" s="1666"/>
      <c r="C64" s="1655"/>
      <c r="D64" s="1843"/>
      <c r="E64" s="1539">
        <f t="shared" si="2"/>
        <v>0</v>
      </c>
      <c r="F64" s="1929">
        <f t="shared" si="1"/>
        <v>0</v>
      </c>
      <c r="G64" s="1792">
        <f t="shared" si="3"/>
        <v>0</v>
      </c>
    </row>
    <row r="65" spans="1:7" x14ac:dyDescent="0.25">
      <c r="A65" s="1652"/>
      <c r="B65" s="1666"/>
      <c r="C65" s="1653"/>
      <c r="D65" s="1843"/>
      <c r="E65" s="1539">
        <f t="shared" si="2"/>
        <v>0</v>
      </c>
      <c r="F65" s="1929">
        <f t="shared" si="1"/>
        <v>0</v>
      </c>
      <c r="G65" s="1792">
        <f t="shared" si="3"/>
        <v>0</v>
      </c>
    </row>
    <row r="66" spans="1:7" x14ac:dyDescent="0.25">
      <c r="A66" s="1652"/>
      <c r="B66" s="1666"/>
      <c r="C66" s="1653"/>
      <c r="D66" s="1843"/>
      <c r="E66" s="1539">
        <f t="shared" si="2"/>
        <v>0</v>
      </c>
      <c r="F66" s="1929">
        <f t="shared" si="1"/>
        <v>0</v>
      </c>
      <c r="G66" s="1792">
        <f t="shared" si="3"/>
        <v>0</v>
      </c>
    </row>
    <row r="67" spans="1:7" x14ac:dyDescent="0.25">
      <c r="A67" s="1652"/>
      <c r="B67" s="1666"/>
      <c r="C67" s="1653"/>
      <c r="D67" s="1843"/>
      <c r="E67" s="1539">
        <f t="shared" si="2"/>
        <v>0</v>
      </c>
      <c r="F67" s="1929">
        <f t="shared" si="1"/>
        <v>0</v>
      </c>
      <c r="G67" s="1792">
        <f t="shared" si="3"/>
        <v>0</v>
      </c>
    </row>
    <row r="68" spans="1:7" x14ac:dyDescent="0.25">
      <c r="A68" s="1652"/>
      <c r="B68" s="1666"/>
      <c r="C68" s="1653"/>
      <c r="D68" s="1843"/>
      <c r="E68" s="1539">
        <f t="shared" si="2"/>
        <v>0</v>
      </c>
      <c r="F68" s="1929">
        <f t="shared" si="1"/>
        <v>0</v>
      </c>
      <c r="G68" s="1792">
        <f t="shared" si="3"/>
        <v>0</v>
      </c>
    </row>
    <row r="69" spans="1:7" x14ac:dyDescent="0.25">
      <c r="A69" s="1652"/>
      <c r="B69" s="1666"/>
      <c r="C69" s="1653"/>
      <c r="D69" s="1843"/>
      <c r="E69" s="1539">
        <f t="shared" si="2"/>
        <v>0</v>
      </c>
      <c r="F69" s="1929">
        <f t="shared" si="1"/>
        <v>0</v>
      </c>
      <c r="G69" s="1792">
        <f t="shared" si="3"/>
        <v>0</v>
      </c>
    </row>
    <row r="70" spans="1:7" x14ac:dyDescent="0.25">
      <c r="A70" s="1652"/>
      <c r="B70" s="1666"/>
      <c r="C70" s="1653"/>
      <c r="D70" s="1843"/>
      <c r="E70" s="1539">
        <f t="shared" si="2"/>
        <v>0</v>
      </c>
      <c r="F70" s="1929">
        <f t="shared" si="1"/>
        <v>0</v>
      </c>
      <c r="G70" s="1792">
        <f t="shared" si="3"/>
        <v>0</v>
      </c>
    </row>
    <row r="71" spans="1:7" x14ac:dyDescent="0.25">
      <c r="A71" s="1652"/>
      <c r="B71" s="1666"/>
      <c r="C71" s="1653"/>
      <c r="D71" s="1843"/>
      <c r="E71" s="1539">
        <f t="shared" si="2"/>
        <v>0</v>
      </c>
      <c r="F71" s="1929">
        <f t="shared" si="1"/>
        <v>0</v>
      </c>
      <c r="G71" s="1792">
        <f t="shared" si="3"/>
        <v>0</v>
      </c>
    </row>
    <row r="72" spans="1:7" x14ac:dyDescent="0.25">
      <c r="A72" s="1652"/>
      <c r="B72" s="1666"/>
      <c r="C72" s="1653"/>
      <c r="D72" s="1843"/>
      <c r="E72" s="1539">
        <f t="shared" si="2"/>
        <v>0</v>
      </c>
      <c r="F72" s="1929">
        <f t="shared" si="1"/>
        <v>0</v>
      </c>
      <c r="G72" s="1792">
        <f t="shared" si="3"/>
        <v>0</v>
      </c>
    </row>
    <row r="73" spans="1:7" x14ac:dyDescent="0.25">
      <c r="A73" s="1652"/>
      <c r="B73" s="1666"/>
      <c r="C73" s="1653"/>
      <c r="D73" s="1843"/>
      <c r="E73" s="1539">
        <f t="shared" ref="E73:E84" si="4">IF(D73&lt;=25000,D73,IF(D73&gt;25000,25000,0))</f>
        <v>0</v>
      </c>
      <c r="F73" s="1929">
        <f t="shared" si="1"/>
        <v>0</v>
      </c>
      <c r="G73" s="1792">
        <f t="shared" ref="G73:G84" si="5">IF(F73=0,0,D73-F73)</f>
        <v>0</v>
      </c>
    </row>
    <row r="74" spans="1:7" x14ac:dyDescent="0.25">
      <c r="A74" s="1652"/>
      <c r="B74" s="1666"/>
      <c r="C74" s="1653"/>
      <c r="D74" s="1843"/>
      <c r="E74" s="1539">
        <f t="shared" si="4"/>
        <v>0</v>
      </c>
      <c r="F74" s="1929">
        <f t="shared" si="1"/>
        <v>0</v>
      </c>
      <c r="G74" s="1792">
        <f t="shared" si="5"/>
        <v>0</v>
      </c>
    </row>
    <row r="75" spans="1:7" x14ac:dyDescent="0.25">
      <c r="A75" s="1652"/>
      <c r="B75" s="1666"/>
      <c r="C75" s="1653"/>
      <c r="D75" s="1843"/>
      <c r="E75" s="1539">
        <f t="shared" si="4"/>
        <v>0</v>
      </c>
      <c r="F75" s="1929">
        <f t="shared" si="1"/>
        <v>0</v>
      </c>
      <c r="G75" s="1792">
        <f t="shared" si="5"/>
        <v>0</v>
      </c>
    </row>
    <row r="76" spans="1:7" x14ac:dyDescent="0.25">
      <c r="A76" s="1652"/>
      <c r="B76" s="1666"/>
      <c r="C76" s="1653"/>
      <c r="D76" s="1843"/>
      <c r="E76" s="1539">
        <f t="shared" si="4"/>
        <v>0</v>
      </c>
      <c r="F76" s="1929">
        <f t="shared" si="1"/>
        <v>0</v>
      </c>
      <c r="G76" s="1792">
        <f t="shared" si="5"/>
        <v>0</v>
      </c>
    </row>
    <row r="77" spans="1:7" x14ac:dyDescent="0.25">
      <c r="A77" s="1652"/>
      <c r="B77" s="1666"/>
      <c r="C77" s="1653"/>
      <c r="D77" s="1843"/>
      <c r="E77" s="1539">
        <f t="shared" si="4"/>
        <v>0</v>
      </c>
      <c r="F77" s="1929">
        <f t="shared" si="1"/>
        <v>0</v>
      </c>
      <c r="G77" s="1792">
        <f t="shared" si="5"/>
        <v>0</v>
      </c>
    </row>
    <row r="78" spans="1:7" x14ac:dyDescent="0.25">
      <c r="A78" s="1652"/>
      <c r="B78" s="1666"/>
      <c r="C78" s="1653"/>
      <c r="D78" s="1843"/>
      <c r="E78" s="1539">
        <f t="shared" si="4"/>
        <v>0</v>
      </c>
      <c r="F78" s="1929">
        <f t="shared" si="1"/>
        <v>0</v>
      </c>
      <c r="G78" s="1792">
        <f t="shared" si="5"/>
        <v>0</v>
      </c>
    </row>
    <row r="79" spans="1:7" x14ac:dyDescent="0.25">
      <c r="A79" s="1652"/>
      <c r="B79" s="1666"/>
      <c r="C79" s="1653"/>
      <c r="D79" s="1843"/>
      <c r="E79" s="1539">
        <f t="shared" si="4"/>
        <v>0</v>
      </c>
      <c r="F79" s="1929">
        <f t="shared" si="1"/>
        <v>0</v>
      </c>
      <c r="G79" s="1792">
        <f t="shared" si="5"/>
        <v>0</v>
      </c>
    </row>
    <row r="80" spans="1:7" x14ac:dyDescent="0.25">
      <c r="A80" s="1652"/>
      <c r="B80" s="1666"/>
      <c r="C80" s="1653"/>
      <c r="D80" s="1843"/>
      <c r="E80" s="1539">
        <f t="shared" si="4"/>
        <v>0</v>
      </c>
      <c r="F80" s="1929">
        <f t="shared" si="1"/>
        <v>0</v>
      </c>
      <c r="G80" s="1792">
        <f t="shared" si="5"/>
        <v>0</v>
      </c>
    </row>
    <row r="81" spans="1:7" x14ac:dyDescent="0.25">
      <c r="A81" s="1652"/>
      <c r="B81" s="1666"/>
      <c r="C81" s="1653"/>
      <c r="D81" s="1843"/>
      <c r="E81" s="1539">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29">
        <f t="shared" si="6"/>
        <v>0</v>
      </c>
      <c r="G82" s="1792">
        <f t="shared" si="5"/>
        <v>0</v>
      </c>
    </row>
    <row r="83" spans="1:7" x14ac:dyDescent="0.25">
      <c r="A83" s="1652"/>
      <c r="B83" s="1666"/>
      <c r="C83" s="1653"/>
      <c r="D83" s="1843"/>
      <c r="E83" s="1539">
        <f t="shared" si="4"/>
        <v>0</v>
      </c>
      <c r="F83" s="1929">
        <f t="shared" si="6"/>
        <v>0</v>
      </c>
      <c r="G83" s="1792">
        <f t="shared" si="5"/>
        <v>0</v>
      </c>
    </row>
    <row r="84" spans="1:7" x14ac:dyDescent="0.25">
      <c r="A84" s="1652"/>
      <c r="B84" s="1666"/>
      <c r="C84" s="1653"/>
      <c r="D84" s="1843"/>
      <c r="E84" s="1539">
        <f t="shared" si="4"/>
        <v>0</v>
      </c>
      <c r="F84" s="1929">
        <f t="shared" si="6"/>
        <v>0</v>
      </c>
      <c r="G84" s="1792">
        <f t="shared" si="5"/>
        <v>0</v>
      </c>
    </row>
    <row r="85" spans="1:7" x14ac:dyDescent="0.25">
      <c r="A85" s="1652"/>
      <c r="B85" s="1666"/>
      <c r="C85" s="1653"/>
      <c r="D85" s="1843"/>
      <c r="E85" s="1539">
        <f t="shared" si="2"/>
        <v>0</v>
      </c>
      <c r="F85" s="1929">
        <f t="shared" si="6"/>
        <v>0</v>
      </c>
      <c r="G85" s="1792">
        <f t="shared" si="3"/>
        <v>0</v>
      </c>
    </row>
    <row r="86" spans="1:7" x14ac:dyDescent="0.25">
      <c r="A86" s="1652"/>
      <c r="B86" s="1666"/>
      <c r="C86" s="1653"/>
      <c r="D86" s="1843"/>
      <c r="E86" s="1539">
        <f t="shared" si="2"/>
        <v>0</v>
      </c>
      <c r="F86" s="1929">
        <f t="shared" si="6"/>
        <v>0</v>
      </c>
      <c r="G86" s="1792">
        <f t="shared" si="3"/>
        <v>0</v>
      </c>
    </row>
    <row r="87" spans="1:7" x14ac:dyDescent="0.25">
      <c r="A87" s="1652"/>
      <c r="B87" s="1666"/>
      <c r="C87" s="1653"/>
      <c r="D87" s="1843"/>
      <c r="E87" s="1539">
        <f t="shared" si="2"/>
        <v>0</v>
      </c>
      <c r="F87" s="1929">
        <f t="shared" si="6"/>
        <v>0</v>
      </c>
      <c r="G87" s="1792">
        <f t="shared" si="3"/>
        <v>0</v>
      </c>
    </row>
    <row r="88" spans="1:7" x14ac:dyDescent="0.25">
      <c r="A88" s="1652"/>
      <c r="B88" s="1666"/>
      <c r="C88" s="1653"/>
      <c r="D88" s="1843"/>
      <c r="E88" s="1539">
        <f t="shared" si="2"/>
        <v>0</v>
      </c>
      <c r="F88" s="1929">
        <f t="shared" si="6"/>
        <v>0</v>
      </c>
      <c r="G88" s="1792">
        <f t="shared" si="3"/>
        <v>0</v>
      </c>
    </row>
    <row r="89" spans="1:7" x14ac:dyDescent="0.25">
      <c r="A89" s="1652"/>
      <c r="B89" s="1666"/>
      <c r="C89" s="1653"/>
      <c r="D89" s="1843"/>
      <c r="E89" s="1539">
        <f t="shared" si="2"/>
        <v>0</v>
      </c>
      <c r="F89" s="1929">
        <f t="shared" si="6"/>
        <v>0</v>
      </c>
      <c r="G89" s="1792">
        <f t="shared" si="3"/>
        <v>0</v>
      </c>
    </row>
    <row r="90" spans="1:7" x14ac:dyDescent="0.25">
      <c r="A90" s="1652"/>
      <c r="B90" s="1666"/>
      <c r="C90" s="1653"/>
      <c r="D90" s="1843"/>
      <c r="E90" s="1539">
        <f t="shared" si="2"/>
        <v>0</v>
      </c>
      <c r="F90" s="1929">
        <f t="shared" si="6"/>
        <v>0</v>
      </c>
      <c r="G90" s="1792">
        <f t="shared" si="3"/>
        <v>0</v>
      </c>
    </row>
    <row r="91" spans="1:7" x14ac:dyDescent="0.25">
      <c r="A91" s="1652"/>
      <c r="B91" s="1666"/>
      <c r="C91" s="1653"/>
      <c r="D91" s="1843"/>
      <c r="E91" s="1539">
        <f t="shared" si="2"/>
        <v>0</v>
      </c>
      <c r="F91" s="1929">
        <f t="shared" si="6"/>
        <v>0</v>
      </c>
      <c r="G91" s="1792">
        <f t="shared" si="3"/>
        <v>0</v>
      </c>
    </row>
    <row r="92" spans="1:7" x14ac:dyDescent="0.25">
      <c r="A92" s="1652"/>
      <c r="B92" s="1666"/>
      <c r="C92" s="1653"/>
      <c r="D92" s="1843"/>
      <c r="E92" s="1539">
        <f t="shared" si="2"/>
        <v>0</v>
      </c>
      <c r="F92" s="1929">
        <f t="shared" si="6"/>
        <v>0</v>
      </c>
      <c r="G92" s="1792">
        <f t="shared" si="3"/>
        <v>0</v>
      </c>
    </row>
    <row r="93" spans="1:7" x14ac:dyDescent="0.25">
      <c r="A93" s="1652"/>
      <c r="B93" s="1666"/>
      <c r="C93" s="1653"/>
      <c r="D93" s="1843"/>
      <c r="E93" s="1539">
        <f t="shared" ref="E93" si="7">IF(D93&lt;=25000,D93,IF(D93&gt;25000,25000,0))</f>
        <v>0</v>
      </c>
      <c r="F93" s="1929">
        <f t="shared" si="6"/>
        <v>0</v>
      </c>
      <c r="G93" s="1792">
        <f t="shared" ref="G93" si="8">IF(F93=0,0,D93-F93)</f>
        <v>0</v>
      </c>
    </row>
    <row r="94" spans="1:7" x14ac:dyDescent="0.25">
      <c r="A94" s="1652"/>
      <c r="B94" s="1666"/>
      <c r="C94" s="1653"/>
      <c r="D94" s="1843"/>
      <c r="E94" s="1539">
        <f t="shared" si="2"/>
        <v>0</v>
      </c>
      <c r="F94" s="1929">
        <f t="shared" si="6"/>
        <v>0</v>
      </c>
      <c r="G94" s="1792">
        <f t="shared" si="3"/>
        <v>0</v>
      </c>
    </row>
    <row r="95" spans="1:7" x14ac:dyDescent="0.25">
      <c r="A95" s="1652"/>
      <c r="B95" s="1666"/>
      <c r="C95" s="1653"/>
      <c r="D95" s="1843"/>
      <c r="E95" s="1539">
        <f t="shared" ref="E95:E98" si="9">IF(D95&lt;=25000,D95,IF(D95&gt;25000,25000,0))</f>
        <v>0</v>
      </c>
      <c r="F95" s="1929">
        <f t="shared" si="6"/>
        <v>0</v>
      </c>
      <c r="G95" s="1792">
        <f t="shared" ref="G95:G98" si="10">IF(F95=0,0,D95-F95)</f>
        <v>0</v>
      </c>
    </row>
    <row r="96" spans="1:7" x14ac:dyDescent="0.25">
      <c r="A96" s="1652"/>
      <c r="B96" s="1666"/>
      <c r="C96" s="1653"/>
      <c r="D96" s="1843"/>
      <c r="E96" s="1539">
        <f t="shared" si="9"/>
        <v>0</v>
      </c>
      <c r="F96" s="1929">
        <f t="shared" si="6"/>
        <v>0</v>
      </c>
      <c r="G96" s="1792">
        <f t="shared" si="10"/>
        <v>0</v>
      </c>
    </row>
    <row r="97" spans="1:7" x14ac:dyDescent="0.25">
      <c r="A97" s="1652"/>
      <c r="B97" s="1666"/>
      <c r="C97" s="1653"/>
      <c r="D97" s="1843"/>
      <c r="E97" s="1539">
        <f t="shared" si="9"/>
        <v>0</v>
      </c>
      <c r="F97" s="1929">
        <f t="shared" si="6"/>
        <v>0</v>
      </c>
      <c r="G97" s="1792">
        <f t="shared" si="10"/>
        <v>0</v>
      </c>
    </row>
    <row r="98" spans="1:7" x14ac:dyDescent="0.25">
      <c r="A98" s="1652"/>
      <c r="B98" s="1666"/>
      <c r="C98" s="1653"/>
      <c r="D98" s="1843"/>
      <c r="E98" s="1539">
        <f t="shared" si="9"/>
        <v>0</v>
      </c>
      <c r="F98" s="1929">
        <f t="shared" si="6"/>
        <v>0</v>
      </c>
      <c r="G98" s="1792">
        <f t="shared" si="10"/>
        <v>0</v>
      </c>
    </row>
    <row r="99" spans="1:7" x14ac:dyDescent="0.25">
      <c r="A99" s="1652"/>
      <c r="B99" s="1666"/>
      <c r="C99" s="1653"/>
      <c r="D99" s="1843"/>
      <c r="E99" s="1539">
        <f t="shared" ref="E99" si="11">IF(D99&lt;=25000,D99,IF(D99&gt;25000,25000,0))</f>
        <v>0</v>
      </c>
      <c r="F99" s="1929">
        <f t="shared" si="6"/>
        <v>0</v>
      </c>
      <c r="G99" s="1792">
        <f t="shared" ref="G99" si="12">IF(F99=0,0,D99-F99)</f>
        <v>0</v>
      </c>
    </row>
    <row r="100" spans="1:7" x14ac:dyDescent="0.25">
      <c r="A100" s="1652"/>
      <c r="B100" s="1666"/>
      <c r="C100" s="1653"/>
      <c r="D100" s="1843"/>
      <c r="E100" s="1539">
        <f t="shared" ref="E100:E112" si="13">IF(D100&lt;=25000,D100,IF(D100&gt;25000,25000,0))</f>
        <v>0</v>
      </c>
      <c r="F100" s="1929">
        <f t="shared" si="6"/>
        <v>0</v>
      </c>
      <c r="G100" s="1792">
        <f t="shared" ref="G100:G112" si="14">IF(F100=0,0,D100-F100)</f>
        <v>0</v>
      </c>
    </row>
    <row r="101" spans="1:7" x14ac:dyDescent="0.25">
      <c r="A101" s="1652"/>
      <c r="B101" s="1666"/>
      <c r="C101" s="1653"/>
      <c r="D101" s="1843"/>
      <c r="E101" s="1539">
        <f t="shared" si="13"/>
        <v>0</v>
      </c>
      <c r="F101" s="1929">
        <f t="shared" si="6"/>
        <v>0</v>
      </c>
      <c r="G101" s="1792">
        <f t="shared" si="14"/>
        <v>0</v>
      </c>
    </row>
    <row r="102" spans="1:7" x14ac:dyDescent="0.25">
      <c r="A102" s="1652"/>
      <c r="B102" s="1666"/>
      <c r="C102" s="1653"/>
      <c r="D102" s="1843"/>
      <c r="E102" s="1539">
        <f t="shared" si="13"/>
        <v>0</v>
      </c>
      <c r="F102" s="1929">
        <f t="shared" si="6"/>
        <v>0</v>
      </c>
      <c r="G102" s="1792">
        <f t="shared" si="14"/>
        <v>0</v>
      </c>
    </row>
    <row r="103" spans="1:7" x14ac:dyDescent="0.25">
      <c r="A103" s="1652"/>
      <c r="B103" s="1666"/>
      <c r="C103" s="1653"/>
      <c r="D103" s="1843"/>
      <c r="E103" s="1539">
        <f t="shared" si="13"/>
        <v>0</v>
      </c>
      <c r="F103" s="1929">
        <f t="shared" si="6"/>
        <v>0</v>
      </c>
      <c r="G103" s="1792">
        <f t="shared" si="14"/>
        <v>0</v>
      </c>
    </row>
    <row r="104" spans="1:7" x14ac:dyDescent="0.25">
      <c r="A104" s="1652"/>
      <c r="B104" s="1666"/>
      <c r="C104" s="1653"/>
      <c r="D104" s="1843"/>
      <c r="E104" s="1539">
        <f t="shared" si="13"/>
        <v>0</v>
      </c>
      <c r="F104" s="1929">
        <f t="shared" si="6"/>
        <v>0</v>
      </c>
      <c r="G104" s="1792">
        <f t="shared" si="14"/>
        <v>0</v>
      </c>
    </row>
    <row r="105" spans="1:7" x14ac:dyDescent="0.25">
      <c r="A105" s="1652"/>
      <c r="B105" s="1666"/>
      <c r="C105" s="1653"/>
      <c r="D105" s="1843"/>
      <c r="E105" s="1539">
        <f t="shared" si="13"/>
        <v>0</v>
      </c>
      <c r="F105" s="1929">
        <f t="shared" si="6"/>
        <v>0</v>
      </c>
      <c r="G105" s="1792">
        <f t="shared" si="14"/>
        <v>0</v>
      </c>
    </row>
    <row r="106" spans="1:7" x14ac:dyDescent="0.25">
      <c r="A106" s="1652"/>
      <c r="B106" s="1666"/>
      <c r="C106" s="1653"/>
      <c r="D106" s="1843"/>
      <c r="E106" s="1539">
        <f t="shared" si="13"/>
        <v>0</v>
      </c>
      <c r="F106" s="1929">
        <f t="shared" si="6"/>
        <v>0</v>
      </c>
      <c r="G106" s="1792">
        <f t="shared" si="14"/>
        <v>0</v>
      </c>
    </row>
    <row r="107" spans="1:7" x14ac:dyDescent="0.25">
      <c r="A107" s="1652"/>
      <c r="B107" s="1666"/>
      <c r="C107" s="1653"/>
      <c r="D107" s="1843"/>
      <c r="E107" s="1539">
        <f t="shared" si="13"/>
        <v>0</v>
      </c>
      <c r="F107" s="1929">
        <f t="shared" si="6"/>
        <v>0</v>
      </c>
      <c r="G107" s="1792">
        <f t="shared" si="14"/>
        <v>0</v>
      </c>
    </row>
    <row r="108" spans="1:7" x14ac:dyDescent="0.25">
      <c r="A108" s="1652"/>
      <c r="B108" s="1666"/>
      <c r="C108" s="1653"/>
      <c r="D108" s="1843"/>
      <c r="E108" s="1539">
        <f t="shared" si="13"/>
        <v>0</v>
      </c>
      <c r="F108" s="1929">
        <f t="shared" si="6"/>
        <v>0</v>
      </c>
      <c r="G108" s="1792">
        <f t="shared" si="14"/>
        <v>0</v>
      </c>
    </row>
    <row r="109" spans="1:7" x14ac:dyDescent="0.25">
      <c r="A109" s="1652"/>
      <c r="B109" s="1666"/>
      <c r="C109" s="1653"/>
      <c r="D109" s="1843"/>
      <c r="E109" s="1539">
        <f t="shared" si="13"/>
        <v>0</v>
      </c>
      <c r="F109" s="1929">
        <f t="shared" si="6"/>
        <v>0</v>
      </c>
      <c r="G109" s="1792">
        <f t="shared" si="14"/>
        <v>0</v>
      </c>
    </row>
    <row r="110" spans="1:7" x14ac:dyDescent="0.25">
      <c r="A110" s="1652"/>
      <c r="B110" s="1666"/>
      <c r="C110" s="1653"/>
      <c r="D110" s="1843"/>
      <c r="E110" s="1539">
        <f t="shared" si="13"/>
        <v>0</v>
      </c>
      <c r="F110" s="1929">
        <f t="shared" si="6"/>
        <v>0</v>
      </c>
      <c r="G110" s="1792">
        <f t="shared" si="14"/>
        <v>0</v>
      </c>
    </row>
    <row r="111" spans="1:7" x14ac:dyDescent="0.25">
      <c r="A111" s="1652"/>
      <c r="B111" s="1666"/>
      <c r="C111" s="1653"/>
      <c r="D111" s="1843"/>
      <c r="E111" s="1539">
        <f t="shared" si="13"/>
        <v>0</v>
      </c>
      <c r="F111" s="1929">
        <f t="shared" si="6"/>
        <v>0</v>
      </c>
      <c r="G111" s="1792">
        <f t="shared" si="14"/>
        <v>0</v>
      </c>
    </row>
    <row r="112" spans="1:7" x14ac:dyDescent="0.25">
      <c r="A112" s="1652"/>
      <c r="B112" s="1666"/>
      <c r="C112" s="1653"/>
      <c r="D112" s="1843"/>
      <c r="E112" s="1539">
        <f t="shared" si="13"/>
        <v>0</v>
      </c>
      <c r="F112" s="1929">
        <f t="shared" si="6"/>
        <v>0</v>
      </c>
      <c r="G112" s="1792">
        <f t="shared" si="14"/>
        <v>0</v>
      </c>
    </row>
    <row r="113" spans="1:7" x14ac:dyDescent="0.25">
      <c r="A113" s="1652"/>
      <c r="B113" s="1666"/>
      <c r="C113" s="1653"/>
      <c r="D113" s="1843"/>
      <c r="E113" s="1539">
        <f t="shared" ref="E113:E125" si="15">IF(D113&lt;=25000,D113,IF(D113&gt;25000,25000,0))</f>
        <v>0</v>
      </c>
      <c r="F113" s="1929">
        <f t="shared" si="6"/>
        <v>0</v>
      </c>
      <c r="G113" s="1792">
        <f t="shared" ref="G113:G125" si="16">IF(F113=0,0,D113-F113)</f>
        <v>0</v>
      </c>
    </row>
    <row r="114" spans="1:7" x14ac:dyDescent="0.25">
      <c r="A114" s="1652"/>
      <c r="B114" s="1666"/>
      <c r="C114" s="1653"/>
      <c r="D114" s="1843"/>
      <c r="E114" s="1539">
        <f t="shared" si="15"/>
        <v>0</v>
      </c>
      <c r="F114" s="1929">
        <f t="shared" si="6"/>
        <v>0</v>
      </c>
      <c r="G114" s="1792">
        <f t="shared" si="16"/>
        <v>0</v>
      </c>
    </row>
    <row r="115" spans="1:7" x14ac:dyDescent="0.25">
      <c r="A115" s="1652"/>
      <c r="B115" s="1666"/>
      <c r="C115" s="1653"/>
      <c r="D115" s="1843"/>
      <c r="E115" s="1539">
        <f t="shared" si="15"/>
        <v>0</v>
      </c>
      <c r="F115" s="1929">
        <f t="shared" si="6"/>
        <v>0</v>
      </c>
      <c r="G115" s="1792">
        <f t="shared" si="16"/>
        <v>0</v>
      </c>
    </row>
    <row r="116" spans="1:7" x14ac:dyDescent="0.25">
      <c r="A116" s="1652"/>
      <c r="B116" s="1666"/>
      <c r="C116" s="1653"/>
      <c r="D116" s="1843"/>
      <c r="E116" s="1539">
        <f t="shared" si="15"/>
        <v>0</v>
      </c>
      <c r="F116" s="1929">
        <f t="shared" si="6"/>
        <v>0</v>
      </c>
      <c r="G116" s="1792">
        <f t="shared" si="16"/>
        <v>0</v>
      </c>
    </row>
    <row r="117" spans="1:7" x14ac:dyDescent="0.25">
      <c r="A117" s="1652"/>
      <c r="B117" s="1666"/>
      <c r="C117" s="1653"/>
      <c r="D117" s="1843"/>
      <c r="E117" s="1539">
        <f t="shared" si="15"/>
        <v>0</v>
      </c>
      <c r="F117" s="1929">
        <f t="shared" si="6"/>
        <v>0</v>
      </c>
      <c r="G117" s="1792">
        <f t="shared" si="16"/>
        <v>0</v>
      </c>
    </row>
    <row r="118" spans="1:7" x14ac:dyDescent="0.25">
      <c r="A118" s="1652"/>
      <c r="B118" s="1666"/>
      <c r="C118" s="1653"/>
      <c r="D118" s="1843"/>
      <c r="E118" s="1539">
        <f t="shared" si="15"/>
        <v>0</v>
      </c>
      <c r="F118" s="1929">
        <f t="shared" si="6"/>
        <v>0</v>
      </c>
      <c r="G118" s="1792">
        <f t="shared" si="16"/>
        <v>0</v>
      </c>
    </row>
    <row r="119" spans="1:7" x14ac:dyDescent="0.25">
      <c r="A119" s="1652"/>
      <c r="B119" s="1666"/>
      <c r="C119" s="1653"/>
      <c r="D119" s="1843"/>
      <c r="E119" s="1539">
        <f t="shared" si="15"/>
        <v>0</v>
      </c>
      <c r="F119" s="1929">
        <f t="shared" si="6"/>
        <v>0</v>
      </c>
      <c r="G119" s="1792">
        <f t="shared" si="16"/>
        <v>0</v>
      </c>
    </row>
    <row r="120" spans="1:7" x14ac:dyDescent="0.25">
      <c r="A120" s="1652"/>
      <c r="B120" s="1666"/>
      <c r="C120" s="1653"/>
      <c r="D120" s="1843"/>
      <c r="E120" s="1539">
        <f t="shared" si="15"/>
        <v>0</v>
      </c>
      <c r="F120" s="1929">
        <f t="shared" si="6"/>
        <v>0</v>
      </c>
      <c r="G120" s="1792">
        <f t="shared" si="16"/>
        <v>0</v>
      </c>
    </row>
    <row r="121" spans="1:7" x14ac:dyDescent="0.25">
      <c r="A121" s="1652"/>
      <c r="B121" s="1666"/>
      <c r="C121" s="1653"/>
      <c r="D121" s="1843"/>
      <c r="E121" s="1539">
        <f t="shared" si="15"/>
        <v>0</v>
      </c>
      <c r="F121" s="1929">
        <f t="shared" si="6"/>
        <v>0</v>
      </c>
      <c r="G121" s="1792">
        <f t="shared" si="16"/>
        <v>0</v>
      </c>
    </row>
    <row r="122" spans="1:7" x14ac:dyDescent="0.25">
      <c r="A122" s="1652"/>
      <c r="B122" s="1666"/>
      <c r="C122" s="1653"/>
      <c r="D122" s="1843"/>
      <c r="E122" s="1539">
        <f t="shared" si="15"/>
        <v>0</v>
      </c>
      <c r="F122" s="1929">
        <f t="shared" si="6"/>
        <v>0</v>
      </c>
      <c r="G122" s="1792">
        <f t="shared" si="16"/>
        <v>0</v>
      </c>
    </row>
    <row r="123" spans="1:7" x14ac:dyDescent="0.25">
      <c r="A123" s="1652"/>
      <c r="B123" s="1666"/>
      <c r="C123" s="1653"/>
      <c r="D123" s="1843"/>
      <c r="E123" s="1539">
        <f t="shared" si="15"/>
        <v>0</v>
      </c>
      <c r="F123" s="1929">
        <f t="shared" si="6"/>
        <v>0</v>
      </c>
      <c r="G123" s="1792">
        <f t="shared" si="16"/>
        <v>0</v>
      </c>
    </row>
    <row r="124" spans="1:7" x14ac:dyDescent="0.25">
      <c r="A124" s="1652"/>
      <c r="B124" s="1666"/>
      <c r="C124" s="1653"/>
      <c r="D124" s="1843"/>
      <c r="E124" s="1539">
        <f t="shared" si="15"/>
        <v>0</v>
      </c>
      <c r="F124" s="1929">
        <f t="shared" si="6"/>
        <v>0</v>
      </c>
      <c r="G124" s="1792">
        <f t="shared" si="16"/>
        <v>0</v>
      </c>
    </row>
    <row r="125" spans="1:7" x14ac:dyDescent="0.25">
      <c r="A125" s="1652"/>
      <c r="B125" s="1666"/>
      <c r="C125" s="1653"/>
      <c r="D125" s="1843"/>
      <c r="E125" s="1539">
        <f t="shared" si="15"/>
        <v>0</v>
      </c>
      <c r="F125" s="1929">
        <f t="shared" si="6"/>
        <v>0</v>
      </c>
      <c r="G125" s="1792">
        <f t="shared" si="16"/>
        <v>0</v>
      </c>
    </row>
    <row r="126" spans="1:7" x14ac:dyDescent="0.25">
      <c r="A126" s="1652"/>
      <c r="B126" s="1666"/>
      <c r="C126" s="1653"/>
      <c r="D126" s="1843"/>
      <c r="E126" s="1539">
        <f t="shared" ref="E126:E134" si="17">IF(D126&lt;=25000,D126,IF(D126&gt;25000,25000,0))</f>
        <v>0</v>
      </c>
      <c r="F126" s="1929">
        <f t="shared" si="6"/>
        <v>0</v>
      </c>
      <c r="G126" s="1792">
        <f t="shared" ref="G126:G134" si="18">IF(F126=0,0,D126-F126)</f>
        <v>0</v>
      </c>
    </row>
    <row r="127" spans="1:7" x14ac:dyDescent="0.25">
      <c r="A127" s="1652"/>
      <c r="B127" s="1666"/>
      <c r="C127" s="1653"/>
      <c r="D127" s="1843"/>
      <c r="E127" s="1539">
        <f t="shared" si="17"/>
        <v>0</v>
      </c>
      <c r="F127" s="1929">
        <f t="shared" si="6"/>
        <v>0</v>
      </c>
      <c r="G127" s="1792">
        <f t="shared" si="18"/>
        <v>0</v>
      </c>
    </row>
    <row r="128" spans="1:7" x14ac:dyDescent="0.25">
      <c r="A128" s="1652"/>
      <c r="B128" s="1666"/>
      <c r="C128" s="1653"/>
      <c r="D128" s="1843"/>
      <c r="E128" s="1539">
        <f t="shared" si="17"/>
        <v>0</v>
      </c>
      <c r="F128" s="1929">
        <f t="shared" si="6"/>
        <v>0</v>
      </c>
      <c r="G128" s="1792">
        <f t="shared" si="18"/>
        <v>0</v>
      </c>
    </row>
    <row r="129" spans="1:7" x14ac:dyDescent="0.25">
      <c r="A129" s="1652"/>
      <c r="B129" s="1666"/>
      <c r="C129" s="1653"/>
      <c r="D129" s="1843"/>
      <c r="E129" s="1539">
        <f t="shared" si="17"/>
        <v>0</v>
      </c>
      <c r="F129" s="1929">
        <f t="shared" si="6"/>
        <v>0</v>
      </c>
      <c r="G129" s="1792">
        <f t="shared" si="18"/>
        <v>0</v>
      </c>
    </row>
    <row r="130" spans="1:7" x14ac:dyDescent="0.25">
      <c r="A130" s="1652"/>
      <c r="B130" s="1666"/>
      <c r="C130" s="1653"/>
      <c r="D130" s="1843"/>
      <c r="E130" s="1539">
        <f t="shared" si="17"/>
        <v>0</v>
      </c>
      <c r="F130" s="1929">
        <f t="shared" si="6"/>
        <v>0</v>
      </c>
      <c r="G130" s="1792">
        <f t="shared" si="18"/>
        <v>0</v>
      </c>
    </row>
    <row r="131" spans="1:7" x14ac:dyDescent="0.25">
      <c r="A131" s="1652"/>
      <c r="B131" s="1836"/>
      <c r="C131" s="1653"/>
      <c r="D131" s="1843"/>
      <c r="E131" s="1539">
        <f t="shared" si="17"/>
        <v>0</v>
      </c>
      <c r="F131" s="1929">
        <f t="shared" si="6"/>
        <v>0</v>
      </c>
      <c r="G131" s="1792">
        <f t="shared" si="18"/>
        <v>0</v>
      </c>
    </row>
    <row r="132" spans="1:7" x14ac:dyDescent="0.25">
      <c r="A132" s="1652"/>
      <c r="B132" s="1836"/>
      <c r="C132" s="1653"/>
      <c r="D132" s="1843"/>
      <c r="E132" s="1539">
        <f t="shared" si="17"/>
        <v>0</v>
      </c>
      <c r="F132" s="1929">
        <f t="shared" si="6"/>
        <v>0</v>
      </c>
      <c r="G132" s="1792">
        <f t="shared" si="18"/>
        <v>0</v>
      </c>
    </row>
    <row r="133" spans="1:7" x14ac:dyDescent="0.25">
      <c r="A133" s="1652"/>
      <c r="B133" s="1666"/>
      <c r="C133" s="1653"/>
      <c r="D133" s="1843"/>
      <c r="E133" s="1539">
        <f t="shared" si="17"/>
        <v>0</v>
      </c>
      <c r="F133" s="1929">
        <f t="shared" si="6"/>
        <v>0</v>
      </c>
      <c r="G133" s="1792">
        <f t="shared" si="18"/>
        <v>0</v>
      </c>
    </row>
    <row r="134" spans="1:7" x14ac:dyDescent="0.25">
      <c r="A134" s="1652"/>
      <c r="B134" s="1666"/>
      <c r="C134" s="1653"/>
      <c r="D134" s="1843"/>
      <c r="E134" s="1539">
        <f t="shared" si="17"/>
        <v>0</v>
      </c>
      <c r="F134" s="1929">
        <f t="shared" si="6"/>
        <v>0</v>
      </c>
      <c r="G134" s="1792">
        <f t="shared" si="18"/>
        <v>0</v>
      </c>
    </row>
    <row r="135" spans="1:7" x14ac:dyDescent="0.25">
      <c r="A135" s="1652"/>
      <c r="B135" s="1666"/>
      <c r="C135" s="1653"/>
      <c r="D135" s="1843"/>
      <c r="E135" s="1539">
        <f t="shared" ref="E135:E139" si="19">IF(D135&lt;=25000,D135,IF(D135&gt;25000,25000,0))</f>
        <v>0</v>
      </c>
      <c r="F135" s="1929">
        <f t="shared" si="6"/>
        <v>0</v>
      </c>
      <c r="G135" s="1792">
        <f t="shared" ref="G135:G139" si="20">IF(F135=0,0,D135-F135)</f>
        <v>0</v>
      </c>
    </row>
    <row r="136" spans="1:7" x14ac:dyDescent="0.25">
      <c r="A136" s="1652"/>
      <c r="B136" s="1666"/>
      <c r="C136" s="1653"/>
      <c r="D136" s="1843"/>
      <c r="E136" s="1539">
        <f t="shared" si="19"/>
        <v>0</v>
      </c>
      <c r="F136" s="1929">
        <f t="shared" si="6"/>
        <v>0</v>
      </c>
      <c r="G136" s="1792">
        <f t="shared" si="20"/>
        <v>0</v>
      </c>
    </row>
    <row r="137" spans="1:7" x14ac:dyDescent="0.25">
      <c r="A137" s="1652"/>
      <c r="B137" s="1666"/>
      <c r="C137" s="1653"/>
      <c r="D137" s="1843"/>
      <c r="E137" s="1539">
        <f t="shared" si="19"/>
        <v>0</v>
      </c>
      <c r="F137" s="1929">
        <f t="shared" si="6"/>
        <v>0</v>
      </c>
      <c r="G137" s="1792">
        <f t="shared" si="20"/>
        <v>0</v>
      </c>
    </row>
    <row r="138" spans="1:7" x14ac:dyDescent="0.25">
      <c r="A138" s="1652"/>
      <c r="B138" s="1666"/>
      <c r="C138" s="1653"/>
      <c r="D138" s="1843"/>
      <c r="E138" s="1539">
        <f t="shared" si="19"/>
        <v>0</v>
      </c>
      <c r="F138" s="1929">
        <f t="shared" si="6"/>
        <v>0</v>
      </c>
      <c r="G138" s="1792">
        <f t="shared" si="20"/>
        <v>0</v>
      </c>
    </row>
    <row r="139" spans="1:7" x14ac:dyDescent="0.25">
      <c r="A139" s="1652"/>
      <c r="B139" s="1666"/>
      <c r="C139" s="1653"/>
      <c r="D139" s="1843"/>
      <c r="E139" s="1539">
        <f t="shared" si="19"/>
        <v>0</v>
      </c>
      <c r="F139" s="1929">
        <f t="shared" si="6"/>
        <v>0</v>
      </c>
      <c r="G139" s="1792">
        <f t="shared" si="20"/>
        <v>0</v>
      </c>
    </row>
    <row r="140" spans="1:7" x14ac:dyDescent="0.25">
      <c r="A140" s="1652"/>
      <c r="B140" s="1665"/>
      <c r="C140" s="1653"/>
      <c r="D140" s="1843"/>
      <c r="E140" s="1539">
        <f t="shared" si="2"/>
        <v>0</v>
      </c>
      <c r="F140" s="1929">
        <f t="shared" si="6"/>
        <v>0</v>
      </c>
      <c r="G140" s="1792">
        <f t="shared" si="3"/>
        <v>0</v>
      </c>
    </row>
    <row r="141" spans="1:7" x14ac:dyDescent="0.25">
      <c r="A141" s="1795" t="s">
        <v>156</v>
      </c>
      <c r="B141" s="1796"/>
      <c r="C141" s="1797"/>
      <c r="D141" s="1793">
        <f>SUM(D17:D140)</f>
        <v>1383987</v>
      </c>
      <c r="E141" s="1540">
        <f t="shared" si="0"/>
        <v>25000</v>
      </c>
      <c r="F141" s="1930">
        <f>SUM(F17:F140)</f>
        <v>369908</v>
      </c>
      <c r="G141" s="1794">
        <f>SUM(G17:G140)</f>
        <v>1014079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Q16" sqref="Q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494844</v>
      </c>
      <c r="F10" s="974"/>
      <c r="G10" s="975"/>
      <c r="H10" s="162"/>
      <c r="I10" s="162"/>
    </row>
    <row r="11" spans="1:9" s="668" customFormat="1" ht="22.5" customHeight="1" x14ac:dyDescent="0.2">
      <c r="A11" s="2285" t="s">
        <v>1974</v>
      </c>
      <c r="B11" s="2286"/>
      <c r="C11" s="2286"/>
      <c r="D11" s="2287"/>
      <c r="E11" s="977">
        <v>83483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10525175</v>
      </c>
      <c r="F19" s="1798"/>
      <c r="G19" s="1800">
        <f>'Expenditures 15-22'!K33-SUM('Expenditures 15-22'!G33,'Expenditures 15-22'!I33)+'Expenditures 15-22'!D229</f>
        <v>10525175</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716162</v>
      </c>
      <c r="F21" s="1801"/>
      <c r="G21" s="1804">
        <f>'Expenditures 15-22'!K42-SUM('Expenditures 15-22'!G42,'Expenditures 15-22'!I42)+'Expenditures 15-22'!K120-SUM('Expenditures 15-22'!G120,'Expenditures 15-22'!I120)+'Expenditures 15-22'!K180-SUM('Expenditures 15-22'!G180,'Expenditures 15-22'!I180)+'Expenditures 15-22'!D238</f>
        <v>716162</v>
      </c>
      <c r="H21" s="987"/>
      <c r="I21" s="162"/>
    </row>
    <row r="22" spans="1:9" s="668" customFormat="1" ht="12" customHeight="1" x14ac:dyDescent="0.2">
      <c r="A22" s="994" t="s">
        <v>564</v>
      </c>
      <c r="B22" s="995"/>
      <c r="C22" s="993">
        <v>2200</v>
      </c>
      <c r="D22" s="1801"/>
      <c r="E22" s="1803">
        <f>'Expenditures 15-22'!K47-SUM('Expenditures 15-22'!G47,'Expenditures 15-22'!I47)+'Expenditures 15-22'!D243</f>
        <v>491028</v>
      </c>
      <c r="F22" s="1801"/>
      <c r="G22" s="1804">
        <f>'Expenditures 15-22'!K47-SUM('Expenditures 15-22'!G47,'Expenditures 15-22'!I47)+'Expenditures 15-22'!D243</f>
        <v>491028</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688041</v>
      </c>
      <c r="F23" s="1801"/>
      <c r="G23" s="1803">
        <f>'Expenditures 15-22'!K53-SUM('Expenditures 15-22'!G53,'Expenditures 15-22'!I53)+'Expenditures 15-22'!D257+'Expenditures 15-22'!K330-SUM('Expenditures 15-22'!G330,'Expenditures 15-22'!I330)</f>
        <v>688041</v>
      </c>
      <c r="H23" s="987"/>
      <c r="I23" s="162"/>
    </row>
    <row r="24" spans="1:9" s="668" customFormat="1" ht="12" customHeight="1" x14ac:dyDescent="0.2">
      <c r="A24" s="994" t="s">
        <v>566</v>
      </c>
      <c r="B24" s="995"/>
      <c r="C24" s="993">
        <v>2400</v>
      </c>
      <c r="D24" s="1801"/>
      <c r="E24" s="1803">
        <f>'Expenditures 15-22'!K57-SUM('Expenditures 15-22'!G57,'Expenditures 15-22'!I57)+'Expenditures 15-22'!D261</f>
        <v>1544735</v>
      </c>
      <c r="F24" s="1801"/>
      <c r="G24" s="1804">
        <f>'Expenditures 15-22'!K57-SUM('Expenditures 15-22'!G57,'Expenditures 15-22'!I57)+'Expenditures 15-22'!D261</f>
        <v>1544735</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145214</v>
      </c>
      <c r="E27" s="1803">
        <f>E8</f>
        <v>0</v>
      </c>
      <c r="F27" s="1803">
        <f>'Expenditures 15-22'!K60-SUM('Expenditures 15-22'!G60,'Expenditures 15-22'!I60)+'Expenditures 15-22'!D264-E8</f>
        <v>145214</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2173020</v>
      </c>
      <c r="F28" s="1805">
        <f>'Expenditures 15-22'!K61-SUM('Expenditures 15-22'!G61,'Expenditures 15-22'!I61)+'Expenditures 15-22'!K124-SUM('Expenditures 15-22'!G124,'Expenditures 15-22'!I124)+'Expenditures 15-22'!D266-E9</f>
        <v>2173020</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846236</v>
      </c>
      <c r="F29" s="1801"/>
      <c r="G29" s="1804">
        <f>'Expenditures 15-22'!K62-SUM('Expenditures 15-22'!G62,'Expenditures 15-22'!I62)+'Expenditures 15-22'!K125-SUM('Expenditures 15-22'!G125,'Expenditures 15-22'!I125)+'Expenditures 15-22'!K182-SUM('Expenditures 15-22'!G182,'Expenditures 15-22'!I182)+'Expenditures 15-22'!D267</f>
        <v>846236</v>
      </c>
      <c r="H29" s="985"/>
    </row>
    <row r="30" spans="1:9" ht="12" customHeight="1" x14ac:dyDescent="0.2">
      <c r="A30" s="994" t="s">
        <v>100</v>
      </c>
      <c r="B30" s="997"/>
      <c r="C30" s="993">
        <v>2560</v>
      </c>
      <c r="D30" s="1801"/>
      <c r="E30" s="1803">
        <f>'Expenditures 15-22'!K63-SUM('Expenditures 15-22'!G63,'Expenditures 15-22'!I63)+'Expenditures 15-22'!D268-E10</f>
        <v>527008</v>
      </c>
      <c r="F30" s="1801"/>
      <c r="G30" s="1803">
        <f>'Expenditures 15-22'!K63-SUM('Expenditures 15-22'!G63,'Expenditures 15-22'!I63)+'Expenditures 15-22'!D268-E10</f>
        <v>527008</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342611</v>
      </c>
      <c r="E37" s="1803">
        <f>E14</f>
        <v>0</v>
      </c>
      <c r="F37" s="1803">
        <f>'Expenditures 15-22'!K71-SUM('Expenditures 15-22'!G71,'Expenditures 15-22'!I71)+'Expenditures 15-22'!D276-E14</f>
        <v>342611</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453</v>
      </c>
      <c r="F38" s="1801"/>
      <c r="G38" s="1803">
        <f>'Expenditures 15-22'!K73-SUM('Expenditures 15-22'!G73,'Expenditures 15-22'!I73)+'Expenditures 15-22'!K128-SUM('Expenditures 15-22'!G128,'Expenditures 15-22'!I128)+'Expenditures 15-22'!K183-SUM('Expenditures 15-22'!G183,'Expenditures 15-22'!I183)+'Expenditures 15-22'!D278</f>
        <v>453</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39499</v>
      </c>
      <c r="F39" s="1801"/>
      <c r="G39" s="1803">
        <f>'Expenditures 15-22'!K75-SUM('Expenditures 15-22'!G75,'Expenditures 15-22'!I75)+'Expenditures 15-22'!K130-SUM('Expenditures 15-22'!G130,'Expenditures 15-22'!I130)+'Expenditures 15-22'!K185-SUM('Expenditures 15-22'!G185,'Expenditures 15-22'!I185)+'Expenditures 15-22'!D280</f>
        <v>39499</v>
      </c>
    </row>
    <row r="40" spans="1:7" ht="12" customHeight="1" x14ac:dyDescent="0.2">
      <c r="A40" s="990" t="s">
        <v>1820</v>
      </c>
      <c r="B40" s="991"/>
      <c r="C40" s="993"/>
      <c r="D40" s="1801"/>
      <c r="E40" s="1805">
        <f>-'Contracts Paid in CY 29'!G141</f>
        <v>-1014079</v>
      </c>
      <c r="F40" s="1801"/>
      <c r="G40" s="1805">
        <f>-'Contracts Paid in CY 29'!G141</f>
        <v>-1014079</v>
      </c>
    </row>
    <row r="41" spans="1:7" ht="12" customHeight="1" x14ac:dyDescent="0.2">
      <c r="A41" s="998" t="s">
        <v>156</v>
      </c>
      <c r="B41" s="999"/>
      <c r="C41" s="1000"/>
      <c r="D41" s="1805">
        <f>SUM(D19:D39)</f>
        <v>487825</v>
      </c>
      <c r="E41" s="1805">
        <f>SUM(E19:E40)</f>
        <v>16537278</v>
      </c>
      <c r="F41" s="1805">
        <f>SUM(F19:F39)</f>
        <v>2660845</v>
      </c>
      <c r="G41" s="1805">
        <f>SUM(G19:G40)</f>
        <v>14364258</v>
      </c>
    </row>
    <row r="42" spans="1:7" x14ac:dyDescent="0.2">
      <c r="A42" s="987"/>
      <c r="B42" s="162"/>
      <c r="C42" s="1001"/>
      <c r="D42" s="2283" t="s">
        <v>522</v>
      </c>
      <c r="E42" s="2284"/>
      <c r="F42" s="1002" t="s">
        <v>523</v>
      </c>
      <c r="G42" s="1003"/>
    </row>
    <row r="43" spans="1:7" ht="12" customHeight="1" x14ac:dyDescent="0.2">
      <c r="A43" s="987"/>
      <c r="B43" s="162"/>
      <c r="C43" s="1001"/>
      <c r="D43" s="1806" t="s">
        <v>473</v>
      </c>
      <c r="E43" s="1807">
        <f>D41</f>
        <v>487825</v>
      </c>
      <c r="F43" s="1806" t="s">
        <v>473</v>
      </c>
      <c r="G43" s="1807">
        <f>F41</f>
        <v>2660845</v>
      </c>
    </row>
    <row r="44" spans="1:7" ht="12" customHeight="1" x14ac:dyDescent="0.2">
      <c r="A44" s="987"/>
      <c r="B44" s="162"/>
      <c r="C44" s="1001"/>
      <c r="D44" s="1806" t="s">
        <v>474</v>
      </c>
      <c r="E44" s="1807">
        <f>E41</f>
        <v>16537278</v>
      </c>
      <c r="F44" s="1806" t="s">
        <v>474</v>
      </c>
      <c r="G44" s="1807">
        <f>G41</f>
        <v>14364258</v>
      </c>
    </row>
    <row r="45" spans="1:7" ht="12" customHeight="1" x14ac:dyDescent="0.2">
      <c r="A45" s="987"/>
      <c r="B45" s="162"/>
      <c r="C45" s="162"/>
      <c r="D45" s="1808" t="s">
        <v>1006</v>
      </c>
      <c r="E45" s="1809">
        <f>(E43/E44)</f>
        <v>2.9498506344272618E-2</v>
      </c>
      <c r="F45" s="1808" t="s">
        <v>1006</v>
      </c>
      <c r="G45" s="1809">
        <f>(G43/G44)</f>
        <v>0.18524068559615123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4" activePane="bottomLeft" state="frozen"/>
      <selection activeCell="A47" sqref="A47"/>
      <selection pane="bottomLeft" activeCell="A45" sqref="A4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2" t="s">
        <v>1379</v>
      </c>
      <c r="B1" s="2302"/>
      <c r="C1" s="2302"/>
      <c r="D1" s="2302"/>
      <c r="E1" s="2302"/>
      <c r="F1" s="2302"/>
    </row>
    <row r="2" spans="1:10" x14ac:dyDescent="0.2">
      <c r="A2" s="1884" t="s">
        <v>1909</v>
      </c>
      <c r="B2" s="1845"/>
      <c r="C2" s="1884"/>
      <c r="D2" s="1845"/>
      <c r="E2" s="1845"/>
      <c r="F2" s="1846"/>
    </row>
    <row r="3" spans="1:10" x14ac:dyDescent="0.2">
      <c r="A3" s="1884" t="s">
        <v>1975</v>
      </c>
      <c r="B3" s="1845"/>
      <c r="C3" s="1884"/>
      <c r="D3" s="1845"/>
      <c r="E3" s="1845"/>
      <c r="F3" s="1846"/>
    </row>
    <row r="4" spans="1:10" ht="3.75" customHeight="1" x14ac:dyDescent="0.2">
      <c r="A4" s="1845"/>
      <c r="B4" s="1845"/>
      <c r="C4" s="1845"/>
      <c r="D4" s="1845"/>
      <c r="E4" s="1845"/>
      <c r="F4" s="1846"/>
    </row>
    <row r="5" spans="1:10" ht="15" x14ac:dyDescent="0.25">
      <c r="A5" s="2303" t="s">
        <v>1546</v>
      </c>
      <c r="B5" s="2304"/>
      <c r="C5" s="2305"/>
      <c r="D5" s="2305"/>
      <c r="E5" s="2305"/>
      <c r="F5" s="2305"/>
    </row>
    <row r="6" spans="1:10" ht="12" customHeight="1" x14ac:dyDescent="0.25">
      <c r="A6" s="1847"/>
      <c r="B6" s="1848"/>
      <c r="C6" s="2306" t="str">
        <f>COVER!A17</f>
        <v>Herrin CUSD 4</v>
      </c>
      <c r="D6" s="2306"/>
      <c r="E6" s="2306"/>
      <c r="F6" s="1849"/>
    </row>
    <row r="7" spans="1:10" ht="11.25" customHeight="1" thickBot="1" x14ac:dyDescent="0.3">
      <c r="A7" s="1847"/>
      <c r="B7" s="1848"/>
      <c r="C7" s="2307">
        <f>COVER!A13</f>
        <v>21100004026</v>
      </c>
      <c r="D7" s="2307"/>
      <c r="E7" s="2307"/>
      <c r="F7" s="1849"/>
    </row>
    <row r="8" spans="1:10" ht="25.5" customHeight="1" thickBot="1" x14ac:dyDescent="0.25">
      <c r="A8" s="1890" t="s">
        <v>1905</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2065</v>
      </c>
      <c r="D14" s="1862" t="s">
        <v>2065</v>
      </c>
      <c r="E14" s="1865" t="s">
        <v>2065</v>
      </c>
      <c r="F14" s="1864" t="s">
        <v>2141</v>
      </c>
      <c r="H14" s="1875">
        <f t="shared" si="0"/>
        <v>5</v>
      </c>
      <c r="I14" s="1875">
        <f t="shared" si="1"/>
        <v>5</v>
      </c>
      <c r="J14" s="1875">
        <f t="shared" si="2"/>
        <v>5</v>
      </c>
    </row>
    <row r="15" spans="1:10" ht="12" customHeight="1" x14ac:dyDescent="0.2">
      <c r="A15" s="1860" t="s">
        <v>1387</v>
      </c>
      <c r="B15" s="1861"/>
      <c r="C15" s="1862" t="s">
        <v>2065</v>
      </c>
      <c r="D15" s="1862" t="s">
        <v>2065</v>
      </c>
      <c r="E15" s="1865" t="s">
        <v>2065</v>
      </c>
      <c r="F15" s="1864" t="s">
        <v>2142</v>
      </c>
      <c r="H15" s="1875">
        <f t="shared" si="0"/>
        <v>5</v>
      </c>
      <c r="I15" s="1875">
        <f t="shared" si="1"/>
        <v>5</v>
      </c>
      <c r="J15" s="1875">
        <f t="shared" si="2"/>
        <v>5</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2065</v>
      </c>
      <c r="D19" s="1862" t="s">
        <v>2065</v>
      </c>
      <c r="E19" s="1865" t="s">
        <v>2065</v>
      </c>
      <c r="F19" s="1864" t="s">
        <v>2143</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2065</v>
      </c>
      <c r="D26" s="1862" t="s">
        <v>2065</v>
      </c>
      <c r="E26" s="1865" t="s">
        <v>2065</v>
      </c>
      <c r="F26" s="1864" t="s">
        <v>2144</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2065</v>
      </c>
      <c r="D31" s="1862" t="s">
        <v>2065</v>
      </c>
      <c r="E31" s="1865" t="s">
        <v>2065</v>
      </c>
      <c r="F31" s="1864" t="s">
        <v>2144</v>
      </c>
      <c r="H31" s="1875">
        <f t="shared" si="0"/>
        <v>5</v>
      </c>
      <c r="I31" s="1875">
        <f t="shared" si="1"/>
        <v>5</v>
      </c>
      <c r="J31" s="1875">
        <f t="shared" si="2"/>
        <v>5</v>
      </c>
      <c r="L31" s="1866"/>
    </row>
    <row r="32" spans="1:12" ht="12" customHeight="1" x14ac:dyDescent="0.2">
      <c r="A32" s="1860" t="s">
        <v>1540</v>
      </c>
      <c r="B32" s="1861"/>
      <c r="C32" s="1862" t="s">
        <v>2065</v>
      </c>
      <c r="D32" s="1862" t="s">
        <v>2065</v>
      </c>
      <c r="E32" s="1865" t="s">
        <v>2065</v>
      </c>
      <c r="F32" s="1864" t="s">
        <v>2144</v>
      </c>
      <c r="H32" s="1875">
        <f t="shared" si="0"/>
        <v>5</v>
      </c>
      <c r="I32" s="1875">
        <f t="shared" si="1"/>
        <v>5</v>
      </c>
      <c r="J32" s="1875">
        <f t="shared" si="2"/>
        <v>5</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30</v>
      </c>
      <c r="I34" s="1875">
        <f>SUM(I11:I32)</f>
        <v>30</v>
      </c>
      <c r="J34" s="1875">
        <f>SUM(J11:J32)</f>
        <v>30</v>
      </c>
      <c r="K34" s="1875">
        <f>SUM(H34:J34)</f>
        <v>90</v>
      </c>
    </row>
    <row r="35" spans="1:11" ht="12" customHeight="1" x14ac:dyDescent="0.2">
      <c r="A35" s="1868" t="s">
        <v>1392</v>
      </c>
      <c r="B35" s="1869"/>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0"/>
      <c r="B39" s="1870"/>
      <c r="C39" s="1870"/>
      <c r="D39" s="1870"/>
      <c r="E39" s="1870"/>
      <c r="F39" s="1870"/>
    </row>
    <row r="40" spans="1:11" s="1867" customFormat="1" ht="12" customHeight="1" x14ac:dyDescent="0.25">
      <c r="A40" s="1871" t="s">
        <v>1391</v>
      </c>
      <c r="B40" s="1872"/>
      <c r="C40" s="2297"/>
      <c r="D40" s="2297"/>
      <c r="E40" s="2297"/>
      <c r="F40" s="2298"/>
      <c r="H40" s="1876"/>
      <c r="I40" s="1876"/>
      <c r="J40" s="1876"/>
      <c r="K40" s="1876"/>
    </row>
    <row r="41" spans="1:11" s="1867" customFormat="1" ht="12" customHeight="1" x14ac:dyDescent="0.25">
      <c r="A41" s="2299" t="s">
        <v>2145</v>
      </c>
      <c r="B41" s="2300"/>
      <c r="C41" s="2300"/>
      <c r="D41" s="2300"/>
      <c r="E41" s="2300"/>
      <c r="F41" s="2301"/>
      <c r="H41" s="1876"/>
      <c r="I41" s="1876"/>
      <c r="J41" s="1876"/>
      <c r="K41" s="1876"/>
    </row>
    <row r="42" spans="1:11" s="1867" customFormat="1" ht="12" customHeight="1" x14ac:dyDescent="0.25">
      <c r="A42" s="2299" t="s">
        <v>2146</v>
      </c>
      <c r="B42" s="2300"/>
      <c r="C42" s="2300"/>
      <c r="D42" s="2300"/>
      <c r="E42" s="2300"/>
      <c r="F42" s="2301"/>
      <c r="H42" s="1876"/>
      <c r="I42" s="1876"/>
      <c r="J42" s="1876"/>
      <c r="K42" s="1876"/>
    </row>
    <row r="43" spans="1:11" s="1867" customFormat="1" ht="15" x14ac:dyDescent="0.25">
      <c r="A43" s="2288" t="s">
        <v>2193</v>
      </c>
      <c r="B43" s="2289"/>
      <c r="C43" s="2289"/>
      <c r="D43" s="2289"/>
      <c r="E43" s="2289"/>
      <c r="F43" s="2290"/>
      <c r="H43" s="1876"/>
      <c r="I43" s="1876"/>
      <c r="J43" s="1876"/>
      <c r="K43" s="1876"/>
    </row>
    <row r="44" spans="1:11" s="1867" customFormat="1" ht="12" hidden="1" customHeight="1" x14ac:dyDescent="0.25">
      <c r="A44" s="2288"/>
      <c r="B44" s="2289"/>
      <c r="C44" s="2289"/>
      <c r="D44" s="2289"/>
      <c r="E44" s="2289"/>
      <c r="F44" s="229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1"/>
      <c r="C6" s="1641"/>
      <c r="D6" s="1641"/>
      <c r="E6" s="1642"/>
      <c r="F6" s="1015"/>
      <c r="G6" s="1009"/>
      <c r="H6" s="1016" t="s">
        <v>1028</v>
      </c>
      <c r="I6" s="2315" t="str">
        <f>COVER!A17</f>
        <v>Herrin CUSD 4</v>
      </c>
      <c r="J6" s="2316"/>
      <c r="Q6" s="1663"/>
    </row>
    <row r="7" spans="1:17" x14ac:dyDescent="0.2">
      <c r="A7" s="2317" t="s">
        <v>869</v>
      </c>
      <c r="B7" s="2318"/>
      <c r="C7" s="2318"/>
      <c r="D7" s="2318"/>
      <c r="E7" s="2319"/>
      <c r="F7" s="1017"/>
      <c r="G7" s="1009"/>
      <c r="H7" s="1016" t="s">
        <v>372</v>
      </c>
      <c r="I7" s="2320">
        <f>COVER!A13</f>
        <v>21100004026</v>
      </c>
      <c r="J7" s="2320"/>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2" t="s">
        <v>1976</v>
      </c>
      <c r="F9" s="1023"/>
      <c r="G9" s="1023"/>
      <c r="H9" s="1893"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309099</v>
      </c>
      <c r="F12" s="1039"/>
      <c r="G12" s="1810">
        <f t="shared" ref="G12:G18" si="0">SUM(E12:F12)</f>
        <v>309099</v>
      </c>
      <c r="H12" s="1040">
        <v>324553</v>
      </c>
      <c r="I12" s="1039"/>
      <c r="J12" s="1810">
        <f t="shared" ref="J12:J18" si="1">SUM(H12:I12)</f>
        <v>324553</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4" t="s">
        <v>7</v>
      </c>
      <c r="C18" s="2325"/>
      <c r="D18" s="2326"/>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309099</v>
      </c>
      <c r="F19" s="1812">
        <f t="shared" si="2"/>
        <v>0</v>
      </c>
      <c r="G19" s="1812">
        <f t="shared" si="2"/>
        <v>309099</v>
      </c>
      <c r="H19" s="1812">
        <f t="shared" si="2"/>
        <v>324553</v>
      </c>
      <c r="I19" s="1812">
        <f t="shared" si="2"/>
        <v>0</v>
      </c>
      <c r="J19" s="1812">
        <f t="shared" si="2"/>
        <v>324553</v>
      </c>
    </row>
    <row r="20" spans="1:10" ht="13.5" thickTop="1" x14ac:dyDescent="0.2">
      <c r="A20" s="1035">
        <v>9</v>
      </c>
      <c r="B20" s="2327" t="s">
        <v>1978</v>
      </c>
      <c r="C20" s="2327"/>
      <c r="D20" s="2328"/>
      <c r="E20" s="1046"/>
      <c r="F20" s="1046"/>
      <c r="G20" s="1046"/>
      <c r="H20" s="1046"/>
      <c r="I20" s="1046"/>
      <c r="J20" s="1813">
        <f>IF(AND(G19&gt;0,J19&gt;0),(((J19-G19)/G19)),"Enter Budget Data")</f>
        <v>4.999692655104028E-2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1980</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37" zoomScale="110" zoomScaleNormal="110" workbookViewId="0">
      <selection activeCell="B63" sqref="B6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2167</v>
      </c>
    </row>
    <row r="6" spans="1:2" x14ac:dyDescent="0.2">
      <c r="A6" s="1068">
        <v>2</v>
      </c>
      <c r="B6" s="329" t="s">
        <v>2194</v>
      </c>
    </row>
    <row r="7" spans="1:2" x14ac:dyDescent="0.2">
      <c r="A7" s="1068">
        <v>3</v>
      </c>
      <c r="B7" s="329" t="s">
        <v>2195</v>
      </c>
    </row>
    <row r="8" spans="1:2" x14ac:dyDescent="0.2">
      <c r="A8" s="1068">
        <v>4</v>
      </c>
      <c r="B8" s="329" t="s">
        <v>2168</v>
      </c>
    </row>
    <row r="9" spans="1:2" x14ac:dyDescent="0.2">
      <c r="A9" s="1068">
        <v>5</v>
      </c>
      <c r="B9" s="329" t="s">
        <v>2169</v>
      </c>
    </row>
    <row r="10" spans="1:2" x14ac:dyDescent="0.2">
      <c r="A10" s="1068"/>
      <c r="B10" s="329" t="s">
        <v>2170</v>
      </c>
    </row>
    <row r="11" spans="1:2" x14ac:dyDescent="0.2">
      <c r="A11" s="1068">
        <v>6</v>
      </c>
      <c r="B11" s="329" t="s">
        <v>2196</v>
      </c>
    </row>
    <row r="12" spans="1:2" x14ac:dyDescent="0.2">
      <c r="A12" s="1068">
        <v>7</v>
      </c>
      <c r="B12" s="329" t="s">
        <v>2171</v>
      </c>
    </row>
    <row r="13" spans="1:2" x14ac:dyDescent="0.2">
      <c r="A13" s="1068">
        <v>8</v>
      </c>
      <c r="B13" s="329" t="s">
        <v>2172</v>
      </c>
    </row>
    <row r="14" spans="1:2" x14ac:dyDescent="0.2">
      <c r="A14" s="1068">
        <v>9</v>
      </c>
      <c r="B14" s="329" t="s">
        <v>2173</v>
      </c>
    </row>
    <row r="15" spans="1:2" x14ac:dyDescent="0.2">
      <c r="A15" s="1068">
        <v>10</v>
      </c>
      <c r="B15" s="329" t="s">
        <v>2174</v>
      </c>
    </row>
    <row r="16" spans="1:2" x14ac:dyDescent="0.2">
      <c r="A16" s="1068">
        <v>11</v>
      </c>
      <c r="B16" s="329" t="s">
        <v>2197</v>
      </c>
    </row>
    <row r="17" spans="1:2" x14ac:dyDescent="0.2">
      <c r="A17" s="1068">
        <v>12</v>
      </c>
      <c r="B17" s="329" t="s">
        <v>2175</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c r="B62" s="329" t="s">
        <v>2198</v>
      </c>
    </row>
    <row r="63" spans="1:2" x14ac:dyDescent="0.2">
      <c r="A63" s="1068"/>
    </row>
    <row r="64" spans="1:2" x14ac:dyDescent="0.2">
      <c r="A64" s="1068"/>
      <c r="B64" s="258" t="str">
        <f>COVER!A17</f>
        <v>Herrin CUSD 4</v>
      </c>
    </row>
    <row r="65" spans="2:2" x14ac:dyDescent="0.2">
      <c r="B65" s="1069">
        <f>COVER!A13</f>
        <v>21100004026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4" sqref="C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6" sqref="E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4" t="s">
        <v>1685</v>
      </c>
      <c r="B18" s="233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1</xdr:row>
                <xdr:rowOff>38100</xdr:rowOff>
              </from>
              <to>
                <xdr:col>1</xdr:col>
                <xdr:colOff>962025</xdr:colOff>
                <xdr:row>5</xdr:row>
                <xdr:rowOff>76200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Worksheet" dvAspect="DVASPECT_ICON" shapeId="35844" r:id="rId6">
          <objectPr defaultSize="0" r:id="rId7">
            <anchor moveWithCells="1">
              <from>
                <xdr:col>1</xdr:col>
                <xdr:colOff>2143125</xdr:colOff>
                <xdr:row>1</xdr:row>
                <xdr:rowOff>57150</xdr:rowOff>
              </from>
              <to>
                <xdr:col>1</xdr:col>
                <xdr:colOff>3048000</xdr:colOff>
                <xdr:row>5</xdr:row>
                <xdr:rowOff>95250</xdr:rowOff>
              </to>
            </anchor>
          </objectPr>
        </oleObject>
      </mc:Choice>
      <mc:Fallback>
        <oleObject progId="Worksheet" dvAspect="DVASPECT_ICON" shapeId="35844" r:id="rId6"/>
      </mc:Fallback>
    </mc:AlternateContent>
    <mc:AlternateContent xmlns:mc="http://schemas.openxmlformats.org/markup-compatibility/2006">
      <mc:Choice Requires="x14">
        <oleObject progId="Acrobat Document" dvAspect="DVASPECT_ICON" shapeId="35846" r:id="rId8">
          <objectPr defaultSize="0" r:id="rId9">
            <anchor moveWithCells="1">
              <from>
                <xdr:col>1</xdr:col>
                <xdr:colOff>1076325</xdr:colOff>
                <xdr:row>1</xdr:row>
                <xdr:rowOff>47625</xdr:rowOff>
              </from>
              <to>
                <xdr:col>1</xdr:col>
                <xdr:colOff>1981200</xdr:colOff>
                <xdr:row>5</xdr:row>
                <xdr:rowOff>85725</xdr:rowOff>
              </to>
            </anchor>
          </objectPr>
        </oleObject>
      </mc:Choice>
      <mc:Fallback>
        <oleObject progId="Acrobat Document" dvAspect="DVASPECT_ICON" shapeId="35846"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1984</v>
      </c>
      <c r="B2" s="2346"/>
      <c r="C2" s="2346"/>
      <c r="D2" s="2346"/>
      <c r="E2" s="2346"/>
      <c r="F2" s="2347"/>
      <c r="G2" s="1073"/>
      <c r="H2" s="1073"/>
    </row>
    <row r="3" spans="1:8" ht="57" customHeight="1" x14ac:dyDescent="0.2">
      <c r="A3" s="2348" t="s">
        <v>1686</v>
      </c>
      <c r="B3" s="2349"/>
      <c r="C3" s="2349"/>
      <c r="D3" s="2349"/>
      <c r="E3" s="2349"/>
      <c r="F3" s="2350"/>
      <c r="G3" s="1073"/>
      <c r="H3" s="1073"/>
    </row>
    <row r="4" spans="1:8" ht="14.25" customHeight="1" x14ac:dyDescent="0.2">
      <c r="A4" s="2354" t="s">
        <v>1985</v>
      </c>
      <c r="B4" s="2355"/>
      <c r="C4" s="2355"/>
      <c r="D4" s="2355"/>
      <c r="E4" s="2355"/>
      <c r="F4" s="2356"/>
      <c r="G4" s="1073"/>
      <c r="H4" s="1073"/>
    </row>
    <row r="5" spans="1:8" ht="14.25" customHeight="1" x14ac:dyDescent="0.2">
      <c r="A5" s="2357" t="s">
        <v>1981</v>
      </c>
      <c r="B5" s="2358"/>
      <c r="C5" s="2358"/>
      <c r="D5" s="2358"/>
      <c r="E5" s="2358"/>
      <c r="F5" s="2359"/>
      <c r="G5" s="1073"/>
      <c r="H5" s="1073"/>
    </row>
    <row r="6" spans="1:8" s="1074" customFormat="1" ht="41.25" customHeight="1" x14ac:dyDescent="0.2">
      <c r="A6" s="2351" t="s">
        <v>1691</v>
      </c>
      <c r="B6" s="2352"/>
      <c r="C6" s="2352"/>
      <c r="D6" s="2352"/>
      <c r="E6" s="2352"/>
      <c r="F6" s="2353"/>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20587319</v>
      </c>
      <c r="C8" s="1814">
        <f>'Acct Summary 7-8'!D8</f>
        <v>824234</v>
      </c>
      <c r="D8" s="1814">
        <f>'Acct Summary 7-8'!F8</f>
        <v>999997</v>
      </c>
      <c r="E8" s="1814">
        <f>'Acct Summary 7-8'!I8</f>
        <v>28550</v>
      </c>
      <c r="F8" s="1814">
        <f>SUM(B8:E8)</f>
        <v>22440100</v>
      </c>
    </row>
    <row r="9" spans="1:8" s="1078" customFormat="1" ht="14.25" customHeight="1" thickBot="1" x14ac:dyDescent="0.25">
      <c r="A9" s="1077" t="s">
        <v>1369</v>
      </c>
      <c r="B9" s="1815">
        <f>'Acct Summary 7-8'!C17</f>
        <v>19174843</v>
      </c>
      <c r="C9" s="1815">
        <f>'Acct Summary 7-8'!D17</f>
        <v>825913</v>
      </c>
      <c r="D9" s="1815">
        <f>'Acct Summary 7-8'!F17</f>
        <v>1019627</v>
      </c>
      <c r="E9" s="1814"/>
      <c r="F9" s="1814">
        <f>SUM(B9:E9)</f>
        <v>21020383</v>
      </c>
    </row>
    <row r="10" spans="1:8" s="1078" customFormat="1" ht="14.25" thickTop="1" thickBot="1" x14ac:dyDescent="0.25">
      <c r="A10" s="1079" t="s">
        <v>1370</v>
      </c>
      <c r="B10" s="1816">
        <f>(B8-B9)</f>
        <v>1412476</v>
      </c>
      <c r="C10" s="1816">
        <f>(C8-C9)</f>
        <v>-1679</v>
      </c>
      <c r="D10" s="1816">
        <f>(D8-D9)</f>
        <v>-19630</v>
      </c>
      <c r="E10" s="1815">
        <f>(E8-E9)</f>
        <v>28550</v>
      </c>
      <c r="F10" s="1817">
        <f>SUM(F8-F9)</f>
        <v>1419717</v>
      </c>
    </row>
    <row r="11" spans="1:8" s="1078" customFormat="1" ht="14.25" thickTop="1" thickBot="1" x14ac:dyDescent="0.25">
      <c r="A11" s="1080" t="s">
        <v>1982</v>
      </c>
      <c r="B11" s="1818">
        <f>'Acct Summary 7-8'!C81</f>
        <v>2690459</v>
      </c>
      <c r="C11" s="1818">
        <f>'Acct Summary 7-8'!D81</f>
        <v>197394</v>
      </c>
      <c r="D11" s="1818">
        <f>'Acct Summary 7-8'!F81</f>
        <v>69492</v>
      </c>
      <c r="E11" s="1818">
        <f>'Acct Summary 7-8'!I81</f>
        <v>2613137</v>
      </c>
      <c r="F11" s="1819">
        <f>SUM(B11:E11)</f>
        <v>5570482</v>
      </c>
    </row>
    <row r="12" spans="1:8" ht="16.5" customHeight="1" thickTop="1" x14ac:dyDescent="0.2">
      <c r="A12" s="1081"/>
      <c r="B12" s="1082"/>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3"/>
      <c r="B13" s="1084"/>
      <c r="C13" s="2339"/>
      <c r="D13" s="2340"/>
      <c r="E13" s="2340"/>
      <c r="F13" s="2341"/>
      <c r="H13" s="1073"/>
    </row>
    <row r="14" spans="1:8" ht="19.5" customHeight="1" x14ac:dyDescent="0.2">
      <c r="A14" s="1083"/>
      <c r="B14" s="1084"/>
      <c r="C14" s="2339"/>
      <c r="D14" s="2340"/>
      <c r="E14" s="2340"/>
      <c r="F14" s="2341"/>
      <c r="H14" s="1073"/>
    </row>
    <row r="15" spans="1:8" ht="17.25" customHeight="1" x14ac:dyDescent="0.2">
      <c r="A15" s="1083"/>
      <c r="B15" s="1084"/>
      <c r="C15" s="2342"/>
      <c r="D15" s="2343"/>
      <c r="E15" s="2343"/>
      <c r="F15" s="2344"/>
      <c r="H15" s="1073"/>
    </row>
    <row r="16" spans="1:8" s="310" customFormat="1" ht="51.75" hidden="1" customHeight="1" x14ac:dyDescent="0.2">
      <c r="A16" s="2338" t="s">
        <v>1687</v>
      </c>
      <c r="B16" s="2338"/>
      <c r="C16" s="2338"/>
      <c r="D16" s="2338"/>
      <c r="E16" s="2338"/>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66" colorId="8" zoomScale="110" zoomScaleNormal="110" workbookViewId="0">
      <selection activeCell="C9" sqref="C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4"/>
      <c r="B2" s="1895"/>
      <c r="C2" s="1896"/>
      <c r="D2" s="1897"/>
    </row>
    <row r="3" spans="1:4" ht="36" customHeight="1" x14ac:dyDescent="0.2">
      <c r="A3" s="2360" t="s">
        <v>665</v>
      </c>
      <c r="B3" s="2361"/>
      <c r="C3" s="2361"/>
      <c r="D3" s="2362"/>
    </row>
    <row r="4" spans="1:4" x14ac:dyDescent="0.2">
      <c r="A4" s="1151" t="s">
        <v>1692</v>
      </c>
      <c r="B4" s="1152"/>
      <c r="C4" s="1153"/>
      <c r="D4" s="1154"/>
    </row>
    <row r="5" spans="1:4" ht="21" customHeight="1" x14ac:dyDescent="0.2">
      <c r="A5" s="1147"/>
      <c r="B5" s="1148">
        <v>1</v>
      </c>
      <c r="C5" s="1149" t="s">
        <v>1832</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1" t="s">
        <v>1504</v>
      </c>
      <c r="D7" s="2372"/>
    </row>
    <row r="8" spans="1:4" s="668" customFormat="1" ht="12.75" x14ac:dyDescent="0.2">
      <c r="A8" s="1137"/>
      <c r="B8" s="1092"/>
      <c r="C8" s="1095" t="s">
        <v>1503</v>
      </c>
      <c r="D8" s="1096"/>
    </row>
    <row r="9" spans="1:4" s="668" customFormat="1" ht="14.25" customHeight="1" x14ac:dyDescent="0.2">
      <c r="A9" s="1137"/>
      <c r="B9" s="1092">
        <f>B7+1</f>
        <v>4</v>
      </c>
      <c r="C9" s="1093" t="s">
        <v>1910</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5" t="s">
        <v>314</v>
      </c>
      <c r="D21" s="2376"/>
    </row>
    <row r="22" spans="1:10" ht="12.75" x14ac:dyDescent="0.2">
      <c r="A22" s="1138"/>
      <c r="B22" s="1139">
        <v>2</v>
      </c>
      <c r="C22" s="2373" t="s">
        <v>1524</v>
      </c>
      <c r="D22" s="2374"/>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77" t="s">
        <v>536</v>
      </c>
      <c r="D43" s="2378"/>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69" t="s">
        <v>784</v>
      </c>
      <c r="D56" s="2370"/>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1021</v>
      </c>
      <c r="D67" s="1124"/>
    </row>
    <row r="68" spans="1:4" x14ac:dyDescent="0.2">
      <c r="A68" s="1099"/>
      <c r="B68" s="1109"/>
      <c r="C68" s="1101" t="s">
        <v>1912</v>
      </c>
      <c r="D68" s="1123" t="str">
        <f>IF('Short-Term Long-Term Debt 24'!F49=SUM(,'Acct Summary 7-8'!C33:K33),"OK","ERROR!")</f>
        <v>OK</v>
      </c>
    </row>
    <row r="69" spans="1:4" x14ac:dyDescent="0.2">
      <c r="A69" s="1099"/>
      <c r="B69" s="1109"/>
      <c r="C69" s="1101" t="s">
        <v>1913</v>
      </c>
      <c r="D69" s="1123" t="str">
        <f>IF('Expenditures 15-22'!H170&lt;&gt;'Short-Term Long-Term Debt 24'!H49,"ERROR!","OK")</f>
        <v>OK</v>
      </c>
    </row>
    <row r="70" spans="1:4" x14ac:dyDescent="0.2">
      <c r="A70" s="1097"/>
      <c r="B70" s="1119">
        <f>B66+1</f>
        <v>9</v>
      </c>
      <c r="C70" s="2369" t="s">
        <v>1696</v>
      </c>
      <c r="D70" s="2370"/>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21100004026</v>
      </c>
    </row>
    <row r="3" spans="1:2" x14ac:dyDescent="0.2">
      <c r="A3" t="s">
        <v>956</v>
      </c>
      <c r="B3" s="138" t="str">
        <f>COVER!A15</f>
        <v>Williamson</v>
      </c>
    </row>
    <row r="4" spans="1:2" x14ac:dyDescent="0.2">
      <c r="A4" t="s">
        <v>1007</v>
      </c>
      <c r="B4" s="138" t="str">
        <f>COVER!A17</f>
        <v>Herrin CUSD 4</v>
      </c>
    </row>
    <row r="5" spans="1:2" x14ac:dyDescent="0.2">
      <c r="A5" t="s">
        <v>704</v>
      </c>
      <c r="B5" s="138" t="str">
        <f>COVER!A38</f>
        <v>Dr. Terry Ryker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066-003998</v>
      </c>
    </row>
    <row r="16" spans="1:2" x14ac:dyDescent="0.2">
      <c r="A16" t="s">
        <v>422</v>
      </c>
      <c r="B16" s="138" t="str">
        <f>COVER!T13</f>
        <v>Kemper CPA Group, LLP</v>
      </c>
    </row>
    <row r="17" spans="1:2" x14ac:dyDescent="0.2">
      <c r="A17" t="s">
        <v>884</v>
      </c>
      <c r="B17" s="138" t="str">
        <f>COVER!T15</f>
        <v>Kimberly Walker, CPA</v>
      </c>
    </row>
    <row r="18" spans="1:2" x14ac:dyDescent="0.2">
      <c r="A18" t="s">
        <v>1150</v>
      </c>
      <c r="B18" s="138" t="str">
        <f>COVER!T17</f>
        <v>3401 Professional Park Drive, PO BOX 129</v>
      </c>
    </row>
    <row r="19" spans="1:2" x14ac:dyDescent="0.2">
      <c r="A19" t="s">
        <v>886</v>
      </c>
      <c r="B19" s="138" t="str">
        <f>COVER!T25</f>
        <v>kwalker@kcpag.com</v>
      </c>
    </row>
    <row r="20" spans="1:2" x14ac:dyDescent="0.2">
      <c r="A20" t="s">
        <v>887</v>
      </c>
      <c r="B20" s="138" t="str">
        <f>COVER!T19</f>
        <v>Marion</v>
      </c>
    </row>
    <row r="21" spans="1:2" x14ac:dyDescent="0.2">
      <c r="A21" t="s">
        <v>479</v>
      </c>
      <c r="B21" s="138" t="str">
        <f>COVER!X19</f>
        <v>IL</v>
      </c>
    </row>
    <row r="22" spans="1:2" x14ac:dyDescent="0.2">
      <c r="A22" t="s">
        <v>888</v>
      </c>
      <c r="B22" s="138">
        <f>COVER!Z19</f>
        <v>62959</v>
      </c>
    </row>
    <row r="23" spans="1:2" x14ac:dyDescent="0.2">
      <c r="A23" t="s">
        <v>1152</v>
      </c>
      <c r="B23" s="138" t="str">
        <f>COVER!T21</f>
        <v>618-997-3055</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35375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1011077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2692916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2457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2457</v>
      </c>
      <c r="C91" s="2" t="s">
        <v>573</v>
      </c>
      <c r="D91" s="2" t="str">
        <f t="shared" si="0"/>
        <v>Error?</v>
      </c>
    </row>
    <row r="92" spans="1:4" x14ac:dyDescent="0.2">
      <c r="A92" s="5">
        <v>31</v>
      </c>
      <c r="B92" s="138">
        <f>'Assets-Liab 5-6'!C39</f>
        <v>2690459</v>
      </c>
      <c r="D92" s="2" t="str">
        <f t="shared" si="0"/>
        <v>Error?</v>
      </c>
    </row>
    <row r="93" spans="1:4" x14ac:dyDescent="0.2">
      <c r="A93" s="5">
        <v>32</v>
      </c>
      <c r="B93" s="138">
        <f>'Assets-Liab 5-6'!C41</f>
        <v>2692916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197394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197394</v>
      </c>
      <c r="D123" s="2" t="str">
        <f t="shared" si="0"/>
        <v>Error?</v>
      </c>
    </row>
    <row r="124" spans="1:4" x14ac:dyDescent="0.2">
      <c r="A124" s="5">
        <v>63</v>
      </c>
      <c r="B124" s="138">
        <f>'Assets-Liab 5-6'!D41</f>
        <v>197394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2351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2351</v>
      </c>
      <c r="D140" s="2" t="str">
        <f t="shared" si="1"/>
        <v>Error?</v>
      </c>
    </row>
    <row r="141" spans="1:4" x14ac:dyDescent="0.2">
      <c r="A141" s="5">
        <v>80</v>
      </c>
      <c r="B141" s="138">
        <f>'Assets-Liab 5-6'!E41</f>
        <v>2351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69492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69492</v>
      </c>
      <c r="D170" s="2" t="str">
        <f t="shared" si="1"/>
        <v>Error?</v>
      </c>
    </row>
    <row r="171" spans="1:4" x14ac:dyDescent="0.2">
      <c r="A171" s="5">
        <v>110</v>
      </c>
      <c r="B171" s="138">
        <f>'Assets-Liab 5-6'!F41</f>
        <v>69492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192290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192290</v>
      </c>
      <c r="D189" s="2" t="str">
        <f t="shared" si="1"/>
        <v>Error?</v>
      </c>
    </row>
    <row r="190" spans="1:4" x14ac:dyDescent="0.2">
      <c r="A190" s="5">
        <v>129</v>
      </c>
      <c r="B190" s="138">
        <f>'Assets-Liab 5-6'!G41</f>
        <v>192290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758267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2121473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2121473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1012480</v>
      </c>
      <c r="D273" s="2" t="str">
        <f t="shared" si="3"/>
        <v>Error?</v>
      </c>
    </row>
    <row r="274" spans="1:4" x14ac:dyDescent="0.2">
      <c r="A274" s="5">
        <v>213</v>
      </c>
      <c r="B274" s="138">
        <f>'Assets-Liab 5-6'!M17</f>
        <v>28413244</v>
      </c>
      <c r="D274" s="2" t="str">
        <f t="shared" si="3"/>
        <v>Error?</v>
      </c>
    </row>
    <row r="275" spans="1:4" x14ac:dyDescent="0.2">
      <c r="A275" s="5">
        <v>214</v>
      </c>
      <c r="B275" s="138">
        <f>'Assets-Liab 5-6'!M18</f>
        <v>4136516</v>
      </c>
      <c r="D275" s="2" t="str">
        <f t="shared" si="3"/>
        <v>Error?</v>
      </c>
    </row>
    <row r="276" spans="1:4" x14ac:dyDescent="0.2">
      <c r="A276" s="5">
        <v>215</v>
      </c>
      <c r="B276" s="138">
        <f>'Assets-Liab 5-6'!M19</f>
        <v>1133408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34695648</v>
      </c>
      <c r="C279" s="2" t="s">
        <v>573</v>
      </c>
      <c r="D279" s="2" t="str">
        <f t="shared" si="3"/>
        <v>Error?</v>
      </c>
    </row>
    <row r="280" spans="1:4" x14ac:dyDescent="0.2">
      <c r="A280" s="5">
        <v>219</v>
      </c>
      <c r="B280" s="138">
        <f>'Assets-Liab 5-6'!M40</f>
        <v>34695648</v>
      </c>
      <c r="D280" s="2" t="str">
        <f t="shared" si="3"/>
        <v>Error?</v>
      </c>
    </row>
    <row r="281" spans="1:4" x14ac:dyDescent="0.2">
      <c r="A281" s="5">
        <v>220</v>
      </c>
      <c r="B281" s="138">
        <f>'Assets-Liab 5-6'!M41</f>
        <v>34695648</v>
      </c>
      <c r="C281" s="2" t="s">
        <v>573</v>
      </c>
      <c r="D281" s="2" t="str">
        <f t="shared" si="3"/>
        <v>Error?</v>
      </c>
    </row>
    <row r="282" spans="1:4" x14ac:dyDescent="0.2">
      <c r="A282" s="5">
        <v>221</v>
      </c>
      <c r="B282" s="138">
        <f>'Assets-Liab 5-6'!N21</f>
        <v>2351</v>
      </c>
      <c r="D282" s="2" t="str">
        <f t="shared" si="3"/>
        <v>Error?</v>
      </c>
    </row>
    <row r="283" spans="1:4" x14ac:dyDescent="0.2">
      <c r="A283" s="5">
        <v>222</v>
      </c>
      <c r="B283" s="138">
        <f>'Assets-Liab 5-6'!N22</f>
        <v>27778879</v>
      </c>
      <c r="D283" s="2" t="str">
        <f t="shared" si="3"/>
        <v>Error?</v>
      </c>
    </row>
    <row r="284" spans="1:4" x14ac:dyDescent="0.2">
      <c r="A284" s="5">
        <v>223</v>
      </c>
      <c r="B284" s="138">
        <f>'Assets-Liab 5-6'!N23</f>
        <v>27781230</v>
      </c>
      <c r="C284" s="2" t="s">
        <v>573</v>
      </c>
      <c r="D284" s="2" t="str">
        <f t="shared" si="3"/>
        <v>Error?</v>
      </c>
    </row>
    <row r="285" spans="1:4" x14ac:dyDescent="0.2">
      <c r="A285" s="5">
        <v>224</v>
      </c>
      <c r="B285" s="138">
        <f>'Assets-Liab 5-6'!N36</f>
        <v>27781230</v>
      </c>
      <c r="D285" s="2" t="str">
        <f t="shared" si="3"/>
        <v>Error?</v>
      </c>
    </row>
    <row r="286" spans="1:4" x14ac:dyDescent="0.2">
      <c r="A286" s="10">
        <v>225</v>
      </c>
      <c r="D286" s="2" t="str">
        <f t="shared" si="3"/>
        <v>OK</v>
      </c>
    </row>
    <row r="287" spans="1:4" x14ac:dyDescent="0.2">
      <c r="A287" s="5">
        <v>226</v>
      </c>
      <c r="B287" s="138">
        <f>'Assets-Liab 5-6'!N37</f>
        <v>27781230</v>
      </c>
      <c r="C287" s="2" t="s">
        <v>573</v>
      </c>
      <c r="D287" s="2" t="str">
        <f t="shared" si="3"/>
        <v>Error?</v>
      </c>
    </row>
    <row r="288" spans="1:4" x14ac:dyDescent="0.2">
      <c r="A288" s="5">
        <v>227</v>
      </c>
      <c r="B288" s="138">
        <f>'Assets-Liab 5-6'!N41</f>
        <v>27781230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2181</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7286915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236520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8023379</v>
      </c>
      <c r="C720" s="2" t="s">
        <v>573</v>
      </c>
      <c r="D720" s="2" t="str">
        <f t="shared" si="10"/>
        <v>Error?</v>
      </c>
    </row>
    <row r="721" spans="1:4" x14ac:dyDescent="0.2">
      <c r="A721" s="5">
        <v>660</v>
      </c>
      <c r="B721" s="138">
        <f>'Expenditures 15-22'!C36</f>
        <v>247317</v>
      </c>
      <c r="D721" s="2" t="str">
        <f t="shared" si="10"/>
        <v>Error?</v>
      </c>
    </row>
    <row r="722" spans="1:4" x14ac:dyDescent="0.2">
      <c r="A722" s="5">
        <v>661</v>
      </c>
      <c r="B722" s="138">
        <f>'Expenditures 15-22'!C37</f>
        <v>168112</v>
      </c>
      <c r="D722" s="2" t="str">
        <f t="shared" si="10"/>
        <v>Error?</v>
      </c>
    </row>
    <row r="723" spans="1:4" x14ac:dyDescent="0.2">
      <c r="A723" s="5">
        <v>662</v>
      </c>
      <c r="B723" s="138">
        <f>'Expenditures 15-22'!C38</f>
        <v>105912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39192</v>
      </c>
      <c r="D726" s="2" t="str">
        <f t="shared" si="10"/>
        <v>Error?</v>
      </c>
    </row>
    <row r="727" spans="1:4" x14ac:dyDescent="0.2">
      <c r="A727" s="5">
        <v>666</v>
      </c>
      <c r="B727" s="138">
        <f>'Expenditures 15-22'!C42</f>
        <v>560533</v>
      </c>
      <c r="C727" s="2" t="s">
        <v>573</v>
      </c>
      <c r="D727" s="2" t="str">
        <f t="shared" si="10"/>
        <v>Error?</v>
      </c>
    </row>
    <row r="728" spans="1:4" x14ac:dyDescent="0.2">
      <c r="A728" s="5">
        <v>667</v>
      </c>
      <c r="B728" s="138">
        <f>'Expenditures 15-22'!C44</f>
        <v>180023</v>
      </c>
      <c r="D728" s="2" t="str">
        <f t="shared" si="10"/>
        <v>Error?</v>
      </c>
    </row>
    <row r="729" spans="1:4" x14ac:dyDescent="0.2">
      <c r="A729" s="5">
        <v>668</v>
      </c>
      <c r="B729" s="138">
        <f>'Expenditures 15-22'!C45</f>
        <v>143103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323126</v>
      </c>
      <c r="C731" s="2" t="s">
        <v>573</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246594</v>
      </c>
      <c r="D733" s="2" t="str">
        <f t="shared" si="10"/>
        <v>Error?</v>
      </c>
    </row>
    <row r="734" spans="1:4" x14ac:dyDescent="0.2">
      <c r="A734" s="5">
        <v>673</v>
      </c>
      <c r="B734" s="138">
        <f>'Expenditures 15-22'!C53</f>
        <v>249594</v>
      </c>
      <c r="C734" s="2" t="s">
        <v>573</v>
      </c>
      <c r="D734" s="2" t="str">
        <f t="shared" si="10"/>
        <v>Error?</v>
      </c>
    </row>
    <row r="735" spans="1:4" x14ac:dyDescent="0.2">
      <c r="A735" s="5">
        <v>674</v>
      </c>
      <c r="B735" s="138">
        <f>'Expenditures 15-22'!C55</f>
        <v>1048242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1048242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97659</v>
      </c>
      <c r="D739" s="2" t="str">
        <f t="shared" si="10"/>
        <v>Error?</v>
      </c>
    </row>
    <row r="740" spans="1:4" x14ac:dyDescent="0.2">
      <c r="A740" s="5">
        <v>679</v>
      </c>
      <c r="B740" s="138">
        <f>'Expenditures 15-22'!C61</f>
        <v>708930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398935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1205524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159215</v>
      </c>
      <c r="D751" s="2" t="str">
        <f t="shared" si="10"/>
        <v>Error?</v>
      </c>
    </row>
    <row r="752" spans="1:4" x14ac:dyDescent="0.2">
      <c r="A752" s="10">
        <v>691</v>
      </c>
      <c r="D752" s="2" t="str">
        <f t="shared" si="10"/>
        <v>OK</v>
      </c>
    </row>
    <row r="753" spans="1:4" x14ac:dyDescent="0.2">
      <c r="A753" s="5">
        <v>692</v>
      </c>
      <c r="B753" s="138">
        <f>'Expenditures 15-22'!C72</f>
        <v>159215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3546234</v>
      </c>
      <c r="C755" s="2" t="s">
        <v>573</v>
      </c>
      <c r="D755" s="2" t="str">
        <f t="shared" si="10"/>
        <v>Error?</v>
      </c>
    </row>
    <row r="756" spans="1:4" x14ac:dyDescent="0.2">
      <c r="A756" s="5">
        <v>695</v>
      </c>
      <c r="B756" s="138">
        <f>'Expenditures 15-22'!C75</f>
        <v>3378</v>
      </c>
      <c r="D756" s="2" t="str">
        <f t="shared" si="10"/>
        <v>Error?</v>
      </c>
    </row>
    <row r="757" spans="1:4" x14ac:dyDescent="0.2">
      <c r="A757" s="5">
        <v>696</v>
      </c>
      <c r="B757" s="138">
        <f>'Expenditures 15-22'!C114</f>
        <v>11572991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1646436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25909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1814676</v>
      </c>
      <c r="C778" s="2" t="s">
        <v>573</v>
      </c>
      <c r="D778" s="2" t="str">
        <f t="shared" si="11"/>
        <v>Error?</v>
      </c>
    </row>
    <row r="779" spans="1:4" x14ac:dyDescent="0.2">
      <c r="A779" s="5">
        <v>718</v>
      </c>
      <c r="B779" s="138">
        <f>'Expenditures 15-22'!D36</f>
        <v>71754</v>
      </c>
      <c r="D779" s="2" t="str">
        <f t="shared" si="11"/>
        <v>Error?</v>
      </c>
    </row>
    <row r="780" spans="1:4" x14ac:dyDescent="0.2">
      <c r="A780" s="5">
        <v>719</v>
      </c>
      <c r="B780" s="138">
        <f>'Expenditures 15-22'!D37</f>
        <v>28447</v>
      </c>
      <c r="D780" s="2" t="str">
        <f t="shared" si="11"/>
        <v>Error?</v>
      </c>
    </row>
    <row r="781" spans="1:4" x14ac:dyDescent="0.2">
      <c r="A781" s="5">
        <v>720</v>
      </c>
      <c r="B781" s="138">
        <f>'Expenditures 15-22'!D38</f>
        <v>10403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70</v>
      </c>
      <c r="D784" s="2" t="str">
        <f t="shared" si="11"/>
        <v>Error?</v>
      </c>
    </row>
    <row r="785" spans="1:4" x14ac:dyDescent="0.2">
      <c r="A785" s="5">
        <v>724</v>
      </c>
      <c r="B785" s="138">
        <f>'Expenditures 15-22'!D42</f>
        <v>110674</v>
      </c>
      <c r="C785" s="2" t="s">
        <v>573</v>
      </c>
      <c r="D785" s="2" t="str">
        <f t="shared" si="11"/>
        <v>Error?</v>
      </c>
    </row>
    <row r="786" spans="1:4" x14ac:dyDescent="0.2">
      <c r="A786" s="5">
        <v>725</v>
      </c>
      <c r="B786" s="138">
        <f>'Expenditures 15-22'!D44</f>
        <v>33225</v>
      </c>
      <c r="D786" s="2" t="str">
        <f t="shared" si="11"/>
        <v>Error?</v>
      </c>
    </row>
    <row r="787" spans="1:4" x14ac:dyDescent="0.2">
      <c r="A787" s="5">
        <v>726</v>
      </c>
      <c r="B787" s="138">
        <f>'Expenditures 15-22'!D45</f>
        <v>29496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62721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31414</v>
      </c>
      <c r="D791" s="2" t="str">
        <f t="shared" si="11"/>
        <v>Error?</v>
      </c>
    </row>
    <row r="792" spans="1:4" x14ac:dyDescent="0.2">
      <c r="A792" s="5">
        <v>731</v>
      </c>
      <c r="B792" s="138">
        <f>'Expenditures 15-22'!D53</f>
        <v>31414</v>
      </c>
      <c r="C792" s="2" t="s">
        <v>573</v>
      </c>
      <c r="D792" s="2" t="str">
        <f t="shared" si="11"/>
        <v>Error?</v>
      </c>
    </row>
    <row r="793" spans="1:4" x14ac:dyDescent="0.2">
      <c r="A793" s="5">
        <v>732</v>
      </c>
      <c r="B793" s="138">
        <f>'Expenditures 15-22'!D55</f>
        <v>167145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167145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9534</v>
      </c>
      <c r="D797" s="2" t="str">
        <f t="shared" si="11"/>
        <v>Error?</v>
      </c>
    </row>
    <row r="798" spans="1:4" x14ac:dyDescent="0.2">
      <c r="A798" s="5">
        <v>737</v>
      </c>
      <c r="B798" s="138">
        <f>'Expenditures 15-22'!D61</f>
        <v>178879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70170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258583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34190</v>
      </c>
      <c r="D809" s="2" t="str">
        <f t="shared" si="11"/>
        <v>Error?</v>
      </c>
    </row>
    <row r="810" spans="1:4" x14ac:dyDescent="0.2">
      <c r="A810" s="10">
        <v>749</v>
      </c>
      <c r="D810" s="2" t="str">
        <f t="shared" si="11"/>
        <v>OK</v>
      </c>
    </row>
    <row r="811" spans="1:4" x14ac:dyDescent="0.2">
      <c r="A811" s="5">
        <v>750</v>
      </c>
      <c r="B811" s="138">
        <f>'Expenditures 15-22'!D72</f>
        <v>34190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664727</v>
      </c>
      <c r="C813" s="2" t="s">
        <v>573</v>
      </c>
      <c r="D813" s="2" t="str">
        <f t="shared" si="11"/>
        <v>Error?</v>
      </c>
    </row>
    <row r="814" spans="1:4" x14ac:dyDescent="0.2">
      <c r="A814" s="5">
        <v>753</v>
      </c>
      <c r="B814" s="138">
        <f>'Expenditures 15-22'!D75</f>
        <v>802</v>
      </c>
      <c r="D814" s="2" t="str">
        <f t="shared" si="11"/>
        <v>Error?</v>
      </c>
    </row>
    <row r="815" spans="1:4" x14ac:dyDescent="0.2">
      <c r="A815" s="5">
        <v>754</v>
      </c>
      <c r="B815" s="138">
        <f>'Expenditures 15-22'!D114</f>
        <v>2480205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84070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61372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145442</v>
      </c>
      <c r="C836" s="2" t="s">
        <v>573</v>
      </c>
      <c r="D836" s="2" t="str">
        <f t="shared" si="12"/>
        <v>Error?</v>
      </c>
    </row>
    <row r="837" spans="1:4" x14ac:dyDescent="0.2">
      <c r="A837" s="5">
        <v>776</v>
      </c>
      <c r="B837" s="138">
        <f>'Expenditures 15-22'!E36</f>
        <v>295</v>
      </c>
      <c r="D837" s="2" t="str">
        <f t="shared" si="12"/>
        <v>Error?</v>
      </c>
    </row>
    <row r="838" spans="1:4" x14ac:dyDescent="0.2">
      <c r="A838" s="5">
        <v>777</v>
      </c>
      <c r="B838" s="138">
        <f>'Expenditures 15-22'!E37</f>
        <v>491</v>
      </c>
      <c r="D838" s="2" t="str">
        <f t="shared" si="12"/>
        <v>Error?</v>
      </c>
    </row>
    <row r="839" spans="1:4" x14ac:dyDescent="0.2">
      <c r="A839" s="5">
        <v>778</v>
      </c>
      <c r="B839" s="138">
        <f>'Expenditures 15-22'!E38</f>
        <v>174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960</v>
      </c>
      <c r="C843" s="2" t="s">
        <v>573</v>
      </c>
      <c r="D843" s="2" t="str">
        <f t="shared" si="12"/>
        <v>Error?</v>
      </c>
    </row>
    <row r="844" spans="1:4" x14ac:dyDescent="0.2">
      <c r="A844" s="5">
        <v>783</v>
      </c>
      <c r="B844" s="138">
        <f>'Expenditures 15-22'!E44</f>
        <v>20769</v>
      </c>
      <c r="D844" s="2" t="str">
        <f t="shared" si="12"/>
        <v>Error?</v>
      </c>
    </row>
    <row r="845" spans="1:4" x14ac:dyDescent="0.2">
      <c r="A845" s="5">
        <v>784</v>
      </c>
      <c r="B845" s="138">
        <f>'Expenditures 15-22'!E45</f>
        <v>2912</v>
      </c>
      <c r="D845" s="2" t="str">
        <f t="shared" si="12"/>
        <v>Error?</v>
      </c>
    </row>
    <row r="846" spans="1:4" x14ac:dyDescent="0.2">
      <c r="A846" s="5">
        <v>785</v>
      </c>
      <c r="B846" s="138">
        <f>'Expenditures 15-22'!E46</f>
        <v>28066</v>
      </c>
      <c r="D846" s="2" t="str">
        <f t="shared" si="12"/>
        <v>Error?</v>
      </c>
    </row>
    <row r="847" spans="1:4" x14ac:dyDescent="0.2">
      <c r="A847" s="5">
        <v>786</v>
      </c>
      <c r="B847" s="138">
        <f>'Expenditures 15-22'!E47</f>
        <v>51747</v>
      </c>
      <c r="C847" s="2" t="s">
        <v>573</v>
      </c>
      <c r="D847" s="2" t="str">
        <f t="shared" si="12"/>
        <v>Error?</v>
      </c>
    </row>
    <row r="848" spans="1:4" x14ac:dyDescent="0.2">
      <c r="A848" s="5">
        <v>787</v>
      </c>
      <c r="B848" s="138">
        <f>'Expenditures 15-22'!E49</f>
        <v>41378</v>
      </c>
      <c r="D848" s="2" t="str">
        <f t="shared" si="12"/>
        <v>Error?</v>
      </c>
    </row>
    <row r="849" spans="1:4" x14ac:dyDescent="0.2">
      <c r="A849" s="5">
        <v>788</v>
      </c>
      <c r="B849" s="138">
        <f>'Expenditures 15-22'!E50</f>
        <v>27517</v>
      </c>
      <c r="D849" s="2" t="str">
        <f t="shared" si="12"/>
        <v>Error?</v>
      </c>
    </row>
    <row r="850" spans="1:4" x14ac:dyDescent="0.2">
      <c r="A850" s="5">
        <v>789</v>
      </c>
      <c r="B850" s="138">
        <f>'Expenditures 15-22'!E53</f>
        <v>68895</v>
      </c>
      <c r="C850" s="2" t="s">
        <v>573</v>
      </c>
      <c r="D850" s="2" t="str">
        <f t="shared" si="12"/>
        <v>Error?</v>
      </c>
    </row>
    <row r="851" spans="1:4" x14ac:dyDescent="0.2">
      <c r="A851" s="5">
        <v>790</v>
      </c>
      <c r="B851" s="138">
        <f>'Expenditures 15-22'!E55</f>
        <v>108262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108262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13966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3521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17487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2573</v>
      </c>
      <c r="D867" s="2" t="str">
        <f t="shared" si="12"/>
        <v>Error?</v>
      </c>
    </row>
    <row r="868" spans="1:4" x14ac:dyDescent="0.2">
      <c r="A868" s="10">
        <v>807</v>
      </c>
      <c r="D868" s="2" t="str">
        <f t="shared" si="12"/>
        <v>OK</v>
      </c>
    </row>
    <row r="869" spans="1:4" x14ac:dyDescent="0.2">
      <c r="A869" s="5">
        <v>808</v>
      </c>
      <c r="B869" s="138">
        <f>'Expenditures 15-22'!E72</f>
        <v>2573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249924</v>
      </c>
      <c r="C871" s="2" t="s">
        <v>573</v>
      </c>
      <c r="D871" s="2" t="str">
        <f t="shared" si="12"/>
        <v>Error?</v>
      </c>
    </row>
    <row r="872" spans="1:4" x14ac:dyDescent="0.2">
      <c r="A872" s="5">
        <v>811</v>
      </c>
      <c r="B872" s="138">
        <f>'Expenditures 15-22'!E75</f>
        <v>14176</v>
      </c>
      <c r="D872" s="2" t="str">
        <f t="shared" si="12"/>
        <v>Error?</v>
      </c>
    </row>
    <row r="873" spans="1:4" x14ac:dyDescent="0.2">
      <c r="A873" s="5">
        <v>812</v>
      </c>
      <c r="B873" s="138">
        <f>'Expenditures 15-22'!E114</f>
        <v>424905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223286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108975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359917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399</v>
      </c>
      <c r="D896" s="2" t="str">
        <f t="shared" si="13"/>
        <v>Error?</v>
      </c>
    </row>
    <row r="897" spans="1:4" x14ac:dyDescent="0.2">
      <c r="A897" s="5">
        <v>836</v>
      </c>
      <c r="B897" s="138">
        <f>'Expenditures 15-22'!F38</f>
        <v>2169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17258</v>
      </c>
      <c r="D900" s="2" t="str">
        <f t="shared" si="13"/>
        <v>Error?</v>
      </c>
    </row>
    <row r="901" spans="1:4" x14ac:dyDescent="0.2">
      <c r="A901" s="5">
        <v>840</v>
      </c>
      <c r="B901" s="138">
        <f>'Expenditures 15-22'!F42</f>
        <v>19826</v>
      </c>
      <c r="C901" s="2" t="s">
        <v>573</v>
      </c>
      <c r="D901" s="2" t="str">
        <f t="shared" si="13"/>
        <v>Error?</v>
      </c>
    </row>
    <row r="902" spans="1:4" x14ac:dyDescent="0.2">
      <c r="A902" s="5">
        <v>841</v>
      </c>
      <c r="B902" s="138">
        <f>'Expenditures 15-22'!F44</f>
        <v>8360</v>
      </c>
      <c r="D902" s="2" t="str">
        <f t="shared" si="13"/>
        <v>Error?</v>
      </c>
    </row>
    <row r="903" spans="1:4" x14ac:dyDescent="0.2">
      <c r="A903" s="5">
        <v>842</v>
      </c>
      <c r="B903" s="138">
        <f>'Expenditures 15-22'!F45</f>
        <v>22513</v>
      </c>
      <c r="D903" s="2" t="str">
        <f t="shared" si="13"/>
        <v>Error?</v>
      </c>
    </row>
    <row r="904" spans="1:4" x14ac:dyDescent="0.2">
      <c r="A904" s="5">
        <v>843</v>
      </c>
      <c r="B904" s="138">
        <f>'Expenditures 15-22'!F46</f>
        <v>153</v>
      </c>
      <c r="D904" s="2" t="str">
        <f t="shared" si="13"/>
        <v>Error?</v>
      </c>
    </row>
    <row r="905" spans="1:4" x14ac:dyDescent="0.2">
      <c r="A905" s="5">
        <v>844</v>
      </c>
      <c r="B905" s="138">
        <f>'Expenditures 15-22'!F47</f>
        <v>31026</v>
      </c>
      <c r="C905" s="2" t="s">
        <v>573</v>
      </c>
      <c r="D905" s="2" t="str">
        <f t="shared" si="13"/>
        <v>Error?</v>
      </c>
    </row>
    <row r="906" spans="1:4" x14ac:dyDescent="0.2">
      <c r="A906" s="5">
        <v>845</v>
      </c>
      <c r="B906" s="138">
        <f>'Expenditures 15-22'!F49</f>
        <v>2909</v>
      </c>
      <c r="D906" s="2" t="str">
        <f t="shared" si="13"/>
        <v>Error?</v>
      </c>
    </row>
    <row r="907" spans="1:4" x14ac:dyDescent="0.2">
      <c r="A907" s="5">
        <v>846</v>
      </c>
      <c r="B907" s="138">
        <f>'Expenditures 15-22'!F50</f>
        <v>2080</v>
      </c>
      <c r="D907" s="2" t="str">
        <f t="shared" si="13"/>
        <v>Error?</v>
      </c>
    </row>
    <row r="908" spans="1:4" x14ac:dyDescent="0.2">
      <c r="A908" s="5">
        <v>847</v>
      </c>
      <c r="B908" s="138">
        <f>'Expenditures 15-22'!F53</f>
        <v>4989</v>
      </c>
      <c r="C908" s="2" t="s">
        <v>573</v>
      </c>
      <c r="D908" s="2" t="str">
        <f t="shared" si="13"/>
        <v>Error?</v>
      </c>
    </row>
    <row r="909" spans="1:4" x14ac:dyDescent="0.2">
      <c r="A909" s="5">
        <v>848</v>
      </c>
      <c r="B909" s="138">
        <f>'Expenditures 15-22'!F55</f>
        <v>162153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162153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4005</v>
      </c>
      <c r="D913" s="2" t="str">
        <f t="shared" si="13"/>
        <v>Error?</v>
      </c>
    </row>
    <row r="914" spans="1:4" x14ac:dyDescent="0.2">
      <c r="A914" s="5">
        <v>853</v>
      </c>
      <c r="B914" s="138">
        <f>'Expenditures 15-22'!F61</f>
        <v>433726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494843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932574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123317</v>
      </c>
      <c r="D925" s="2" t="str">
        <f t="shared" si="13"/>
        <v>Error?</v>
      </c>
    </row>
    <row r="926" spans="1:4" x14ac:dyDescent="0.2">
      <c r="A926" s="10">
        <v>865</v>
      </c>
      <c r="D926" s="2" t="str">
        <f t="shared" si="13"/>
        <v>OK</v>
      </c>
    </row>
    <row r="927" spans="1:4" x14ac:dyDescent="0.2">
      <c r="A927" s="5">
        <v>866</v>
      </c>
      <c r="B927" s="138">
        <f>'Expenditures 15-22'!F72</f>
        <v>123317</v>
      </c>
      <c r="C927" s="2" t="s">
        <v>573</v>
      </c>
      <c r="D927" s="2" t="str">
        <f t="shared" si="13"/>
        <v>Error?</v>
      </c>
    </row>
    <row r="928" spans="1:4" x14ac:dyDescent="0.2">
      <c r="A928" s="5">
        <v>867</v>
      </c>
      <c r="B928" s="138">
        <f>'Expenditures 15-22'!F73</f>
        <v>453</v>
      </c>
      <c r="D928" s="2" t="str">
        <f t="shared" si="13"/>
        <v>Error?</v>
      </c>
    </row>
    <row r="929" spans="1:4" x14ac:dyDescent="0.2">
      <c r="A929" s="5">
        <v>868</v>
      </c>
      <c r="B929" s="138">
        <f>'Expenditures 15-22'!F74</f>
        <v>1274338</v>
      </c>
      <c r="C929" s="2" t="s">
        <v>573</v>
      </c>
      <c r="D929" s="2" t="str">
        <f t="shared" si="13"/>
        <v>Error?</v>
      </c>
    </row>
    <row r="930" spans="1:4" x14ac:dyDescent="0.2">
      <c r="A930" s="5">
        <v>869</v>
      </c>
      <c r="B930" s="138">
        <f>'Expenditures 15-22'!F75</f>
        <v>21089</v>
      </c>
      <c r="D930" s="2" t="str">
        <f t="shared" si="13"/>
        <v>Error?</v>
      </c>
    </row>
    <row r="931" spans="1:4" x14ac:dyDescent="0.2">
      <c r="A931" s="5">
        <v>870</v>
      </c>
      <c r="B931" s="138">
        <f>'Expenditures 15-22'!F114</f>
        <v>1655344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88430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88430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912</v>
      </c>
      <c r="D958" s="2" t="str">
        <f t="shared" si="13"/>
        <v>Error?</v>
      </c>
    </row>
    <row r="959" spans="1:4" x14ac:dyDescent="0.2">
      <c r="A959" s="5">
        <v>898</v>
      </c>
      <c r="B959" s="138">
        <f>'Expenditures 15-22'!G42</f>
        <v>912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5466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5466</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159663</v>
      </c>
      <c r="D983" s="2" t="str">
        <f t="shared" si="14"/>
        <v>Error?</v>
      </c>
    </row>
    <row r="984" spans="1:4" x14ac:dyDescent="0.2">
      <c r="A984" s="10">
        <v>923</v>
      </c>
      <c r="D984" s="2" t="str">
        <f t="shared" si="14"/>
        <v>OK</v>
      </c>
    </row>
    <row r="985" spans="1:4" x14ac:dyDescent="0.2">
      <c r="A985" s="5">
        <v>924</v>
      </c>
      <c r="B985" s="138">
        <f>'Expenditures 15-22'!G72</f>
        <v>159663</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166041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254471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24588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26568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817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817</v>
      </c>
      <c r="C1021" s="2" t="s">
        <v>573</v>
      </c>
      <c r="D1021" s="2" t="str">
        <f t="shared" si="14"/>
        <v>Error?</v>
      </c>
    </row>
    <row r="1022" spans="1:4" x14ac:dyDescent="0.2">
      <c r="A1022" s="5">
        <v>961</v>
      </c>
      <c r="B1022" s="138">
        <f>'Expenditures 15-22'!H49</f>
        <v>6322</v>
      </c>
      <c r="D1022" s="2" t="str">
        <f t="shared" si="14"/>
        <v>Error?</v>
      </c>
    </row>
    <row r="1023" spans="1:4" x14ac:dyDescent="0.2">
      <c r="A1023" s="5">
        <v>962</v>
      </c>
      <c r="B1023" s="138">
        <f>'Expenditures 15-22'!H50</f>
        <v>1494</v>
      </c>
      <c r="D1023" s="2" t="str">
        <f t="shared" ref="D1023:D1086" si="15">IF(ISBLANK(B1023),"OK",IF(A1023-B1023=0,"OK","Error?"))</f>
        <v>Error?</v>
      </c>
    </row>
    <row r="1024" spans="1:4" x14ac:dyDescent="0.2">
      <c r="A1024" s="5">
        <v>963</v>
      </c>
      <c r="B1024" s="138">
        <f>'Expenditures 15-22'!H53</f>
        <v>7816</v>
      </c>
      <c r="C1024" s="2" t="s">
        <v>573</v>
      </c>
      <c r="D1024" s="2" t="str">
        <f t="shared" si="15"/>
        <v>Error?</v>
      </c>
    </row>
    <row r="1025" spans="1:4" x14ac:dyDescent="0.2">
      <c r="A1025" s="5">
        <v>964</v>
      </c>
      <c r="B1025" s="138">
        <f>'Expenditures 15-22'!H55</f>
        <v>3239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3239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4495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4495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16367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2743992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2786927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9331117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457364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10458412</v>
      </c>
      <c r="C1108" s="2" t="s">
        <v>573</v>
      </c>
      <c r="D1108" s="2" t="str">
        <f t="shared" si="16"/>
        <v>Error?</v>
      </c>
    </row>
    <row r="1109" spans="1:4" x14ac:dyDescent="0.2">
      <c r="A1109" s="5">
        <v>1048</v>
      </c>
      <c r="B1109" s="138">
        <f>'Expenditures 15-22'!K36</f>
        <v>319366</v>
      </c>
      <c r="C1109" s="2" t="s">
        <v>573</v>
      </c>
      <c r="D1109" s="2" t="str">
        <f t="shared" si="16"/>
        <v>Error?</v>
      </c>
    </row>
    <row r="1110" spans="1:4" x14ac:dyDescent="0.2">
      <c r="A1110" s="5">
        <v>1049</v>
      </c>
      <c r="B1110" s="138">
        <f>'Expenditures 15-22'!K37</f>
        <v>197449</v>
      </c>
      <c r="C1110" s="2" t="s">
        <v>573</v>
      </c>
      <c r="D1110" s="2" t="str">
        <f t="shared" si="16"/>
        <v>Error?</v>
      </c>
    </row>
    <row r="1111" spans="1:4" x14ac:dyDescent="0.2">
      <c r="A1111" s="5">
        <v>1050</v>
      </c>
      <c r="B1111" s="138">
        <f>'Expenditures 15-22'!K38</f>
        <v>118658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57432</v>
      </c>
      <c r="C1114" s="2" t="s">
        <v>573</v>
      </c>
      <c r="D1114" s="2" t="str">
        <f t="shared" si="16"/>
        <v>Error?</v>
      </c>
    </row>
    <row r="1115" spans="1:4" x14ac:dyDescent="0.2">
      <c r="A1115" s="5">
        <v>1054</v>
      </c>
      <c r="B1115" s="138">
        <f>'Expenditures 15-22'!K42</f>
        <v>692905</v>
      </c>
      <c r="C1115" s="2" t="s">
        <v>573</v>
      </c>
      <c r="D1115" s="2" t="str">
        <f t="shared" si="16"/>
        <v>Error?</v>
      </c>
    </row>
    <row r="1116" spans="1:4" x14ac:dyDescent="0.2">
      <c r="A1116" s="5">
        <v>1055</v>
      </c>
      <c r="B1116" s="138">
        <f>'Expenditures 15-22'!K44</f>
        <v>243194</v>
      </c>
      <c r="C1116" s="2" t="s">
        <v>573</v>
      </c>
      <c r="D1116" s="2" t="str">
        <f t="shared" si="16"/>
        <v>Error?</v>
      </c>
    </row>
    <row r="1117" spans="1:4" x14ac:dyDescent="0.2">
      <c r="A1117" s="5">
        <v>1056</v>
      </c>
      <c r="B1117" s="138">
        <f>'Expenditures 15-22'!K45</f>
        <v>198024</v>
      </c>
      <c r="C1117" s="2" t="s">
        <v>573</v>
      </c>
      <c r="D1117" s="2" t="str">
        <f t="shared" si="16"/>
        <v>Error?</v>
      </c>
    </row>
    <row r="1118" spans="1:4" x14ac:dyDescent="0.2">
      <c r="A1118" s="5">
        <v>1057</v>
      </c>
      <c r="B1118" s="138">
        <f>'Expenditures 15-22'!K46</f>
        <v>28219</v>
      </c>
      <c r="C1118" s="2" t="s">
        <v>573</v>
      </c>
      <c r="D1118" s="2" t="str">
        <f t="shared" si="16"/>
        <v>Error?</v>
      </c>
    </row>
    <row r="1119" spans="1:4" x14ac:dyDescent="0.2">
      <c r="A1119" s="5">
        <v>1058</v>
      </c>
      <c r="B1119" s="138">
        <f>'Expenditures 15-22'!K47</f>
        <v>469437</v>
      </c>
      <c r="C1119" s="2" t="s">
        <v>573</v>
      </c>
      <c r="D1119" s="2" t="str">
        <f t="shared" si="16"/>
        <v>Error?</v>
      </c>
    </row>
    <row r="1120" spans="1:4" x14ac:dyDescent="0.2">
      <c r="A1120" s="5">
        <v>1059</v>
      </c>
      <c r="B1120" s="138">
        <f>'Expenditures 15-22'!K49</f>
        <v>53609</v>
      </c>
      <c r="C1120" s="2" t="s">
        <v>573</v>
      </c>
      <c r="D1120" s="2" t="str">
        <f t="shared" si="16"/>
        <v>Error?</v>
      </c>
    </row>
    <row r="1121" spans="1:4" x14ac:dyDescent="0.2">
      <c r="A1121" s="5">
        <v>1060</v>
      </c>
      <c r="B1121" s="138">
        <f>'Expenditures 15-22'!K50</f>
        <v>309099</v>
      </c>
      <c r="C1121" s="2" t="s">
        <v>573</v>
      </c>
      <c r="D1121" s="2" t="str">
        <f t="shared" si="16"/>
        <v>Error?</v>
      </c>
    </row>
    <row r="1122" spans="1:4" x14ac:dyDescent="0.2">
      <c r="A1122" s="5">
        <v>1061</v>
      </c>
      <c r="B1122" s="138">
        <f>'Expenditures 15-22'!K53</f>
        <v>362708</v>
      </c>
      <c r="C1122" s="2" t="s">
        <v>573</v>
      </c>
      <c r="D1122" s="2" t="str">
        <f t="shared" si="16"/>
        <v>Error?</v>
      </c>
    </row>
    <row r="1123" spans="1:4" x14ac:dyDescent="0.2">
      <c r="A1123" s="5">
        <v>1062</v>
      </c>
      <c r="B1123" s="138">
        <f>'Expenditures 15-22'!K55</f>
        <v>1494507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1494507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129659</v>
      </c>
      <c r="C1127" s="2" t="s">
        <v>573</v>
      </c>
      <c r="D1127" s="2" t="str">
        <f t="shared" si="16"/>
        <v>Error?</v>
      </c>
    </row>
    <row r="1128" spans="1:4" x14ac:dyDescent="0.2">
      <c r="A1128" s="5">
        <v>1067</v>
      </c>
      <c r="B1128" s="138">
        <f>'Expenditures 15-22'!K61</f>
        <v>1321535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967469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2418663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478958</v>
      </c>
      <c r="C1139" s="2" t="s">
        <v>573</v>
      </c>
      <c r="D1139" s="2" t="str">
        <f t="shared" si="16"/>
        <v>Error?</v>
      </c>
    </row>
    <row r="1140" spans="1:4" x14ac:dyDescent="0.2">
      <c r="A1140" s="10">
        <v>1079</v>
      </c>
      <c r="D1140" s="2" t="str">
        <f t="shared" si="16"/>
        <v>OK</v>
      </c>
    </row>
    <row r="1141" spans="1:4" x14ac:dyDescent="0.2">
      <c r="A1141" s="5">
        <v>1080</v>
      </c>
      <c r="B1141" s="138">
        <f>'Expenditures 15-22'!K72</f>
        <v>478958</v>
      </c>
      <c r="C1141" s="2" t="s">
        <v>573</v>
      </c>
      <c r="D1141" s="2" t="str">
        <f t="shared" si="16"/>
        <v>Error?</v>
      </c>
    </row>
    <row r="1142" spans="1:4" x14ac:dyDescent="0.2">
      <c r="A1142" s="5">
        <v>1081</v>
      </c>
      <c r="B1142" s="138">
        <f>'Expenditures 15-22'!K73</f>
        <v>453</v>
      </c>
      <c r="C1142" s="2" t="s">
        <v>573</v>
      </c>
      <c r="D1142" s="2" t="str">
        <f t="shared" si="16"/>
        <v>Error?</v>
      </c>
    </row>
    <row r="1143" spans="1:4" x14ac:dyDescent="0.2">
      <c r="A1143" s="5">
        <v>1082</v>
      </c>
      <c r="B1143" s="138">
        <f>'Expenditures 15-22'!K74</f>
        <v>5917631</v>
      </c>
      <c r="C1143" s="2" t="s">
        <v>573</v>
      </c>
      <c r="D1143" s="2" t="str">
        <f t="shared" si="16"/>
        <v>Error?</v>
      </c>
    </row>
    <row r="1144" spans="1:4" x14ac:dyDescent="0.2">
      <c r="A1144" s="5">
        <v>1083</v>
      </c>
      <c r="B1144" s="138">
        <f>'Expenditures 15-22'!K75</f>
        <v>39445</v>
      </c>
      <c r="C1144" s="2" t="s">
        <v>573</v>
      </c>
      <c r="D1144" s="2" t="str">
        <f t="shared" si="16"/>
        <v>Error?</v>
      </c>
    </row>
    <row r="1145" spans="1:4" x14ac:dyDescent="0.2">
      <c r="A1145" s="5">
        <v>1084</v>
      </c>
      <c r="B1145" s="138">
        <f>'Expenditures 15-22'!K102</f>
        <v>2759355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19174843</v>
      </c>
      <c r="C1152" s="2" t="s">
        <v>573</v>
      </c>
      <c r="D1152" s="2" t="str">
        <f t="shared" si="17"/>
        <v>Error?</v>
      </c>
    </row>
    <row r="1153" spans="1:4" x14ac:dyDescent="0.2">
      <c r="A1153" s="5">
        <v>1092</v>
      </c>
      <c r="B1153" s="138">
        <f>'Expenditures 15-22'!K115</f>
        <v>1412476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181707</v>
      </c>
      <c r="D1221" s="2" t="str">
        <f t="shared" si="18"/>
        <v>Error?</v>
      </c>
    </row>
    <row r="1222" spans="1:4" x14ac:dyDescent="0.2">
      <c r="A1222" s="10">
        <v>1161</v>
      </c>
      <c r="D1222" s="2" t="str">
        <f t="shared" si="18"/>
        <v>OK</v>
      </c>
    </row>
    <row r="1223" spans="1:4" x14ac:dyDescent="0.2">
      <c r="A1223" s="5">
        <v>1162</v>
      </c>
      <c r="B1223" s="138">
        <f>'Expenditures 15-22'!C127</f>
        <v>181707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181707</v>
      </c>
      <c r="C1225" s="2" t="s">
        <v>573</v>
      </c>
      <c r="D1225" s="2" t="str">
        <f t="shared" si="18"/>
        <v>Error?</v>
      </c>
    </row>
    <row r="1226" spans="1:4" x14ac:dyDescent="0.2">
      <c r="A1226" s="5">
        <v>1165</v>
      </c>
      <c r="B1226" s="138">
        <f>'Expenditures 15-22'!C151</f>
        <v>181707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43757</v>
      </c>
      <c r="D1229" s="2" t="str">
        <f t="shared" si="18"/>
        <v>Error?</v>
      </c>
    </row>
    <row r="1230" spans="1:4" x14ac:dyDescent="0.2">
      <c r="A1230" s="10">
        <v>1169</v>
      </c>
      <c r="D1230" s="2" t="str">
        <f t="shared" si="18"/>
        <v>OK</v>
      </c>
    </row>
    <row r="1231" spans="1:4" x14ac:dyDescent="0.2">
      <c r="A1231" s="5">
        <v>1170</v>
      </c>
      <c r="B1231" s="138">
        <f>'Expenditures 15-22'!D127</f>
        <v>43757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43757</v>
      </c>
      <c r="C1233" s="2" t="s">
        <v>573</v>
      </c>
      <c r="D1233" s="2" t="str">
        <f t="shared" si="18"/>
        <v>Error?</v>
      </c>
    </row>
    <row r="1234" spans="1:4" x14ac:dyDescent="0.2">
      <c r="A1234" s="5">
        <v>1173</v>
      </c>
      <c r="B1234" s="138">
        <f>'Expenditures 15-22'!D151</f>
        <v>43757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233542</v>
      </c>
      <c r="D1237" s="2" t="str">
        <f t="shared" si="18"/>
        <v>Error?</v>
      </c>
    </row>
    <row r="1238" spans="1:4" x14ac:dyDescent="0.2">
      <c r="A1238" s="10">
        <v>1177</v>
      </c>
      <c r="D1238" s="2" t="str">
        <f t="shared" si="18"/>
        <v>OK</v>
      </c>
    </row>
    <row r="1239" spans="1:4" x14ac:dyDescent="0.2">
      <c r="A1239" s="5">
        <v>1178</v>
      </c>
      <c r="B1239" s="138">
        <f>'Expenditures 15-22'!E127</f>
        <v>233542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233542</v>
      </c>
      <c r="C1241" s="2" t="s">
        <v>573</v>
      </c>
      <c r="D1241" s="2" t="str">
        <f t="shared" si="18"/>
        <v>Error?</v>
      </c>
    </row>
    <row r="1242" spans="1:4" x14ac:dyDescent="0.2">
      <c r="A1242" s="5">
        <v>1181</v>
      </c>
      <c r="B1242" s="138">
        <f>'Expenditures 15-22'!E151</f>
        <v>233542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245103</v>
      </c>
      <c r="D1245" s="2" t="str">
        <f t="shared" si="18"/>
        <v>Error?</v>
      </c>
    </row>
    <row r="1246" spans="1:4" x14ac:dyDescent="0.2">
      <c r="A1246" s="10">
        <v>1185</v>
      </c>
      <c r="D1246" s="2" t="str">
        <f t="shared" si="18"/>
        <v>OK</v>
      </c>
    </row>
    <row r="1247" spans="1:4" x14ac:dyDescent="0.2">
      <c r="A1247" s="5">
        <v>1186</v>
      </c>
      <c r="B1247" s="138">
        <f>'Expenditures 15-22'!F127</f>
        <v>245103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245103</v>
      </c>
      <c r="C1249" s="2" t="s">
        <v>573</v>
      </c>
      <c r="D1249" s="2" t="str">
        <f t="shared" si="18"/>
        <v>Error?</v>
      </c>
    </row>
    <row r="1250" spans="1:4" x14ac:dyDescent="0.2">
      <c r="A1250" s="5">
        <v>1189</v>
      </c>
      <c r="B1250" s="138">
        <f>'Expenditures 15-22'!F151</f>
        <v>245103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121804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121804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121804</v>
      </c>
      <c r="C1258" s="2" t="s">
        <v>573</v>
      </c>
      <c r="D1258" s="2" t="str">
        <f t="shared" si="18"/>
        <v>Error?</v>
      </c>
    </row>
    <row r="1259" spans="1:4" x14ac:dyDescent="0.2">
      <c r="A1259" s="5">
        <v>1198</v>
      </c>
      <c r="B1259" s="138">
        <f>'Expenditures 15-22'!G151</f>
        <v>121804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825913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825913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825913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825913</v>
      </c>
      <c r="C1288" s="2" t="s">
        <v>573</v>
      </c>
      <c r="D1288" s="2" t="str">
        <f t="shared" si="19"/>
        <v>Error?</v>
      </c>
    </row>
    <row r="1289" spans="1:4" x14ac:dyDescent="0.2">
      <c r="A1289" s="5">
        <v>1228</v>
      </c>
      <c r="B1289" s="138">
        <f>'Expenditures 15-22'!K152</f>
        <v>-1679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1291668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485790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1777458</v>
      </c>
      <c r="C1317" s="2" t="s">
        <v>573</v>
      </c>
      <c r="D1317" s="2" t="str">
        <f t="shared" si="19"/>
        <v>Error?</v>
      </c>
    </row>
    <row r="1318" spans="1:4" x14ac:dyDescent="0.2">
      <c r="A1318" s="5">
        <v>1257</v>
      </c>
      <c r="B1318" s="138">
        <f>'Expenditures 15-22'!H174</f>
        <v>1777458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1291668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485790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1777458</v>
      </c>
      <c r="C1331" s="2" t="s">
        <v>573</v>
      </c>
      <c r="D1331" s="2" t="str">
        <f t="shared" si="19"/>
        <v>Error?</v>
      </c>
    </row>
    <row r="1332" spans="1:4" x14ac:dyDescent="0.2">
      <c r="A1332" s="5">
        <v>1271</v>
      </c>
      <c r="B1332" s="138">
        <f>'Expenditures 15-22'!K174</f>
        <v>1777458</v>
      </c>
      <c r="C1332" s="2" t="s">
        <v>573</v>
      </c>
      <c r="D1332" s="2" t="str">
        <f t="shared" si="19"/>
        <v>Error?</v>
      </c>
    </row>
    <row r="1333" spans="1:4" x14ac:dyDescent="0.2">
      <c r="A1333" s="5">
        <v>1272</v>
      </c>
      <c r="B1333" s="138">
        <f>'Expenditures 15-22'!K175</f>
        <v>-48515</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846236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846236</v>
      </c>
      <c r="C1351" s="2" t="s">
        <v>573</v>
      </c>
      <c r="D1351" s="2" t="str">
        <f t="shared" si="20"/>
        <v>Error?</v>
      </c>
    </row>
    <row r="1352" spans="1:4" x14ac:dyDescent="0.2">
      <c r="A1352" s="5">
        <v>1291</v>
      </c>
      <c r="B1352" s="138">
        <f>'Expenditures 15-22'!E196</f>
        <v>129935</v>
      </c>
      <c r="C1352" s="2" t="s">
        <v>573</v>
      </c>
      <c r="D1352" s="2" t="str">
        <f t="shared" si="20"/>
        <v>Error?</v>
      </c>
    </row>
    <row r="1353" spans="1:4" x14ac:dyDescent="0.2">
      <c r="A1353" s="5">
        <v>1292</v>
      </c>
      <c r="B1353" s="138">
        <f>'Expenditures 15-22'!E210</f>
        <v>976171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43456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43456</v>
      </c>
      <c r="C1364" s="2" t="s">
        <v>573</v>
      </c>
      <c r="D1364" s="2" t="str">
        <f t="shared" si="20"/>
        <v>Error?</v>
      </c>
    </row>
    <row r="1365" spans="1:4" x14ac:dyDescent="0.2">
      <c r="A1365" s="5">
        <v>1304</v>
      </c>
      <c r="B1365" s="138">
        <f>'Expenditures 15-22'!G210</f>
        <v>43456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889692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889692</v>
      </c>
      <c r="C1381" s="2" t="s">
        <v>573</v>
      </c>
      <c r="D1381" s="2" t="str">
        <f t="shared" si="20"/>
        <v>Error?</v>
      </c>
    </row>
    <row r="1382" spans="1:4" x14ac:dyDescent="0.2">
      <c r="A1382" s="5">
        <v>1321</v>
      </c>
      <c r="B1382" s="138">
        <f>'Expenditures 15-22'!K196</f>
        <v>129935</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1019627</v>
      </c>
      <c r="C1388" s="2" t="s">
        <v>573</v>
      </c>
      <c r="D1388" s="2" t="str">
        <f t="shared" si="20"/>
        <v>Error?</v>
      </c>
    </row>
    <row r="1389" spans="1:4" x14ac:dyDescent="0.2">
      <c r="A1389" s="5">
        <v>1328</v>
      </c>
      <c r="B1389" s="138">
        <f>'Expenditures 15-22'!K211</f>
        <v>-19630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10394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155193</v>
      </c>
      <c r="C1410" s="2" t="s">
        <v>573</v>
      </c>
      <c r="D1410" s="2" t="str">
        <f t="shared" si="21"/>
        <v>Error?</v>
      </c>
    </row>
    <row r="1411" spans="1:4" x14ac:dyDescent="0.2">
      <c r="A1411" s="5">
        <v>1350</v>
      </c>
      <c r="B1411" s="138">
        <f>'Expenditures 15-22'!D232</f>
        <v>3218</v>
      </c>
      <c r="D1411" s="2" t="str">
        <f t="shared" si="21"/>
        <v>Error?</v>
      </c>
    </row>
    <row r="1412" spans="1:4" x14ac:dyDescent="0.2">
      <c r="A1412" s="5">
        <v>1351</v>
      </c>
      <c r="B1412" s="138">
        <f>'Expenditures 15-22'!D233</f>
        <v>2417</v>
      </c>
      <c r="D1412" s="2" t="str">
        <f t="shared" si="21"/>
        <v>Error?</v>
      </c>
    </row>
    <row r="1413" spans="1:4" x14ac:dyDescent="0.2">
      <c r="A1413" s="5">
        <v>1352</v>
      </c>
      <c r="B1413" s="138">
        <f>'Expenditures 15-22'!D234</f>
        <v>15039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3495</v>
      </c>
      <c r="D1416" s="2" t="str">
        <f t="shared" si="21"/>
        <v>Error?</v>
      </c>
    </row>
    <row r="1417" spans="1:4" x14ac:dyDescent="0.2">
      <c r="A1417" s="5">
        <v>1356</v>
      </c>
      <c r="B1417" s="138">
        <f>'Expenditures 15-22'!D238</f>
        <v>24169</v>
      </c>
      <c r="C1417" s="2" t="s">
        <v>573</v>
      </c>
      <c r="D1417" s="2" t="str">
        <f t="shared" si="21"/>
        <v>Error?</v>
      </c>
    </row>
    <row r="1418" spans="1:4" x14ac:dyDescent="0.2">
      <c r="A1418" s="5">
        <v>1357</v>
      </c>
      <c r="B1418" s="138">
        <f>'Expenditures 15-22'!D240</f>
        <v>8060</v>
      </c>
      <c r="D1418" s="2" t="str">
        <f t="shared" si="21"/>
        <v>Error?</v>
      </c>
    </row>
    <row r="1419" spans="1:4" x14ac:dyDescent="0.2">
      <c r="A1419" s="5">
        <v>1358</v>
      </c>
      <c r="B1419" s="138">
        <f>'Expenditures 15-22'!D241</f>
        <v>13531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21591</v>
      </c>
      <c r="C1421" s="2" t="s">
        <v>573</v>
      </c>
      <c r="D1421" s="2" t="str">
        <f t="shared" si="21"/>
        <v>Error?</v>
      </c>
    </row>
    <row r="1422" spans="1:4" x14ac:dyDescent="0.2">
      <c r="A1422" s="5">
        <v>1361</v>
      </c>
      <c r="B1422" s="138">
        <f>'Expenditures 15-22'!D245</f>
        <v>479</v>
      </c>
      <c r="D1422" s="2" t="str">
        <f t="shared" si="21"/>
        <v>Error?</v>
      </c>
    </row>
    <row r="1423" spans="1:4" x14ac:dyDescent="0.2">
      <c r="A1423" s="5">
        <v>1362</v>
      </c>
      <c r="B1423" s="138">
        <f>'Expenditures 15-22'!D246</f>
        <v>18524</v>
      </c>
      <c r="D1423" s="2" t="str">
        <f t="shared" si="21"/>
        <v>Error?</v>
      </c>
    </row>
    <row r="1424" spans="1:4" x14ac:dyDescent="0.2">
      <c r="A1424" s="5">
        <v>1363</v>
      </c>
      <c r="B1424" s="138">
        <f>'Expenditures 15-22'!D257</f>
        <v>20954</v>
      </c>
      <c r="C1424" s="2" t="s">
        <v>573</v>
      </c>
      <c r="D1424" s="2" t="str">
        <f t="shared" si="21"/>
        <v>Error?</v>
      </c>
    </row>
    <row r="1425" spans="1:4" x14ac:dyDescent="0.2">
      <c r="A1425" s="5">
        <v>1364</v>
      </c>
      <c r="B1425" s="138">
        <f>'Expenditures 15-22'!D259</f>
        <v>55694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55694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15555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147376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54383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217314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23316</v>
      </c>
      <c r="D1442" s="2" t="str">
        <f t="shared" si="21"/>
        <v>Error?</v>
      </c>
    </row>
    <row r="1443" spans="1:4" x14ac:dyDescent="0.2">
      <c r="A1443" s="10">
        <v>1382</v>
      </c>
      <c r="D1443" s="2" t="str">
        <f t="shared" si="21"/>
        <v>OK</v>
      </c>
    </row>
    <row r="1444" spans="1:4" x14ac:dyDescent="0.2">
      <c r="A1444" s="5">
        <v>1383</v>
      </c>
      <c r="B1444" s="138">
        <f>'Expenditures 15-22'!D277</f>
        <v>23316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363038</v>
      </c>
      <c r="C1446" s="2" t="s">
        <v>573</v>
      </c>
      <c r="D1446" s="2" t="str">
        <f t="shared" si="21"/>
        <v>Error?</v>
      </c>
    </row>
    <row r="1447" spans="1:4" x14ac:dyDescent="0.2">
      <c r="A1447" s="5">
        <v>1386</v>
      </c>
      <c r="B1447" s="138">
        <f>'Expenditures 15-22'!D280</f>
        <v>54</v>
      </c>
      <c r="D1447" s="2" t="str">
        <f t="shared" si="21"/>
        <v>Error?</v>
      </c>
    </row>
    <row r="1448" spans="1:4" x14ac:dyDescent="0.2">
      <c r="A1448" s="5">
        <v>1387</v>
      </c>
      <c r="B1448" s="138">
        <f>'Expenditures 15-22'!D295</f>
        <v>518285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10394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155193</v>
      </c>
      <c r="C1474" s="2" t="s">
        <v>573</v>
      </c>
      <c r="D1474" s="2" t="str">
        <f t="shared" si="22"/>
        <v>Error?</v>
      </c>
    </row>
    <row r="1475" spans="1:4" x14ac:dyDescent="0.2">
      <c r="A1475" s="5">
        <v>1414</v>
      </c>
      <c r="B1475" s="138">
        <f>'Expenditures 15-22'!K232</f>
        <v>3218</v>
      </c>
      <c r="C1475" s="2" t="s">
        <v>573</v>
      </c>
      <c r="D1475" s="2" t="str">
        <f t="shared" si="22"/>
        <v>Error?</v>
      </c>
    </row>
    <row r="1476" spans="1:4" x14ac:dyDescent="0.2">
      <c r="A1476" s="5">
        <v>1415</v>
      </c>
      <c r="B1476" s="138">
        <f>'Expenditures 15-22'!K233</f>
        <v>2417</v>
      </c>
      <c r="C1476" s="2" t="s">
        <v>573</v>
      </c>
      <c r="D1476" s="2" t="str">
        <f t="shared" si="22"/>
        <v>Error?</v>
      </c>
    </row>
    <row r="1477" spans="1:4" x14ac:dyDescent="0.2">
      <c r="A1477" s="5">
        <v>1416</v>
      </c>
      <c r="B1477" s="138">
        <f>'Expenditures 15-22'!K234</f>
        <v>15039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3495</v>
      </c>
      <c r="C1480" s="2" t="s">
        <v>573</v>
      </c>
      <c r="D1480" s="2" t="str">
        <f t="shared" si="22"/>
        <v>Error?</v>
      </c>
    </row>
    <row r="1481" spans="1:4" x14ac:dyDescent="0.2">
      <c r="A1481" s="5">
        <v>1420</v>
      </c>
      <c r="B1481" s="138">
        <f>'Expenditures 15-22'!K238</f>
        <v>24169</v>
      </c>
      <c r="C1481" s="2" t="s">
        <v>573</v>
      </c>
      <c r="D1481" s="2" t="str">
        <f t="shared" si="22"/>
        <v>Error?</v>
      </c>
    </row>
    <row r="1482" spans="1:4" x14ac:dyDescent="0.2">
      <c r="A1482" s="5">
        <v>1421</v>
      </c>
      <c r="B1482" s="138">
        <f>'Expenditures 15-22'!K240</f>
        <v>8060</v>
      </c>
      <c r="C1482" s="2" t="s">
        <v>573</v>
      </c>
      <c r="D1482" s="2" t="str">
        <f t="shared" si="22"/>
        <v>Error?</v>
      </c>
    </row>
    <row r="1483" spans="1:4" x14ac:dyDescent="0.2">
      <c r="A1483" s="5">
        <v>1422</v>
      </c>
      <c r="B1483" s="138">
        <f>'Expenditures 15-22'!K241</f>
        <v>13531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21591</v>
      </c>
      <c r="C1485" s="2" t="s">
        <v>573</v>
      </c>
      <c r="D1485" s="2" t="str">
        <f t="shared" si="22"/>
        <v>Error?</v>
      </c>
    </row>
    <row r="1486" spans="1:4" x14ac:dyDescent="0.2">
      <c r="A1486" s="5">
        <v>1425</v>
      </c>
      <c r="B1486" s="138">
        <f>'Expenditures 15-22'!K245</f>
        <v>479</v>
      </c>
      <c r="C1486" s="2" t="s">
        <v>573</v>
      </c>
      <c r="D1486" s="2" t="str">
        <f t="shared" si="22"/>
        <v>Error?</v>
      </c>
    </row>
    <row r="1487" spans="1:4" x14ac:dyDescent="0.2">
      <c r="A1487" s="5">
        <v>1426</v>
      </c>
      <c r="B1487" s="138">
        <f>'Expenditures 15-22'!K246</f>
        <v>18524</v>
      </c>
      <c r="C1487" s="2" t="s">
        <v>573</v>
      </c>
      <c r="D1487" s="2" t="str">
        <f t="shared" si="22"/>
        <v>Error?</v>
      </c>
    </row>
    <row r="1488" spans="1:4" x14ac:dyDescent="0.2">
      <c r="A1488" s="5">
        <v>1427</v>
      </c>
      <c r="B1488" s="138">
        <f>'Expenditures 15-22'!K257</f>
        <v>20954</v>
      </c>
      <c r="C1488" s="2" t="s">
        <v>573</v>
      </c>
      <c r="D1488" s="2" t="str">
        <f t="shared" si="22"/>
        <v>Error?</v>
      </c>
    </row>
    <row r="1489" spans="1:4" x14ac:dyDescent="0.2">
      <c r="A1489" s="5">
        <v>1428</v>
      </c>
      <c r="B1489" s="138">
        <f>'Expenditures 15-22'!K259</f>
        <v>55694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55694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15555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147376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54383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217314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23316</v>
      </c>
      <c r="C1506" s="2" t="s">
        <v>573</v>
      </c>
      <c r="D1506" s="2" t="str">
        <f t="shared" si="22"/>
        <v>Error?</v>
      </c>
    </row>
    <row r="1507" spans="1:4" x14ac:dyDescent="0.2">
      <c r="A1507" s="10">
        <v>1446</v>
      </c>
      <c r="D1507" s="2" t="str">
        <f t="shared" si="22"/>
        <v>OK</v>
      </c>
    </row>
    <row r="1508" spans="1:4" x14ac:dyDescent="0.2">
      <c r="A1508" s="5">
        <v>1447</v>
      </c>
      <c r="B1508" s="138">
        <f>'Expenditures 15-22'!K277</f>
        <v>23316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363038</v>
      </c>
      <c r="C1510" s="2" t="s">
        <v>573</v>
      </c>
      <c r="D1510" s="2" t="str">
        <f t="shared" si="22"/>
        <v>Error?</v>
      </c>
    </row>
    <row r="1511" spans="1:4" x14ac:dyDescent="0.2">
      <c r="A1511" s="5">
        <v>1450</v>
      </c>
      <c r="B1511" s="138">
        <f>'Expenditures 15-22'!K280</f>
        <v>54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518285</v>
      </c>
      <c r="C1517" s="2" t="s">
        <v>573</v>
      </c>
      <c r="D1517" s="2" t="str">
        <f t="shared" si="22"/>
        <v>Error?</v>
      </c>
    </row>
    <row r="1518" spans="1:4" x14ac:dyDescent="0.2">
      <c r="A1518" s="5">
        <v>1457</v>
      </c>
      <c r="B1518" s="138">
        <f>'Expenditures 15-22'!K296</f>
        <v>10739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101614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101614</v>
      </c>
      <c r="C1547" s="2" t="s">
        <v>573</v>
      </c>
      <c r="D1547" s="2" t="str">
        <f t="shared" si="23"/>
        <v>Error?</v>
      </c>
    </row>
    <row r="1548" spans="1:4" x14ac:dyDescent="0.2">
      <c r="A1548" s="5">
        <v>1487</v>
      </c>
      <c r="B1548" s="138">
        <f>'Expenditures 15-22'!G312</f>
        <v>101614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101614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101614</v>
      </c>
      <c r="C1559" s="2" t="s">
        <v>573</v>
      </c>
      <c r="D1559" s="2" t="str">
        <f t="shared" si="23"/>
        <v>Error?</v>
      </c>
    </row>
    <row r="1560" spans="1:4" x14ac:dyDescent="0.2">
      <c r="A1560" s="5">
        <v>1499</v>
      </c>
      <c r="B1560" s="138">
        <f>'Expenditures 15-22'!K312</f>
        <v>101614</v>
      </c>
      <c r="C1560" s="2" t="s">
        <v>573</v>
      </c>
      <c r="D1560" s="2" t="str">
        <f t="shared" si="23"/>
        <v>Error?</v>
      </c>
    </row>
    <row r="1561" spans="1:4" x14ac:dyDescent="0.2">
      <c r="A1561" s="5">
        <v>1500</v>
      </c>
      <c r="B1561" s="138">
        <f>'Expenditures 15-22'!K313</f>
        <v>528644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1320711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2690459</v>
      </c>
      <c r="C1630" s="2" t="s">
        <v>573</v>
      </c>
      <c r="D1630" s="2" t="str">
        <f t="shared" si="24"/>
        <v>Error?</v>
      </c>
    </row>
    <row r="1631" spans="1:4" x14ac:dyDescent="0.2">
      <c r="A1631" s="5">
        <v>1570</v>
      </c>
      <c r="B1631" s="138">
        <f>'Acct Summary 7-8'!D79</f>
        <v>199585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197394</v>
      </c>
      <c r="C1644" s="2" t="s">
        <v>573</v>
      </c>
      <c r="D1644" s="2" t="str">
        <f t="shared" si="24"/>
        <v>Error?</v>
      </c>
    </row>
    <row r="1645" spans="1:4" x14ac:dyDescent="0.2">
      <c r="A1645" s="5">
        <v>1584</v>
      </c>
      <c r="B1645" s="138">
        <f>'Acct Summary 7-8'!E79</f>
        <v>5090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2351</v>
      </c>
      <c r="C1658" s="2" t="s">
        <v>573</v>
      </c>
      <c r="D1658" s="2" t="str">
        <f t="shared" si="24"/>
        <v>Error?</v>
      </c>
    </row>
    <row r="1659" spans="1:4" x14ac:dyDescent="0.2">
      <c r="A1659" s="5">
        <v>1598</v>
      </c>
      <c r="B1659" s="138">
        <f>'Acct Summary 7-8'!F79</f>
        <v>89477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69492</v>
      </c>
      <c r="C1672" s="2" t="s">
        <v>573</v>
      </c>
      <c r="D1672" s="2" t="str">
        <f t="shared" si="25"/>
        <v>Error?</v>
      </c>
    </row>
    <row r="1673" spans="1:4" x14ac:dyDescent="0.2">
      <c r="A1673" s="5">
        <v>1612</v>
      </c>
      <c r="B1673" s="138">
        <f>'Acct Summary 7-8'!G79</f>
        <v>181551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192290</v>
      </c>
      <c r="C1686" s="2" t="s">
        <v>573</v>
      </c>
      <c r="D1686" s="2" t="str">
        <f t="shared" si="25"/>
        <v>Error?</v>
      </c>
    </row>
    <row r="1687" spans="1:4" x14ac:dyDescent="0.2">
      <c r="A1687" s="5">
        <v>1626</v>
      </c>
      <c r="B1687" s="138">
        <f>'Acct Summary 7-8'!H79</f>
        <v>1592829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2121473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3826859</v>
      </c>
      <c r="C1744" s="2" t="s">
        <v>573</v>
      </c>
      <c r="D1744" s="2" t="str">
        <f t="shared" si="26"/>
        <v>Error?</v>
      </c>
    </row>
    <row r="1745" spans="1:5" x14ac:dyDescent="0.2">
      <c r="A1745" s="5">
        <v>1684</v>
      </c>
      <c r="B1745" s="138">
        <f>'Tax Sched 23'!B5</f>
        <v>798846</v>
      </c>
      <c r="C1745" s="2" t="s">
        <v>573</v>
      </c>
      <c r="D1745" s="2" t="str">
        <f t="shared" si="26"/>
        <v>Error?</v>
      </c>
    </row>
    <row r="1746" spans="1:5" x14ac:dyDescent="0.2">
      <c r="A1746" s="5">
        <v>1685</v>
      </c>
      <c r="B1746" s="138">
        <f>'Tax Sched 23'!B6</f>
        <v>424163</v>
      </c>
      <c r="C1746" s="2" t="s">
        <v>573</v>
      </c>
      <c r="D1746" s="2" t="str">
        <f t="shared" si="26"/>
        <v>Error?</v>
      </c>
    </row>
    <row r="1747" spans="1:5" x14ac:dyDescent="0.2">
      <c r="A1747" s="5">
        <v>1686</v>
      </c>
      <c r="B1747" s="138">
        <f>'Tax Sched 23'!B7</f>
        <v>595214</v>
      </c>
      <c r="C1747" s="2" t="s">
        <v>573</v>
      </c>
      <c r="D1747" s="2" t="str">
        <f t="shared" si="26"/>
        <v>Error?</v>
      </c>
    </row>
    <row r="1748" spans="1:5" x14ac:dyDescent="0.2">
      <c r="A1748" s="5">
        <v>1687</v>
      </c>
      <c r="B1748" s="138">
        <f>'Tax Sched 23'!B8</f>
        <v>254777</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303238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6457874</v>
      </c>
      <c r="C1759" s="2" t="s">
        <v>573</v>
      </c>
      <c r="D1759" s="2" t="str">
        <f t="shared" si="26"/>
        <v>Error?</v>
      </c>
    </row>
    <row r="1760" spans="1:5" x14ac:dyDescent="0.2">
      <c r="A1760" s="5">
        <v>1699</v>
      </c>
      <c r="B1760" s="138">
        <f>'Tax Sched 23'!D4</f>
        <v>3826859</v>
      </c>
      <c r="C1760" s="2" t="s">
        <v>573</v>
      </c>
      <c r="D1760" s="2" t="str">
        <f t="shared" si="26"/>
        <v>Error?</v>
      </c>
    </row>
    <row r="1761" spans="1:5" x14ac:dyDescent="0.2">
      <c r="A1761" s="5">
        <v>1700</v>
      </c>
      <c r="B1761" s="138">
        <f>'Tax Sched 23'!D5</f>
        <v>798846</v>
      </c>
      <c r="C1761" s="2" t="s">
        <v>573</v>
      </c>
      <c r="D1761" s="2" t="str">
        <f t="shared" si="26"/>
        <v>Error?</v>
      </c>
    </row>
    <row r="1762" spans="1:5" s="8" customFormat="1" x14ac:dyDescent="0.2">
      <c r="A1762" s="5">
        <v>1701</v>
      </c>
      <c r="B1762" s="138">
        <f>'Tax Sched 23'!D6</f>
        <v>424163</v>
      </c>
      <c r="C1762" s="2" t="s">
        <v>573</v>
      </c>
      <c r="D1762" s="2" t="str">
        <f t="shared" si="26"/>
        <v>Error?</v>
      </c>
      <c r="E1762" s="9"/>
    </row>
    <row r="1763" spans="1:5" x14ac:dyDescent="0.2">
      <c r="A1763" s="5">
        <v>1702</v>
      </c>
      <c r="B1763" s="138">
        <f>'Tax Sched 23'!D7</f>
        <v>595214</v>
      </c>
      <c r="C1763" s="2" t="s">
        <v>573</v>
      </c>
      <c r="D1763" s="2" t="str">
        <f t="shared" si="26"/>
        <v>Error?</v>
      </c>
    </row>
    <row r="1764" spans="1:5" x14ac:dyDescent="0.2">
      <c r="A1764" s="5">
        <v>1703</v>
      </c>
      <c r="B1764" s="138">
        <f>'Tax Sched 23'!D8</f>
        <v>254777</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303238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6457874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3899989</v>
      </c>
      <c r="C1792" s="2" t="s">
        <v>573</v>
      </c>
      <c r="D1792" s="2" t="str">
        <f t="shared" si="27"/>
        <v>Error?</v>
      </c>
    </row>
    <row r="1793" spans="1:4" x14ac:dyDescent="0.2">
      <c r="A1793" s="5">
        <v>1732</v>
      </c>
      <c r="B1793" s="138">
        <f>'Tax Sched 23'!F5</f>
        <v>922861</v>
      </c>
      <c r="C1793" s="2" t="s">
        <v>573</v>
      </c>
      <c r="D1793" s="2" t="str">
        <f t="shared" si="27"/>
        <v>Error?</v>
      </c>
    </row>
    <row r="1794" spans="1:4" x14ac:dyDescent="0.2">
      <c r="A1794" s="5">
        <v>1733</v>
      </c>
      <c r="B1794" s="138">
        <f>'Tax Sched 23'!F6</f>
        <v>423649</v>
      </c>
      <c r="C1794" s="2" t="s">
        <v>573</v>
      </c>
      <c r="D1794" s="2" t="str">
        <f t="shared" si="27"/>
        <v>Error?</v>
      </c>
    </row>
    <row r="1795" spans="1:4" x14ac:dyDescent="0.2">
      <c r="A1795" s="5">
        <v>1734</v>
      </c>
      <c r="B1795" s="138">
        <f>'Tax Sched 23'!F7</f>
        <v>607279</v>
      </c>
      <c r="C1795" s="2" t="s">
        <v>573</v>
      </c>
      <c r="D1795" s="2" t="str">
        <f t="shared" si="27"/>
        <v>Error?</v>
      </c>
    </row>
    <row r="1796" spans="1:4" x14ac:dyDescent="0.2">
      <c r="A1796" s="5">
        <v>1735</v>
      </c>
      <c r="B1796" s="138">
        <f>'Tax Sched 23'!F8</f>
        <v>232735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309382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6683020</v>
      </c>
      <c r="C1807" s="2" t="s">
        <v>573</v>
      </c>
      <c r="D1807" s="2" t="str">
        <f t="shared" si="27"/>
        <v>Error?</v>
      </c>
    </row>
    <row r="1808" spans="1:4" x14ac:dyDescent="0.2">
      <c r="A1808" s="5">
        <v>1747</v>
      </c>
      <c r="B1808" s="138">
        <f>'Tax Sched 23'!E4</f>
        <v>3899989</v>
      </c>
      <c r="D1808" s="2" t="str">
        <f t="shared" si="27"/>
        <v>Error?</v>
      </c>
    </row>
    <row r="1809" spans="1:4" x14ac:dyDescent="0.2">
      <c r="A1809" s="5">
        <v>1748</v>
      </c>
      <c r="B1809" s="138">
        <f>'Tax Sched 23'!E5</f>
        <v>922861</v>
      </c>
      <c r="D1809" s="2" t="str">
        <f t="shared" si="27"/>
        <v>Error?</v>
      </c>
    </row>
    <row r="1810" spans="1:4" x14ac:dyDescent="0.2">
      <c r="A1810" s="5">
        <v>1749</v>
      </c>
      <c r="B1810" s="138">
        <f>'Tax Sched 23'!E6</f>
        <v>423649</v>
      </c>
      <c r="D1810" s="2" t="str">
        <f t="shared" si="27"/>
        <v>Error?</v>
      </c>
    </row>
    <row r="1811" spans="1:4" x14ac:dyDescent="0.2">
      <c r="A1811" s="5">
        <v>1750</v>
      </c>
      <c r="B1811" s="138">
        <f>'Tax Sched 23'!E7</f>
        <v>607279</v>
      </c>
      <c r="D1811" s="2" t="str">
        <f t="shared" si="27"/>
        <v>Error?</v>
      </c>
    </row>
    <row r="1812" spans="1:4" x14ac:dyDescent="0.2">
      <c r="A1812" s="5">
        <v>1751</v>
      </c>
      <c r="B1812" s="138">
        <f>'Tax Sched 23'!E8</f>
        <v>232735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309382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6683020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28267020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1012480</v>
      </c>
      <c r="D2008" s="2" t="str">
        <f t="shared" si="30"/>
        <v>Error?</v>
      </c>
    </row>
    <row r="2009" spans="1:4" x14ac:dyDescent="0.2">
      <c r="A2009" s="5">
        <v>1948</v>
      </c>
      <c r="B2009" s="138">
        <f>'Cap Outlay Deprec 26'!C8</f>
        <v>49256403</v>
      </c>
      <c r="D2009" s="2" t="str">
        <f t="shared" si="30"/>
        <v>Error?</v>
      </c>
    </row>
    <row r="2010" spans="1:4" x14ac:dyDescent="0.2">
      <c r="A2010" s="5">
        <v>1949</v>
      </c>
      <c r="B2010" s="138">
        <f>'Cap Outlay Deprec 26'!C10</f>
        <v>6740832</v>
      </c>
      <c r="D2010" s="2" t="str">
        <f t="shared" si="30"/>
        <v>Error?</v>
      </c>
    </row>
    <row r="2011" spans="1:4" x14ac:dyDescent="0.2">
      <c r="A2011" s="5">
        <v>1950</v>
      </c>
      <c r="B2011" s="138">
        <f>'Cap Outlay Deprec 26'!C12</f>
        <v>2562753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59572468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142073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376606</v>
      </c>
      <c r="D2017" s="2" t="str">
        <f t="shared" si="30"/>
        <v>Error?</v>
      </c>
    </row>
    <row r="2018" spans="1:4" x14ac:dyDescent="0.2">
      <c r="A2018" s="5">
        <v>1957</v>
      </c>
      <c r="B2018" s="138">
        <f>'Cap Outlay Deprec 26'!D13</f>
        <v>43456</v>
      </c>
      <c r="D2018" s="2" t="str">
        <f t="shared" si="30"/>
        <v>Error?</v>
      </c>
    </row>
    <row r="2019" spans="1:4" x14ac:dyDescent="0.2">
      <c r="A2019" s="5">
        <v>1958</v>
      </c>
      <c r="B2019" s="138">
        <f>'Cap Outlay Deprec 26'!D16</f>
        <v>562135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560869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560869</v>
      </c>
      <c r="C2025" s="2" t="s">
        <v>573</v>
      </c>
      <c r="D2025" s="2" t="str">
        <f t="shared" si="30"/>
        <v>Error?</v>
      </c>
    </row>
    <row r="2026" spans="1:4" x14ac:dyDescent="0.2">
      <c r="A2026" s="5">
        <v>1965</v>
      </c>
      <c r="B2026" s="138">
        <f>'Cap Outlay Deprec 26'!F5</f>
        <v>1012480</v>
      </c>
      <c r="C2026" s="2" t="s">
        <v>573</v>
      </c>
      <c r="D2026" s="2" t="str">
        <f t="shared" si="30"/>
        <v>Error?</v>
      </c>
    </row>
    <row r="2027" spans="1:4" x14ac:dyDescent="0.2">
      <c r="A2027" s="5">
        <v>1966</v>
      </c>
      <c r="B2027" s="138">
        <f>'Cap Outlay Deprec 26'!F8</f>
        <v>49398476</v>
      </c>
      <c r="C2027" s="2" t="s">
        <v>573</v>
      </c>
      <c r="D2027" s="2" t="str">
        <f t="shared" si="30"/>
        <v>Error?</v>
      </c>
    </row>
    <row r="2028" spans="1:4" x14ac:dyDescent="0.2">
      <c r="A2028" s="5">
        <v>1967</v>
      </c>
      <c r="B2028" s="138">
        <f>'Cap Outlay Deprec 26'!F10</f>
        <v>6740832</v>
      </c>
      <c r="C2028" s="2" t="s">
        <v>573</v>
      </c>
      <c r="D2028" s="2" t="str">
        <f t="shared" si="30"/>
        <v>Error?</v>
      </c>
    </row>
    <row r="2029" spans="1:4" x14ac:dyDescent="0.2">
      <c r="A2029" s="5">
        <v>1968</v>
      </c>
      <c r="B2029" s="138">
        <f>'Cap Outlay Deprec 26'!F12</f>
        <v>2378490</v>
      </c>
      <c r="C2029" s="2" t="s">
        <v>573</v>
      </c>
      <c r="D2029" s="2" t="str">
        <f t="shared" si="30"/>
        <v>Error?</v>
      </c>
    </row>
    <row r="2030" spans="1:4" x14ac:dyDescent="0.2">
      <c r="A2030" s="5">
        <v>1969</v>
      </c>
      <c r="B2030" s="138">
        <f>'Cap Outlay Deprec 26'!F13</f>
        <v>43456</v>
      </c>
      <c r="C2030" s="2" t="s">
        <v>573</v>
      </c>
      <c r="D2030" s="2" t="str">
        <f t="shared" si="30"/>
        <v>Error?</v>
      </c>
    </row>
    <row r="2031" spans="1:4" x14ac:dyDescent="0.2">
      <c r="A2031" s="5">
        <v>1970</v>
      </c>
      <c r="B2031" s="138">
        <f>'Cap Outlay Deprec 26'!F16</f>
        <v>59573734</v>
      </c>
      <c r="C2031" s="2" t="s">
        <v>573</v>
      </c>
      <c r="D2031" s="2" t="str">
        <f t="shared" si="30"/>
        <v>Error?</v>
      </c>
    </row>
    <row r="2032" spans="1:4" x14ac:dyDescent="0.2">
      <c r="A2032" s="10">
        <v>1971</v>
      </c>
      <c r="D2032" s="2" t="str">
        <f t="shared" si="30"/>
        <v>OK</v>
      </c>
    </row>
    <row r="2033" spans="1:4" x14ac:dyDescent="0.2">
      <c r="A2033" s="5">
        <v>1972</v>
      </c>
      <c r="B2033" s="138">
        <f>'Cap Outlay Deprec 26'!H8</f>
        <v>19997262</v>
      </c>
      <c r="D2033" s="2" t="str">
        <f t="shared" si="30"/>
        <v>Error?</v>
      </c>
    </row>
    <row r="2034" spans="1:4" x14ac:dyDescent="0.2">
      <c r="A2034" s="5">
        <v>1973</v>
      </c>
      <c r="B2034" s="138">
        <f>'Cap Outlay Deprec 26'!H10</f>
        <v>2292964</v>
      </c>
      <c r="D2034" s="2" t="str">
        <f t="shared" si="30"/>
        <v>Error?</v>
      </c>
    </row>
    <row r="2035" spans="1:4" x14ac:dyDescent="0.2">
      <c r="A2035" s="5">
        <v>1974</v>
      </c>
      <c r="B2035" s="138">
        <f>'Cap Outlay Deprec 26'!H12</f>
        <v>1603591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23893817</v>
      </c>
      <c r="C2037" s="2" t="s">
        <v>573</v>
      </c>
      <c r="D2037" s="2" t="str">
        <f t="shared" si="30"/>
        <v>Error?</v>
      </c>
    </row>
    <row r="2038" spans="1:4" x14ac:dyDescent="0.2">
      <c r="A2038" s="10">
        <v>1977</v>
      </c>
      <c r="D2038" s="2" t="str">
        <f t="shared" si="30"/>
        <v>OK</v>
      </c>
    </row>
    <row r="2039" spans="1:4" x14ac:dyDescent="0.2">
      <c r="A2039" s="5">
        <v>1978</v>
      </c>
      <c r="B2039" s="138">
        <f>'Cap Outlay Deprec 26'!I8</f>
        <v>987970</v>
      </c>
      <c r="D2039" s="2" t="str">
        <f t="shared" si="30"/>
        <v>Error?</v>
      </c>
    </row>
    <row r="2040" spans="1:4" x14ac:dyDescent="0.2">
      <c r="A2040" s="5">
        <v>1979</v>
      </c>
      <c r="B2040" s="138">
        <f>'Cap Outlay Deprec 26'!I10</f>
        <v>311352</v>
      </c>
      <c r="D2040" s="2" t="str">
        <f t="shared" si="30"/>
        <v>Error?</v>
      </c>
    </row>
    <row r="2041" spans="1:4" x14ac:dyDescent="0.2">
      <c r="A2041" s="5">
        <v>1980</v>
      </c>
      <c r="B2041" s="138">
        <f>'Cap Outlay Deprec 26'!I12</f>
        <v>237849</v>
      </c>
      <c r="D2041" s="2" t="str">
        <f t="shared" si="30"/>
        <v>Error?</v>
      </c>
    </row>
    <row r="2042" spans="1:4" x14ac:dyDescent="0.2">
      <c r="A2042" s="5">
        <v>1981</v>
      </c>
      <c r="B2042" s="138">
        <f>'Cap Outlay Deprec 26'!I13</f>
        <v>7966.93</v>
      </c>
      <c r="D2042" s="2" t="str">
        <f t="shared" si="30"/>
        <v>Error?</v>
      </c>
    </row>
    <row r="2043" spans="1:4" x14ac:dyDescent="0.2">
      <c r="A2043" s="5">
        <v>1982</v>
      </c>
      <c r="B2043" s="138">
        <f>'Cap Outlay Deprec 26'!I16</f>
        <v>1545137.93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560869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560869</v>
      </c>
      <c r="C2049" s="2" t="s">
        <v>573</v>
      </c>
      <c r="D2049" s="2" t="str">
        <f t="shared" si="31"/>
        <v>Error?</v>
      </c>
    </row>
    <row r="2050" spans="1:4" x14ac:dyDescent="0.2">
      <c r="A2050" s="10">
        <v>1989</v>
      </c>
      <c r="D2050" s="2" t="str">
        <f t="shared" si="31"/>
        <v>OK</v>
      </c>
    </row>
    <row r="2051" spans="1:4" x14ac:dyDescent="0.2">
      <c r="A2051" s="5">
        <v>1990</v>
      </c>
      <c r="B2051" s="138">
        <f>'Cap Outlay Deprec 26'!K8</f>
        <v>20985232</v>
      </c>
      <c r="C2051" s="2" t="s">
        <v>573</v>
      </c>
      <c r="D2051" s="2" t="str">
        <f t="shared" si="31"/>
        <v>Error?</v>
      </c>
    </row>
    <row r="2052" spans="1:4" x14ac:dyDescent="0.2">
      <c r="A2052" s="5">
        <v>1991</v>
      </c>
      <c r="B2052" s="138">
        <f>'Cap Outlay Deprec 26'!K10</f>
        <v>2604316</v>
      </c>
      <c r="C2052" s="2" t="s">
        <v>573</v>
      </c>
      <c r="D2052" s="2" t="str">
        <f t="shared" si="31"/>
        <v>Error?</v>
      </c>
    </row>
    <row r="2053" spans="1:4" x14ac:dyDescent="0.2">
      <c r="A2053" s="5">
        <v>1992</v>
      </c>
      <c r="B2053" s="138">
        <f>'Cap Outlay Deprec 26'!K12</f>
        <v>1280571</v>
      </c>
      <c r="C2053" s="2" t="s">
        <v>573</v>
      </c>
      <c r="D2053" s="2" t="str">
        <f t="shared" si="31"/>
        <v>Error?</v>
      </c>
    </row>
    <row r="2054" spans="1:4" x14ac:dyDescent="0.2">
      <c r="A2054" s="5">
        <v>1993</v>
      </c>
      <c r="B2054" s="138">
        <f>'Cap Outlay Deprec 26'!K13</f>
        <v>7966.93</v>
      </c>
      <c r="C2054" s="2" t="s">
        <v>573</v>
      </c>
      <c r="D2054" s="2" t="str">
        <f t="shared" si="31"/>
        <v>Error?</v>
      </c>
    </row>
    <row r="2055" spans="1:4" x14ac:dyDescent="0.2">
      <c r="A2055" s="5">
        <v>1994</v>
      </c>
      <c r="B2055" s="138">
        <f>'Cap Outlay Deprec 26'!K16</f>
        <v>24878085.93</v>
      </c>
      <c r="C2055" s="2" t="s">
        <v>573</v>
      </c>
      <c r="D2055" s="2" t="str">
        <f t="shared" si="31"/>
        <v>Error?</v>
      </c>
    </row>
    <row r="2056" spans="1:4" x14ac:dyDescent="0.2">
      <c r="A2056" s="5">
        <v>1995</v>
      </c>
      <c r="B2056" s="138">
        <f>'Cap Outlay Deprec 26'!L5</f>
        <v>1012480</v>
      </c>
      <c r="C2056" s="2" t="s">
        <v>573</v>
      </c>
      <c r="D2056" s="2" t="str">
        <f t="shared" si="31"/>
        <v>Error?</v>
      </c>
    </row>
    <row r="2057" spans="1:4" x14ac:dyDescent="0.2">
      <c r="A2057" s="5">
        <v>1996</v>
      </c>
      <c r="B2057" s="138">
        <f>'Cap Outlay Deprec 26'!L8</f>
        <v>28413244</v>
      </c>
      <c r="C2057" s="2" t="s">
        <v>573</v>
      </c>
      <c r="D2057" s="2" t="str">
        <f t="shared" si="31"/>
        <v>Error?</v>
      </c>
    </row>
    <row r="2058" spans="1:4" x14ac:dyDescent="0.2">
      <c r="A2058" s="5">
        <v>1997</v>
      </c>
      <c r="B2058" s="138">
        <f>'Cap Outlay Deprec 26'!L10</f>
        <v>4136516</v>
      </c>
      <c r="C2058" s="2" t="s">
        <v>573</v>
      </c>
      <c r="D2058" s="2" t="str">
        <f t="shared" si="31"/>
        <v>Error?</v>
      </c>
    </row>
    <row r="2059" spans="1:4" x14ac:dyDescent="0.2">
      <c r="A2059" s="5">
        <v>1998</v>
      </c>
      <c r="B2059" s="138">
        <f>'Cap Outlay Deprec 26'!L12</f>
        <v>1097919</v>
      </c>
      <c r="C2059" s="2" t="s">
        <v>573</v>
      </c>
      <c r="D2059" s="2" t="str">
        <f t="shared" si="31"/>
        <v>Error?</v>
      </c>
    </row>
    <row r="2060" spans="1:4" x14ac:dyDescent="0.2">
      <c r="A2060" s="5">
        <v>1999</v>
      </c>
      <c r="B2060" s="138">
        <f>'Cap Outlay Deprec 26'!L13</f>
        <v>35489.07</v>
      </c>
      <c r="C2060" s="2" t="s">
        <v>573</v>
      </c>
      <c r="D2060" s="2" t="str">
        <f t="shared" si="31"/>
        <v>Error?</v>
      </c>
    </row>
    <row r="2061" spans="1:4" x14ac:dyDescent="0.2">
      <c r="A2061" s="5">
        <v>2000</v>
      </c>
      <c r="B2061" s="138">
        <f>'Cap Outlay Deprec 26'!L16</f>
        <v>34695648.07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2667997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2683360</v>
      </c>
      <c r="C2088" s="2" t="s">
        <v>573</v>
      </c>
      <c r="D2088" s="2" t="str">
        <f t="shared" si="31"/>
        <v>Error?</v>
      </c>
    </row>
    <row r="2089" spans="1:4" x14ac:dyDescent="0.2">
      <c r="A2089" s="5">
        <v>2028</v>
      </c>
      <c r="B2089" s="138">
        <f>'Expenditures 15-22'!K92</f>
        <v>75995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2181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2121473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5174571</v>
      </c>
      <c r="C2551" s="2" t="s">
        <v>573</v>
      </c>
      <c r="D2551" s="2" t="str">
        <f t="shared" si="38"/>
        <v>Error?</v>
      </c>
    </row>
    <row r="2552" spans="1:4" x14ac:dyDescent="0.2">
      <c r="A2552" s="10">
        <v>2491</v>
      </c>
      <c r="D2552" s="2" t="str">
        <f t="shared" si="38"/>
        <v>OK</v>
      </c>
    </row>
    <row r="2553" spans="1:4" x14ac:dyDescent="0.2">
      <c r="A2553" s="5">
        <v>2492</v>
      </c>
      <c r="B2553" s="138">
        <f>'Acct Summary 7-8'!C6</f>
        <v>13738370</v>
      </c>
      <c r="C2553" s="2" t="s">
        <v>573</v>
      </c>
      <c r="D2553" s="2" t="str">
        <f t="shared" si="38"/>
        <v>Error?</v>
      </c>
    </row>
    <row r="2554" spans="1:4" x14ac:dyDescent="0.2">
      <c r="A2554" s="5">
        <v>2493</v>
      </c>
      <c r="B2554" s="138">
        <f>'Acct Summary 7-8'!C7</f>
        <v>1674378</v>
      </c>
      <c r="C2554" s="2" t="s">
        <v>573</v>
      </c>
      <c r="D2554" s="2" t="str">
        <f t="shared" si="38"/>
        <v>Error?</v>
      </c>
    </row>
    <row r="2555" spans="1:4" x14ac:dyDescent="0.2">
      <c r="A2555" s="5">
        <v>2494</v>
      </c>
      <c r="B2555" s="138">
        <f>'Acct Summary 7-8'!C8</f>
        <v>20587319</v>
      </c>
      <c r="C2555" s="2" t="s">
        <v>573</v>
      </c>
      <c r="D2555" s="2" t="str">
        <f t="shared" si="38"/>
        <v>Error?</v>
      </c>
    </row>
    <row r="2556" spans="1:4" x14ac:dyDescent="0.2">
      <c r="A2556" s="5">
        <v>2495</v>
      </c>
      <c r="B2556" s="138">
        <f>'Acct Summary 7-8'!C12</f>
        <v>10458412</v>
      </c>
      <c r="C2556" s="2" t="s">
        <v>573</v>
      </c>
      <c r="D2556" s="2" t="str">
        <f t="shared" si="38"/>
        <v>Error?</v>
      </c>
    </row>
    <row r="2557" spans="1:4" x14ac:dyDescent="0.2">
      <c r="A2557" s="5">
        <v>2496</v>
      </c>
      <c r="B2557" s="138">
        <f>'Acct Summary 7-8'!C13</f>
        <v>5917631</v>
      </c>
      <c r="C2557" s="2" t="s">
        <v>573</v>
      </c>
      <c r="D2557" s="2" t="str">
        <f t="shared" si="38"/>
        <v>Error?</v>
      </c>
    </row>
    <row r="2558" spans="1:4" x14ac:dyDescent="0.2">
      <c r="A2558" s="5">
        <v>2497</v>
      </c>
      <c r="B2558" s="138">
        <f>'Acct Summary 7-8'!C14</f>
        <v>39445</v>
      </c>
      <c r="C2558" s="2" t="s">
        <v>573</v>
      </c>
      <c r="D2558" s="2" t="str">
        <f t="shared" si="38"/>
        <v>Error?</v>
      </c>
    </row>
    <row r="2559" spans="1:4" x14ac:dyDescent="0.2">
      <c r="A2559" s="5">
        <v>2498</v>
      </c>
      <c r="B2559" s="138">
        <f>'Acct Summary 7-8'!C15</f>
        <v>2759355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19174843</v>
      </c>
      <c r="C2561" s="2" t="s">
        <v>573</v>
      </c>
      <c r="D2561" s="2" t="str">
        <f t="shared" si="39"/>
        <v>Error?</v>
      </c>
    </row>
    <row r="2562" spans="1:4" x14ac:dyDescent="0.2">
      <c r="A2562" s="5">
        <v>2501</v>
      </c>
      <c r="B2562" s="138">
        <f>'Acct Summary 7-8'!C20</f>
        <v>1412476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824234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824234</v>
      </c>
      <c r="C2568" s="2" t="s">
        <v>573</v>
      </c>
      <c r="D2568" s="2" t="str">
        <f t="shared" si="39"/>
        <v>Error?</v>
      </c>
    </row>
    <row r="2569" spans="1:4" x14ac:dyDescent="0.2">
      <c r="A2569" s="5">
        <v>2508</v>
      </c>
      <c r="B2569" s="138">
        <f>'Acct Summary 7-8'!D13</f>
        <v>825913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825913</v>
      </c>
      <c r="C2573" s="2" t="s">
        <v>573</v>
      </c>
      <c r="D2573" s="2" t="str">
        <f t="shared" si="39"/>
        <v>Error?</v>
      </c>
    </row>
    <row r="2574" spans="1:4" x14ac:dyDescent="0.2">
      <c r="A2574" s="5">
        <v>2513</v>
      </c>
      <c r="B2574" s="138">
        <f>'Acct Summary 7-8'!D20</f>
        <v>-1679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603468</v>
      </c>
      <c r="C2591" s="2" t="s">
        <v>573</v>
      </c>
      <c r="D2591" s="2" t="str">
        <f t="shared" si="39"/>
        <v>Error?</v>
      </c>
    </row>
    <row r="2592" spans="1:4" x14ac:dyDescent="0.2">
      <c r="A2592" s="10">
        <v>2531</v>
      </c>
      <c r="D2592" s="2" t="str">
        <f t="shared" si="39"/>
        <v>OK</v>
      </c>
    </row>
    <row r="2593" spans="1:4" x14ac:dyDescent="0.2">
      <c r="A2593" s="5">
        <v>2532</v>
      </c>
      <c r="B2593" s="138">
        <f>'Acct Summary 7-8'!F6</f>
        <v>396529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999997</v>
      </c>
      <c r="C2595" s="2" t="s">
        <v>573</v>
      </c>
      <c r="D2595" s="2" t="str">
        <f t="shared" si="39"/>
        <v>Error?</v>
      </c>
    </row>
    <row r="2596" spans="1:4" x14ac:dyDescent="0.2">
      <c r="A2596" s="5">
        <v>2535</v>
      </c>
      <c r="B2596" s="138">
        <f>'Acct Summary 7-8'!F13</f>
        <v>889692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129935</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1019627</v>
      </c>
      <c r="C2600" s="2" t="s">
        <v>573</v>
      </c>
      <c r="D2600" s="2" t="str">
        <f t="shared" si="39"/>
        <v>Error?</v>
      </c>
    </row>
    <row r="2601" spans="1:4" x14ac:dyDescent="0.2">
      <c r="A2601" s="5">
        <v>2540</v>
      </c>
      <c r="B2601" s="138">
        <f>'Acct Summary 7-8'!F20</f>
        <v>-19630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529024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529024</v>
      </c>
      <c r="C2606" s="2" t="s">
        <v>573</v>
      </c>
      <c r="D2606" s="2" t="str">
        <f t="shared" si="39"/>
        <v>Error?</v>
      </c>
    </row>
    <row r="2607" spans="1:4" x14ac:dyDescent="0.2">
      <c r="A2607" s="5">
        <v>2546</v>
      </c>
      <c r="B2607" s="138">
        <f>'Acct Summary 7-8'!G12</f>
        <v>155193</v>
      </c>
      <c r="C2607" s="2" t="s">
        <v>573</v>
      </c>
      <c r="D2607" s="2" t="str">
        <f t="shared" si="39"/>
        <v>Error?</v>
      </c>
    </row>
    <row r="2608" spans="1:4" x14ac:dyDescent="0.2">
      <c r="A2608" s="5">
        <v>2547</v>
      </c>
      <c r="B2608" s="138">
        <f>'Acct Summary 7-8'!G13</f>
        <v>363038</v>
      </c>
      <c r="C2608" s="2" t="s">
        <v>573</v>
      </c>
      <c r="D2608" s="2" t="str">
        <f t="shared" si="39"/>
        <v>Error?</v>
      </c>
    </row>
    <row r="2609" spans="1:4" x14ac:dyDescent="0.2">
      <c r="A2609" s="5">
        <v>2548</v>
      </c>
      <c r="B2609" s="138">
        <f>'Acct Summary 7-8'!G14</f>
        <v>54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518285</v>
      </c>
      <c r="C2612" s="2" t="s">
        <v>573</v>
      </c>
      <c r="D2612" s="2" t="str">
        <f t="shared" si="39"/>
        <v>Error?</v>
      </c>
    </row>
    <row r="2613" spans="1:4" x14ac:dyDescent="0.2">
      <c r="A2613" s="5">
        <v>2552</v>
      </c>
      <c r="B2613" s="138">
        <f>'Acct Summary 7-8'!G20</f>
        <v>10739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1728943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1728943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1777458</v>
      </c>
      <c r="C2634" s="2" t="s">
        <v>573</v>
      </c>
      <c r="D2634" s="2" t="str">
        <f t="shared" si="40"/>
        <v>Error?</v>
      </c>
    </row>
    <row r="2635" spans="1:4" x14ac:dyDescent="0.2">
      <c r="A2635" s="5">
        <v>2574</v>
      </c>
      <c r="B2635" s="138">
        <f>'Acct Summary 7-8'!E17</f>
        <v>1777458</v>
      </c>
      <c r="C2635" s="2" t="s">
        <v>573</v>
      </c>
      <c r="D2635" s="2" t="str">
        <f t="shared" si="40"/>
        <v>Error?</v>
      </c>
    </row>
    <row r="2636" spans="1:4" x14ac:dyDescent="0.2">
      <c r="A2636" s="5">
        <v>2575</v>
      </c>
      <c r="B2636" s="138">
        <f>'Acct Summary 7-8'!E20</f>
        <v>-48515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630258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630258</v>
      </c>
      <c r="C2658" s="2" t="s">
        <v>573</v>
      </c>
      <c r="D2658" s="2" t="str">
        <f t="shared" si="40"/>
        <v>Error?</v>
      </c>
    </row>
    <row r="2659" spans="1:4" x14ac:dyDescent="0.2">
      <c r="A2659" s="5">
        <v>2598</v>
      </c>
      <c r="B2659" s="138">
        <f>'Acct Summary 7-8'!H13</f>
        <v>101614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101614</v>
      </c>
      <c r="C2661" s="2" t="s">
        <v>573</v>
      </c>
      <c r="D2661" s="2" t="str">
        <f t="shared" si="40"/>
        <v>Error?</v>
      </c>
    </row>
    <row r="2662" spans="1:4" x14ac:dyDescent="0.2">
      <c r="A2662" s="5">
        <v>2601</v>
      </c>
      <c r="B2662" s="138">
        <f>'Acct Summary 7-8'!H20</f>
        <v>528644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867</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15363</v>
      </c>
      <c r="C2789" s="2" t="s">
        <v>573</v>
      </c>
      <c r="D2789" s="2" t="str">
        <f t="shared" si="42"/>
        <v>Error?</v>
      </c>
    </row>
    <row r="2790" spans="1:4" x14ac:dyDescent="0.2">
      <c r="A2790" s="5">
        <v>2729</v>
      </c>
      <c r="B2790" s="138">
        <f>'Expenditures 15-22'!E102</f>
        <v>15363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512</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129935</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129935</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355</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2026369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2613137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263397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2613137</v>
      </c>
      <c r="D2912" s="2" t="str">
        <f t="shared" si="44"/>
        <v>Error?</v>
      </c>
    </row>
    <row r="2913" spans="1:4" x14ac:dyDescent="0.2">
      <c r="A2913" s="5">
        <v>2852</v>
      </c>
      <c r="B2913" s="138">
        <f>'Assets-Liab 5-6'!I41</f>
        <v>2613137</v>
      </c>
      <c r="C2913" s="2" t="s">
        <v>573</v>
      </c>
      <c r="D2913" s="2" t="str">
        <f t="shared" si="44"/>
        <v>Error?</v>
      </c>
    </row>
    <row r="2914" spans="1:4" x14ac:dyDescent="0.2">
      <c r="A2914" s="5">
        <v>2853</v>
      </c>
      <c r="B2914" s="138">
        <f>'Assets-Liab 5-6'!L33</f>
        <v>263397</v>
      </c>
      <c r="D2914" s="2" t="str">
        <f t="shared" si="44"/>
        <v>Error?</v>
      </c>
    </row>
    <row r="2915" spans="1:4" x14ac:dyDescent="0.2">
      <c r="A2915" s="10">
        <v>2854</v>
      </c>
      <c r="D2915" s="2" t="str">
        <f t="shared" si="44"/>
        <v>OK</v>
      </c>
    </row>
    <row r="2916" spans="1:4" x14ac:dyDescent="0.2">
      <c r="A2916" s="5">
        <v>2855</v>
      </c>
      <c r="B2916" s="138">
        <f>'Assets-Liab 5-6'!L34</f>
        <v>263397</v>
      </c>
      <c r="C2916" s="2" t="s">
        <v>573</v>
      </c>
      <c r="D2916" s="2" t="str">
        <f t="shared" si="44"/>
        <v>Error?</v>
      </c>
    </row>
    <row r="2917" spans="1:4" x14ac:dyDescent="0.2">
      <c r="A2917" s="5">
        <v>2856</v>
      </c>
      <c r="B2917" s="138">
        <f>'Assets-Liab 5-6'!L41</f>
        <v>263397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15363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2667997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15363</v>
      </c>
      <c r="C2973" s="2" t="s">
        <v>573</v>
      </c>
      <c r="D2973" s="2" t="str">
        <f t="shared" si="45"/>
        <v>Error?</v>
      </c>
    </row>
    <row r="2974" spans="1:4" x14ac:dyDescent="0.2">
      <c r="A2974" s="5">
        <v>2913</v>
      </c>
      <c r="B2974" s="138">
        <f>'Expenditures 15-22'!K79</f>
        <v>2667997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129935</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129935</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400532</v>
      </c>
      <c r="D3055" s="2" t="str">
        <f t="shared" si="46"/>
        <v>Error?</v>
      </c>
    </row>
    <row r="3056" spans="1:4" x14ac:dyDescent="0.2">
      <c r="A3056" s="5">
        <v>2995</v>
      </c>
      <c r="B3056" s="138">
        <f>'Expenditures 15-22'!D10</f>
        <v>113810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27656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541998</v>
      </c>
      <c r="C3062" s="2" t="s">
        <v>573</v>
      </c>
      <c r="D3062" s="2" t="str">
        <f t="shared" si="46"/>
        <v>Error?</v>
      </c>
    </row>
    <row r="3063" spans="1:4" x14ac:dyDescent="0.2">
      <c r="A3063" s="10">
        <v>3002</v>
      </c>
      <c r="D3063" s="2" t="str">
        <f t="shared" si="46"/>
        <v>OK</v>
      </c>
    </row>
    <row r="3064" spans="1:4" x14ac:dyDescent="0.2">
      <c r="A3064" s="5">
        <v>3003</v>
      </c>
      <c r="B3064" s="138">
        <f>'Expenditures 15-22'!D219</f>
        <v>31188</v>
      </c>
      <c r="D3064" s="2" t="str">
        <f t="shared" si="46"/>
        <v>Error?</v>
      </c>
    </row>
    <row r="3065" spans="1:4" x14ac:dyDescent="0.2">
      <c r="A3065" s="5">
        <v>3004</v>
      </c>
      <c r="B3065" s="138">
        <f>'Expenditures 15-22'!K219</f>
        <v>31188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28550</v>
      </c>
      <c r="C3225" s="2" t="s">
        <v>573</v>
      </c>
      <c r="D3225" s="2" t="str">
        <f t="shared" si="49"/>
        <v>Error?</v>
      </c>
    </row>
    <row r="3226" spans="1:4" x14ac:dyDescent="0.2">
      <c r="A3226" s="5">
        <v>3165</v>
      </c>
      <c r="B3226" s="138">
        <f>'Acct Summary 7-8'!I8</f>
        <v>28550</v>
      </c>
      <c r="C3226" s="2" t="s">
        <v>573</v>
      </c>
      <c r="D3226" s="2" t="str">
        <f t="shared" si="49"/>
        <v>Error?</v>
      </c>
    </row>
    <row r="3227" spans="1:4" x14ac:dyDescent="0.2">
      <c r="A3227" s="5">
        <v>3166</v>
      </c>
      <c r="B3227" s="138">
        <f>'Acct Summary 7-8'!I20</f>
        <v>28550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3048</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45776</v>
      </c>
      <c r="C3231" s="2" t="s">
        <v>573</v>
      </c>
      <c r="D3231" s="2" t="str">
        <f t="shared" si="49"/>
        <v>Error?</v>
      </c>
    </row>
    <row r="3232" spans="1:4" x14ac:dyDescent="0.2">
      <c r="A3232" s="5">
        <v>3171</v>
      </c>
      <c r="B3232" s="138">
        <f>'Acct Summary 7-8'!C77</f>
        <v>-42728</v>
      </c>
      <c r="C3232" s="2" t="s">
        <v>573</v>
      </c>
      <c r="D3232" s="2" t="str">
        <f t="shared" si="49"/>
        <v>Error?</v>
      </c>
    </row>
    <row r="3233" spans="1:4" x14ac:dyDescent="0.2">
      <c r="A3233" s="5">
        <v>3172</v>
      </c>
      <c r="B3233" s="138">
        <f>'Acct Summary 7-8'!C78</f>
        <v>1369748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512</v>
      </c>
      <c r="C3237" s="2" t="s">
        <v>573</v>
      </c>
      <c r="D3237" s="2" t="str">
        <f t="shared" si="49"/>
        <v>Error?</v>
      </c>
    </row>
    <row r="3238" spans="1:4" x14ac:dyDescent="0.2">
      <c r="A3238" s="5">
        <v>3177</v>
      </c>
      <c r="B3238" s="138">
        <f>'Acct Summary 7-8'!D77</f>
        <v>-512</v>
      </c>
      <c r="C3238" s="2" t="s">
        <v>573</v>
      </c>
      <c r="D3238" s="2" t="str">
        <f t="shared" si="49"/>
        <v>Error?</v>
      </c>
    </row>
    <row r="3239" spans="1:4" x14ac:dyDescent="0.2">
      <c r="A3239" s="5">
        <v>3178</v>
      </c>
      <c r="B3239" s="138">
        <f>'Acct Summary 7-8'!D78</f>
        <v>-2191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355</v>
      </c>
      <c r="C3254" s="2" t="s">
        <v>573</v>
      </c>
      <c r="D3254" s="2" t="str">
        <f t="shared" si="49"/>
        <v>Error?</v>
      </c>
    </row>
    <row r="3255" spans="1:4" x14ac:dyDescent="0.2">
      <c r="A3255" s="5">
        <v>3194</v>
      </c>
      <c r="B3255" s="138">
        <f>'Acct Summary 7-8'!F77</f>
        <v>-355</v>
      </c>
      <c r="C3255" s="2" t="s">
        <v>573</v>
      </c>
      <c r="D3255" s="2" t="str">
        <f t="shared" si="49"/>
        <v>Error?</v>
      </c>
    </row>
    <row r="3256" spans="1:4" x14ac:dyDescent="0.2">
      <c r="A3256" s="5">
        <v>3195</v>
      </c>
      <c r="B3256" s="138">
        <f>'Acct Summary 7-8'!F78</f>
        <v>-19985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10739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45776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45776</v>
      </c>
      <c r="C3277" s="2" t="s">
        <v>573</v>
      </c>
      <c r="D3277" s="2" t="str">
        <f t="shared" si="50"/>
        <v>Error?</v>
      </c>
    </row>
    <row r="3278" spans="1:4" x14ac:dyDescent="0.2">
      <c r="A3278" s="5">
        <v>3217</v>
      </c>
      <c r="B3278" s="138">
        <f>'Acct Summary 7-8'!E78</f>
        <v>-2739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528644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2181</v>
      </c>
      <c r="C3318" s="2" t="s">
        <v>573</v>
      </c>
      <c r="D3318" s="2" t="str">
        <f t="shared" si="50"/>
        <v>Error?</v>
      </c>
    </row>
    <row r="3319" spans="1:4" x14ac:dyDescent="0.2">
      <c r="A3319" s="5">
        <v>3258</v>
      </c>
      <c r="B3319" s="138">
        <f>'Acct Summary 7-8'!I77</f>
        <v>-2181</v>
      </c>
      <c r="C3319" s="2" t="s">
        <v>573</v>
      </c>
      <c r="D3319" s="2" t="str">
        <f t="shared" si="50"/>
        <v>Error?</v>
      </c>
    </row>
    <row r="3320" spans="1:4" x14ac:dyDescent="0.2">
      <c r="A3320" s="5">
        <v>3259</v>
      </c>
      <c r="B3320" s="138">
        <f>'Acct Summary 7-8'!I78</f>
        <v>26369</v>
      </c>
      <c r="C3320" s="2" t="s">
        <v>573</v>
      </c>
      <c r="D3320" s="2" t="str">
        <f t="shared" si="50"/>
        <v>Error?</v>
      </c>
    </row>
    <row r="3321" spans="1:4" x14ac:dyDescent="0.2">
      <c r="A3321" s="5">
        <v>3260</v>
      </c>
      <c r="B3321" s="138">
        <f>'Acct Summary 7-8'!I79</f>
        <v>2586768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2613137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99412</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28521</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127933</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112398</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1213</v>
      </c>
      <c r="D3389" s="2" t="str">
        <f t="shared" si="51"/>
        <v>Error?</v>
      </c>
    </row>
    <row r="3390" spans="1:4" x14ac:dyDescent="0.2">
      <c r="A3390" s="5">
        <v>3329</v>
      </c>
      <c r="B3390" s="138">
        <f>'Expenditures 15-22'!K215</f>
        <v>112398</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1213</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1681839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197394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2351</v>
      </c>
      <c r="D3417" s="2" t="str">
        <f t="shared" si="52"/>
        <v>Error?</v>
      </c>
    </row>
    <row r="3418" spans="1:4" x14ac:dyDescent="0.2">
      <c r="A3418" s="10">
        <v>3357</v>
      </c>
      <c r="D3418" s="2" t="str">
        <f t="shared" si="52"/>
        <v>OK</v>
      </c>
    </row>
    <row r="3419" spans="1:4" x14ac:dyDescent="0.2">
      <c r="A3419" s="5">
        <v>3358</v>
      </c>
      <c r="B3419" s="138">
        <f>'Assets-Liab 5-6'!F4</f>
        <v>69492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192290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1363206</v>
      </c>
      <c r="D3425" s="2" t="str">
        <f t="shared" si="52"/>
        <v>Error?</v>
      </c>
    </row>
    <row r="3426" spans="1:4" x14ac:dyDescent="0.2">
      <c r="A3426" s="10">
        <v>3365</v>
      </c>
      <c r="D3426" s="2" t="str">
        <f t="shared" si="52"/>
        <v>OK</v>
      </c>
    </row>
    <row r="3427" spans="1:4" x14ac:dyDescent="0.2">
      <c r="A3427" s="5">
        <v>3366</v>
      </c>
      <c r="B3427" s="138">
        <f>'Assets-Liab 5-6'!I4</f>
        <v>586768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263397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254777</v>
      </c>
      <c r="C3446" s="2" t="s">
        <v>573</v>
      </c>
      <c r="D3446" s="2" t="str">
        <f t="shared" si="52"/>
        <v>Error?</v>
      </c>
    </row>
    <row r="3447" spans="1:4" x14ac:dyDescent="0.2">
      <c r="A3447" s="5">
        <v>3386</v>
      </c>
      <c r="B3447" s="138">
        <f>'Tax Sched 23'!D16</f>
        <v>254777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287125</v>
      </c>
      <c r="C3449" s="2" t="s">
        <v>573</v>
      </c>
      <c r="D3449" s="2" t="str">
        <f t="shared" si="52"/>
        <v>Error?</v>
      </c>
    </row>
    <row r="3450" spans="1:4" x14ac:dyDescent="0.2">
      <c r="A3450" s="5">
        <v>3389</v>
      </c>
      <c r="B3450" s="138">
        <f>'Tax Sched 23'!E16</f>
        <v>287125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494844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7457495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28044814</v>
      </c>
      <c r="C4122" s="2" t="s">
        <v>573</v>
      </c>
      <c r="D4122" s="2" t="str">
        <f t="shared" si="63"/>
        <v>Error?</v>
      </c>
    </row>
    <row r="4123" spans="1:4" x14ac:dyDescent="0.2">
      <c r="A4123" s="5">
        <v>4062</v>
      </c>
      <c r="B4123" s="138">
        <f>'Acct Summary 7-8'!D10</f>
        <v>824234</v>
      </c>
      <c r="C4123" s="2" t="s">
        <v>573</v>
      </c>
      <c r="D4123" s="2" t="str">
        <f t="shared" si="63"/>
        <v>Error?</v>
      </c>
    </row>
    <row r="4124" spans="1:4" x14ac:dyDescent="0.2">
      <c r="A4124" s="5">
        <v>4063</v>
      </c>
      <c r="B4124" s="138">
        <f>'Acct Summary 7-8'!E10</f>
        <v>1728943</v>
      </c>
      <c r="C4124" s="2" t="s">
        <v>573</v>
      </c>
      <c r="D4124" s="2" t="str">
        <f t="shared" si="63"/>
        <v>Error?</v>
      </c>
    </row>
    <row r="4125" spans="1:4" x14ac:dyDescent="0.2">
      <c r="A4125" s="5">
        <v>4064</v>
      </c>
      <c r="B4125" s="138">
        <f>'Acct Summary 7-8'!F10</f>
        <v>999997</v>
      </c>
      <c r="C4125" s="2" t="s">
        <v>573</v>
      </c>
      <c r="D4125" s="2" t="str">
        <f t="shared" si="63"/>
        <v>Error?</v>
      </c>
    </row>
    <row r="4126" spans="1:4" x14ac:dyDescent="0.2">
      <c r="A4126" s="5">
        <v>4065</v>
      </c>
      <c r="B4126" s="138">
        <f>'Acct Summary 7-8'!G10</f>
        <v>529024</v>
      </c>
      <c r="C4126" s="2" t="s">
        <v>573</v>
      </c>
      <c r="D4126" s="2" t="str">
        <f t="shared" si="63"/>
        <v>Error?</v>
      </c>
    </row>
    <row r="4127" spans="1:4" x14ac:dyDescent="0.2">
      <c r="A4127" s="5">
        <v>4066</v>
      </c>
      <c r="B4127" s="138">
        <f>'Acct Summary 7-8'!H10</f>
        <v>630258</v>
      </c>
      <c r="C4127" s="2" t="s">
        <v>573</v>
      </c>
      <c r="D4127" s="2" t="str">
        <f t="shared" si="63"/>
        <v>Error?</v>
      </c>
    </row>
    <row r="4128" spans="1:4" x14ac:dyDescent="0.2">
      <c r="A4128" s="5">
        <v>4067</v>
      </c>
      <c r="B4128" s="138">
        <f>'Acct Summary 7-8'!I10</f>
        <v>28550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7457495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26632338</v>
      </c>
      <c r="C4136" s="2" t="s">
        <v>573</v>
      </c>
      <c r="D4136" s="2" t="str">
        <f t="shared" si="63"/>
        <v>Error?</v>
      </c>
    </row>
    <row r="4137" spans="1:4" x14ac:dyDescent="0.2">
      <c r="A4137" s="5">
        <v>4076</v>
      </c>
      <c r="B4137" s="138">
        <f>'Acct Summary 7-8'!D19</f>
        <v>825913</v>
      </c>
      <c r="C4137" s="2" t="s">
        <v>573</v>
      </c>
      <c r="D4137" s="2" t="str">
        <f t="shared" si="63"/>
        <v>Error?</v>
      </c>
    </row>
    <row r="4138" spans="1:4" x14ac:dyDescent="0.2">
      <c r="A4138" s="5">
        <v>4077</v>
      </c>
      <c r="B4138" s="138">
        <f>'Acct Summary 7-8'!E19</f>
        <v>1777458</v>
      </c>
      <c r="C4138" s="2" t="s">
        <v>573</v>
      </c>
      <c r="D4138" s="2" t="str">
        <f t="shared" si="63"/>
        <v>Error?</v>
      </c>
    </row>
    <row r="4139" spans="1:4" x14ac:dyDescent="0.2">
      <c r="A4139" s="5">
        <v>4078</v>
      </c>
      <c r="B4139" s="138">
        <f>'Acct Summary 7-8'!F19</f>
        <v>1019627</v>
      </c>
      <c r="C4139" s="2" t="s">
        <v>573</v>
      </c>
      <c r="D4139" s="2" t="str">
        <f t="shared" si="63"/>
        <v>Error?</v>
      </c>
    </row>
    <row r="4140" spans="1:4" x14ac:dyDescent="0.2">
      <c r="A4140" s="5">
        <v>4079</v>
      </c>
      <c r="B4140" s="138">
        <f>'Acct Summary 7-8'!G19</f>
        <v>518285</v>
      </c>
      <c r="C4140" s="2" t="s">
        <v>573</v>
      </c>
      <c r="D4140" s="2" t="str">
        <f t="shared" si="63"/>
        <v>Error?</v>
      </c>
    </row>
    <row r="4141" spans="1:4" x14ac:dyDescent="0.2">
      <c r="A4141" s="5">
        <v>4080</v>
      </c>
      <c r="B4141" s="138">
        <f>'Acct Summary 7-8'!H19</f>
        <v>101614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27781230</v>
      </c>
      <c r="C4171" s="2" t="s">
        <v>573</v>
      </c>
      <c r="D4171" s="2" t="str">
        <f t="shared" si="64"/>
        <v>Error?</v>
      </c>
    </row>
    <row r="4172" spans="1:4" x14ac:dyDescent="0.2">
      <c r="A4172" s="5">
        <v>4111</v>
      </c>
      <c r="B4172" s="138">
        <f>'Short-Term Long-Term Debt 24'!J49</f>
        <v>27778879</v>
      </c>
      <c r="C4172" s="2" t="s">
        <v>573</v>
      </c>
      <c r="D4172" s="2" t="str">
        <f t="shared" si="64"/>
        <v>Error?</v>
      </c>
    </row>
    <row r="4173" spans="1:4" x14ac:dyDescent="0.2">
      <c r="A4173" s="5">
        <v>4112</v>
      </c>
      <c r="B4173" s="138">
        <f>'Short-Term Long-Term Debt 24'!H49</f>
        <v>485790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2302.44</v>
      </c>
      <c r="C4265" s="2" t="s">
        <v>573</v>
      </c>
      <c r="D4265" s="2" t="str">
        <f t="shared" si="65"/>
        <v>Error?</v>
      </c>
      <c r="E4265" s="128"/>
    </row>
    <row r="4266" spans="1:5" x14ac:dyDescent="0.2">
      <c r="A4266" s="12">
        <v>4205</v>
      </c>
      <c r="B4266" s="138">
        <f>('FP Info 3'!F10)*100000</f>
        <v>544.82999999999993</v>
      </c>
      <c r="C4266" s="2" t="s">
        <v>573</v>
      </c>
      <c r="D4266" s="2" t="str">
        <f t="shared" si="65"/>
        <v>Error?</v>
      </c>
      <c r="E4266" s="128"/>
    </row>
    <row r="4267" spans="1:5" x14ac:dyDescent="0.2">
      <c r="A4267" s="12">
        <v>4206</v>
      </c>
      <c r="B4267" s="138">
        <f>('FP Info 3'!H10)*100000</f>
        <v>358.52000000000004</v>
      </c>
      <c r="C4267" s="2" t="s">
        <v>573</v>
      </c>
      <c r="D4267" s="2" t="str">
        <f t="shared" si="65"/>
        <v>Error?</v>
      </c>
      <c r="E4267" s="128"/>
    </row>
    <row r="4268" spans="1:5" x14ac:dyDescent="0.2">
      <c r="A4268" s="12">
        <v>4207</v>
      </c>
      <c r="B4268" s="138">
        <f>('FP Info 3'!J10)*100000</f>
        <v>3206</v>
      </c>
      <c r="C4268" s="2" t="s">
        <v>573</v>
      </c>
      <c r="D4268" s="2" t="str">
        <f t="shared" si="65"/>
        <v>Error?</v>
      </c>
    </row>
    <row r="4269" spans="1:5" x14ac:dyDescent="0.2">
      <c r="A4269" s="12">
        <v>4208</v>
      </c>
      <c r="B4269" s="138">
        <f>'FP Info 3'!J16</f>
        <v>5570482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56603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11754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7777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137961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71916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15589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169385045</v>
      </c>
      <c r="D4995" s="2" t="str">
        <f t="shared" si="77"/>
        <v>Error?</v>
      </c>
    </row>
    <row r="4996" spans="1:4" x14ac:dyDescent="0.2">
      <c r="A4996" s="12">
        <v>4935</v>
      </c>
      <c r="B4996" s="138">
        <f>'FP Info 3'!H31</f>
        <v>23375136.210000001</v>
      </c>
      <c r="D4996" s="2" t="str">
        <f t="shared" si="77"/>
        <v>Error?</v>
      </c>
    </row>
    <row r="4997" spans="1:4" x14ac:dyDescent="0.2">
      <c r="A4997" s="12">
        <v>4936</v>
      </c>
      <c r="B4997" s="138">
        <f>'FP Info 3'!H37</f>
        <v>27781230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3826859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3826859</v>
      </c>
      <c r="C5066" s="2" t="s">
        <v>573</v>
      </c>
      <c r="D5066" s="2" t="str">
        <f t="shared" si="78"/>
        <v>Error?</v>
      </c>
    </row>
    <row r="5067" spans="1:4" x14ac:dyDescent="0.2">
      <c r="A5067" s="5">
        <v>5006</v>
      </c>
      <c r="B5067" s="138">
        <f>'Revenues 9-14'!C14</f>
        <v>19590</v>
      </c>
      <c r="D5067" s="2" t="str">
        <f t="shared" si="78"/>
        <v>Error?</v>
      </c>
    </row>
    <row r="5068" spans="1:4" x14ac:dyDescent="0.2">
      <c r="A5068" s="5">
        <v>5007</v>
      </c>
      <c r="B5068" s="138">
        <f>'Revenues 9-14'!C15</f>
        <v>12347</v>
      </c>
      <c r="D5068" s="2" t="str">
        <f t="shared" si="78"/>
        <v>Error?</v>
      </c>
    </row>
    <row r="5069" spans="1:4" x14ac:dyDescent="0.2">
      <c r="A5069" s="5">
        <v>5008</v>
      </c>
      <c r="B5069" s="138">
        <f>'Revenues 9-14'!C16</f>
        <v>247251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279188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15380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15380</v>
      </c>
      <c r="C5090" s="2" t="s">
        <v>573</v>
      </c>
      <c r="D5090" s="2" t="str">
        <f t="shared" si="78"/>
        <v>Error?</v>
      </c>
    </row>
    <row r="5091" spans="1:4" x14ac:dyDescent="0.2">
      <c r="A5091" s="5">
        <v>5030</v>
      </c>
      <c r="B5091" s="138">
        <f>'Revenues 9-14'!C70</f>
        <v>19605</v>
      </c>
      <c r="D5091" s="2" t="str">
        <f t="shared" si="78"/>
        <v>Error?</v>
      </c>
    </row>
    <row r="5092" spans="1:4" x14ac:dyDescent="0.2">
      <c r="A5092" s="5">
        <v>5031</v>
      </c>
      <c r="B5092" s="138">
        <f>'Revenues 9-14'!C71</f>
        <v>5936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14345</v>
      </c>
      <c r="D5094" s="2" t="str">
        <f t="shared" si="78"/>
        <v>Error?</v>
      </c>
    </row>
    <row r="5095" spans="1:4" x14ac:dyDescent="0.2">
      <c r="A5095" s="5">
        <v>5034</v>
      </c>
      <c r="B5095" s="138">
        <f>'Revenues 9-14'!C74</f>
        <v>1163</v>
      </c>
      <c r="D5095" s="2" t="str">
        <f t="shared" si="78"/>
        <v>Error?</v>
      </c>
    </row>
    <row r="5096" spans="1:4" x14ac:dyDescent="0.2">
      <c r="A5096" s="5">
        <v>5035</v>
      </c>
      <c r="B5096" s="138">
        <f>'Revenues 9-14'!C75</f>
        <v>184309</v>
      </c>
      <c r="C5096" s="2" t="s">
        <v>573</v>
      </c>
      <c r="D5096" s="2" t="str">
        <f t="shared" si="78"/>
        <v>Error?</v>
      </c>
    </row>
    <row r="5097" spans="1:4" x14ac:dyDescent="0.2">
      <c r="A5097" s="5">
        <v>5036</v>
      </c>
      <c r="B5097" s="138">
        <f>'Revenues 9-14'!C77</f>
        <v>90626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118890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120662</v>
      </c>
      <c r="D5101" s="2" t="str">
        <f t="shared" si="78"/>
        <v>Error?</v>
      </c>
    </row>
    <row r="5102" spans="1:4" x14ac:dyDescent="0.2">
      <c r="A5102" s="5">
        <v>5041</v>
      </c>
      <c r="B5102" s="138">
        <f>'Revenues 9-14'!C82</f>
        <v>330178</v>
      </c>
      <c r="C5102" s="2" t="s">
        <v>573</v>
      </c>
      <c r="D5102" s="2" t="str">
        <f t="shared" si="78"/>
        <v>Error?</v>
      </c>
    </row>
    <row r="5103" spans="1:4" x14ac:dyDescent="0.2">
      <c r="A5103" s="5">
        <v>5042</v>
      </c>
      <c r="B5103" s="138">
        <f>'Revenues 9-14'!C84</f>
        <v>46676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46676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95290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28945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90473</v>
      </c>
      <c r="D5119" s="2" t="str">
        <f t="shared" ref="D5119:D5182" si="79">IF(ISBLANK(B5119),"OK",IF(A5119-B5119=0,"OK","Error?"))</f>
        <v>Error?</v>
      </c>
    </row>
    <row r="5120" spans="1:4" x14ac:dyDescent="0.2">
      <c r="A5120" s="5">
        <v>5059</v>
      </c>
      <c r="B5120" s="138">
        <f>'Revenues 9-14'!C108</f>
        <v>491981</v>
      </c>
      <c r="C5120" s="2" t="s">
        <v>573</v>
      </c>
      <c r="D5120" s="2" t="str">
        <f t="shared" si="79"/>
        <v>Error?</v>
      </c>
    </row>
    <row r="5121" spans="1:4" x14ac:dyDescent="0.2">
      <c r="A5121" s="5">
        <v>5060</v>
      </c>
      <c r="B5121" s="138">
        <f>'Revenues 9-14'!C109</f>
        <v>5174571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13545768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13545768</v>
      </c>
      <c r="C5132" s="2" t="s">
        <v>573</v>
      </c>
      <c r="D5132" s="2" t="str">
        <f t="shared" si="79"/>
        <v>Error?</v>
      </c>
    </row>
    <row r="5133" spans="1:4" x14ac:dyDescent="0.2">
      <c r="A5133" s="5">
        <v>5072</v>
      </c>
      <c r="B5133" s="138">
        <f>'Revenues 9-14'!C125</f>
        <v>25709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94246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119955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15092</v>
      </c>
      <c r="D5167" s="2" t="str">
        <f t="shared" si="79"/>
        <v>Error?</v>
      </c>
    </row>
    <row r="5168" spans="1:4" x14ac:dyDescent="0.2">
      <c r="A5168" s="5">
        <v>5107</v>
      </c>
      <c r="B5168" s="138">
        <f>'Revenues 9-14'!C148</f>
        <v>41966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192602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13738370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598841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183606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782447</v>
      </c>
      <c r="C5246" s="2" t="s">
        <v>573</v>
      </c>
      <c r="D5246" s="2" t="str">
        <f t="shared" si="80"/>
        <v>Error?</v>
      </c>
    </row>
    <row r="5247" spans="1:4" x14ac:dyDescent="0.2">
      <c r="A5247" s="5">
        <v>5186</v>
      </c>
      <c r="B5247" s="138">
        <f>'Revenues 9-14'!C200</f>
        <v>628975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685578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10067</v>
      </c>
      <c r="D5278" s="2" t="str">
        <f t="shared" si="81"/>
        <v>Error?</v>
      </c>
    </row>
    <row r="5279" spans="1:4" x14ac:dyDescent="0.2">
      <c r="A5279" s="5">
        <v>5218</v>
      </c>
      <c r="B5279" s="138">
        <f>'Revenues 9-14'!C214</f>
        <v>38541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48861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1674378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1674378</v>
      </c>
      <c r="C5326" s="2" t="s">
        <v>573</v>
      </c>
      <c r="D5326" s="2" t="str">
        <f t="shared" si="82"/>
        <v>Error?</v>
      </c>
    </row>
    <row r="5327" spans="1:5" x14ac:dyDescent="0.2">
      <c r="A5327" s="5">
        <v>5266</v>
      </c>
      <c r="B5327" s="138">
        <f>'Revenues 9-14'!C268</f>
        <v>20587319</v>
      </c>
      <c r="C5327" s="2" t="s">
        <v>573</v>
      </c>
      <c r="D5327" s="2" t="str">
        <f t="shared" si="82"/>
        <v>Error?</v>
      </c>
    </row>
    <row r="5328" spans="1:5" x14ac:dyDescent="0.2">
      <c r="A5328" s="5">
        <v>5267</v>
      </c>
      <c r="B5328" s="138">
        <f>'Revenues 9-14'!D5</f>
        <v>798846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798846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2577</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2577</v>
      </c>
      <c r="C5339" s="2" t="s">
        <v>573</v>
      </c>
      <c r="D5339" s="2" t="str">
        <f t="shared" si="82"/>
        <v>Error?</v>
      </c>
    </row>
    <row r="5340" spans="1:4" x14ac:dyDescent="0.2">
      <c r="A5340" s="5">
        <v>5279</v>
      </c>
      <c r="B5340" s="138">
        <f>'Revenues 9-14'!D65</f>
        <v>512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512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22299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22299</v>
      </c>
      <c r="C5355" s="2" t="s">
        <v>573</v>
      </c>
      <c r="D5355" s="2" t="str">
        <f t="shared" si="82"/>
        <v>Error?</v>
      </c>
    </row>
    <row r="5356" spans="1:4" x14ac:dyDescent="0.2">
      <c r="A5356" s="5">
        <v>5295</v>
      </c>
      <c r="B5356" s="138">
        <f>'Revenues 9-14'!D109</f>
        <v>824234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824234</v>
      </c>
      <c r="C5508" s="2" t="s">
        <v>573</v>
      </c>
      <c r="D5508" s="2" t="str">
        <f t="shared" si="85"/>
        <v>Error?</v>
      </c>
    </row>
    <row r="5509" spans="1:4" x14ac:dyDescent="0.2">
      <c r="A5509" s="5">
        <v>5448</v>
      </c>
      <c r="B5509" s="138">
        <f>'Revenues 9-14'!E5</f>
        <v>424163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424163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1369</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1369</v>
      </c>
      <c r="C5518" s="2" t="s">
        <v>573</v>
      </c>
      <c r="D5518" s="2" t="str">
        <f t="shared" si="85"/>
        <v>Error?</v>
      </c>
    </row>
    <row r="5519" spans="1:4" x14ac:dyDescent="0.2">
      <c r="A5519" s="5">
        <v>5458</v>
      </c>
      <c r="B5519" s="138">
        <f>'Revenues 9-14'!E65</f>
        <v>938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938</v>
      </c>
      <c r="C5521" s="2" t="s">
        <v>573</v>
      </c>
      <c r="D5521" s="2" t="str">
        <f t="shared" si="85"/>
        <v>Error?</v>
      </c>
    </row>
    <row r="5522" spans="1:4" x14ac:dyDescent="0.2">
      <c r="A5522" s="5">
        <v>5461</v>
      </c>
      <c r="B5522" s="138">
        <f>'Revenues 9-14'!E96</f>
        <v>250000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1302473</v>
      </c>
      <c r="C5526" s="2" t="s">
        <v>573</v>
      </c>
      <c r="D5526" s="2" t="str">
        <f t="shared" si="85"/>
        <v>Error?</v>
      </c>
    </row>
    <row r="5527" spans="1:4" x14ac:dyDescent="0.2">
      <c r="A5527" s="5">
        <v>5466</v>
      </c>
      <c r="B5527" s="138">
        <f>'Revenues 9-14'!E109</f>
        <v>1728943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1728943</v>
      </c>
      <c r="C5552" s="2" t="s">
        <v>573</v>
      </c>
      <c r="D5552" s="2" t="str">
        <f t="shared" si="85"/>
        <v>Error?</v>
      </c>
    </row>
    <row r="5553" spans="1:4" x14ac:dyDescent="0.2">
      <c r="A5553" s="5">
        <v>5492</v>
      </c>
      <c r="B5553" s="138">
        <f>'Revenues 9-14'!F5</f>
        <v>595214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595214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1923</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1923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5978</v>
      </c>
      <c r="D5586" s="2" t="str">
        <f t="shared" si="86"/>
        <v>Error?</v>
      </c>
    </row>
    <row r="5587" spans="1:4" x14ac:dyDescent="0.2">
      <c r="A5587" s="5">
        <v>5526</v>
      </c>
      <c r="B5587" s="138">
        <f>'Revenues 9-14'!F108</f>
        <v>5978</v>
      </c>
      <c r="C5587" s="2" t="s">
        <v>573</v>
      </c>
      <c r="D5587" s="2" t="str">
        <f t="shared" si="86"/>
        <v>Error?</v>
      </c>
    </row>
    <row r="5588" spans="1:4" x14ac:dyDescent="0.2">
      <c r="A5588" s="5">
        <v>5527</v>
      </c>
      <c r="B5588" s="138">
        <f>'Revenues 9-14'!F109</f>
        <v>603468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396529</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396529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396529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396529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999997</v>
      </c>
      <c r="C5720" s="2" t="s">
        <v>573</v>
      </c>
      <c r="D5720" s="2" t="str">
        <f t="shared" si="88"/>
        <v>Error?</v>
      </c>
    </row>
    <row r="5721" spans="1:4" x14ac:dyDescent="0.2">
      <c r="A5721" s="5">
        <v>5660</v>
      </c>
      <c r="B5721" s="138">
        <f>'Revenues 9-14'!G5</f>
        <v>254777</v>
      </c>
      <c r="D5721" s="2" t="str">
        <f t="shared" si="88"/>
        <v>Error?</v>
      </c>
    </row>
    <row r="5722" spans="1:4" x14ac:dyDescent="0.2">
      <c r="A5722" s="5">
        <v>5661</v>
      </c>
      <c r="B5722" s="138">
        <f>'Revenues 9-14'!G7</f>
        <v>0</v>
      </c>
      <c r="D5722" s="2" t="str">
        <f t="shared" si="88"/>
        <v>Error?</v>
      </c>
    </row>
    <row r="5723" spans="1:4" x14ac:dyDescent="0.2">
      <c r="A5723" s="5">
        <v>5662</v>
      </c>
      <c r="B5723" s="138">
        <f>'Revenues 9-14'!G8</f>
        <v>254777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509554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1644</v>
      </c>
      <c r="D5727" s="2" t="str">
        <f t="shared" si="88"/>
        <v>Error?</v>
      </c>
    </row>
    <row r="5728" spans="1:4" x14ac:dyDescent="0.2">
      <c r="A5728" s="5">
        <v>5667</v>
      </c>
      <c r="B5728" s="138">
        <f>'Revenues 9-14'!G16</f>
        <v>17320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18964</v>
      </c>
      <c r="C5730" s="2" t="s">
        <v>573</v>
      </c>
      <c r="D5730" s="2" t="str">
        <f t="shared" si="88"/>
        <v>Error?</v>
      </c>
    </row>
    <row r="5731" spans="1:4" x14ac:dyDescent="0.2">
      <c r="A5731" s="5">
        <v>5670</v>
      </c>
      <c r="B5731" s="138">
        <f>'Revenues 9-14'!G65</f>
        <v>506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506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529024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10215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10215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620043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630258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28550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28550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28550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529024</v>
      </c>
      <c r="C6024" s="2" t="s">
        <v>573</v>
      </c>
      <c r="D6024" s="2" t="str">
        <f t="shared" si="93"/>
        <v>Error?</v>
      </c>
    </row>
    <row r="6025" spans="1:5" x14ac:dyDescent="0.2">
      <c r="A6025" s="5">
        <v>5964</v>
      </c>
      <c r="B6025" s="138">
        <f>'Revenues 9-14'!H109</f>
        <v>630258</v>
      </c>
      <c r="C6025" s="2" t="s">
        <v>573</v>
      </c>
      <c r="D6025" s="2" t="str">
        <f t="shared" si="93"/>
        <v>Error?</v>
      </c>
    </row>
    <row r="6026" spans="1:5" x14ac:dyDescent="0.2">
      <c r="A6026" s="5">
        <v>5965</v>
      </c>
      <c r="B6026" s="138">
        <f>'Revenues 9-14'!I109</f>
        <v>28550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143260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83483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2262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304379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304379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304379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304379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304379</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1369748</v>
      </c>
      <c r="D6267" s="2" t="str">
        <f t="shared" si="96"/>
        <v>Error?</v>
      </c>
      <c r="E6267" s="2" t="s">
        <v>190</v>
      </c>
    </row>
    <row r="6268" spans="1:5" x14ac:dyDescent="0.2">
      <c r="A6268">
        <v>6207</v>
      </c>
      <c r="B6268" s="138">
        <f>'Acct Summary 7-8'!D82</f>
        <v>-2191</v>
      </c>
      <c r="D6268" s="2" t="str">
        <f t="shared" si="96"/>
        <v>Error?</v>
      </c>
      <c r="E6268" s="2" t="s">
        <v>190</v>
      </c>
    </row>
    <row r="6269" spans="1:5" x14ac:dyDescent="0.2">
      <c r="A6269">
        <v>6208</v>
      </c>
      <c r="B6269" s="138">
        <f>'Acct Summary 7-8'!E82</f>
        <v>-2739</v>
      </c>
      <c r="D6269" s="2" t="str">
        <f t="shared" si="96"/>
        <v>Error?</v>
      </c>
      <c r="E6269" s="2" t="s">
        <v>190</v>
      </c>
    </row>
    <row r="6270" spans="1:5" x14ac:dyDescent="0.2">
      <c r="A6270">
        <v>6209</v>
      </c>
      <c r="B6270" s="138">
        <f>'Acct Summary 7-8'!F82</f>
        <v>-19985</v>
      </c>
      <c r="D6270" s="2" t="str">
        <f t="shared" si="96"/>
        <v>Error?</v>
      </c>
      <c r="E6270" s="2" t="s">
        <v>190</v>
      </c>
    </row>
    <row r="6271" spans="1:5" x14ac:dyDescent="0.2">
      <c r="A6271">
        <v>6210</v>
      </c>
      <c r="B6271" s="138">
        <f>'Acct Summary 7-8'!G82</f>
        <v>10739</v>
      </c>
      <c r="D6271" s="2" t="str">
        <f t="shared" ref="D6271:D6334" si="97">IF(ISBLANK(B6271),"OK",IF(A6271-B6271=0,"OK","Error?"))</f>
        <v>Error?</v>
      </c>
      <c r="E6271" s="2" t="s">
        <v>190</v>
      </c>
    </row>
    <row r="6272" spans="1:5" x14ac:dyDescent="0.2">
      <c r="A6272">
        <v>6211</v>
      </c>
      <c r="B6272" s="138">
        <f>'Acct Summary 7-8'!H82</f>
        <v>528644</v>
      </c>
      <c r="D6272" s="2" t="str">
        <f t="shared" si="97"/>
        <v>Error?</v>
      </c>
      <c r="E6272" s="2" t="s">
        <v>190</v>
      </c>
    </row>
    <row r="6273" spans="1:5" x14ac:dyDescent="0.2">
      <c r="A6273">
        <v>6212</v>
      </c>
      <c r="B6273" s="138">
        <f>'Acct Summary 7-8'!I82</f>
        <v>26369</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0.50911312902370931</v>
      </c>
      <c r="D6276" s="2" t="str">
        <f t="shared" si="97"/>
        <v>Error?</v>
      </c>
      <c r="E6276" s="2" t="s">
        <v>190</v>
      </c>
    </row>
    <row r="6277" spans="1:5" x14ac:dyDescent="0.2">
      <c r="A6277">
        <v>6216</v>
      </c>
      <c r="B6277" s="138">
        <f>'Acct Summary 7-8'!D83</f>
        <v>-1.1099628154857797E-2</v>
      </c>
      <c r="D6277" s="2" t="str">
        <f t="shared" si="97"/>
        <v>Error?</v>
      </c>
      <c r="E6277" s="2" t="s">
        <v>190</v>
      </c>
    </row>
    <row r="6278" spans="1:5" x14ac:dyDescent="0.2">
      <c r="A6278">
        <v>6217</v>
      </c>
      <c r="B6278" s="138">
        <f>'Acct Summary 7-8'!E83</f>
        <v>-1.1650361548277328</v>
      </c>
      <c r="D6278" s="2" t="str">
        <f t="shared" si="97"/>
        <v>Error?</v>
      </c>
      <c r="E6278" s="2" t="s">
        <v>190</v>
      </c>
    </row>
    <row r="6279" spans="1:5" x14ac:dyDescent="0.2">
      <c r="A6279">
        <v>6218</v>
      </c>
      <c r="B6279" s="138">
        <f>'Acct Summary 7-8'!F83</f>
        <v>-0.28758706038105103</v>
      </c>
      <c r="D6279" s="2" t="str">
        <f t="shared" si="97"/>
        <v>Error?</v>
      </c>
      <c r="E6279" s="2" t="s">
        <v>190</v>
      </c>
    </row>
    <row r="6280" spans="1:5" x14ac:dyDescent="0.2">
      <c r="A6280">
        <v>6219</v>
      </c>
      <c r="B6280" s="138">
        <f>'Acct Summary 7-8'!G83</f>
        <v>5.5847938010296951E-2</v>
      </c>
      <c r="D6280" s="2" t="str">
        <f t="shared" si="97"/>
        <v>Error?</v>
      </c>
      <c r="E6280" s="2" t="s">
        <v>190</v>
      </c>
    </row>
    <row r="6281" spans="1:5" x14ac:dyDescent="0.2">
      <c r="A6281">
        <v>6220</v>
      </c>
      <c r="B6281" s="138">
        <f>'Acct Summary 7-8'!H83</f>
        <v>0.24918723924367644</v>
      </c>
      <c r="D6281" s="2" t="str">
        <f t="shared" si="97"/>
        <v>Error?</v>
      </c>
      <c r="E6281" s="2" t="s">
        <v>190</v>
      </c>
    </row>
    <row r="6282" spans="1:5" x14ac:dyDescent="0.2">
      <c r="A6282">
        <v>6221</v>
      </c>
      <c r="B6282" s="138">
        <f>'Acct Summary 7-8'!I83</f>
        <v>1.0090936678788751E-2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40791</v>
      </c>
      <c r="D6285" s="2" t="str">
        <f t="shared" si="97"/>
        <v>Error?</v>
      </c>
      <c r="E6285" s="2" t="s">
        <v>190</v>
      </c>
    </row>
    <row r="6286" spans="1:5" x14ac:dyDescent="0.2">
      <c r="A6286">
        <v>6225</v>
      </c>
      <c r="B6286" s="138">
        <f>'Acct Summary 7-8'!E38</f>
        <v>4985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303238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303238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978</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978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175736</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29621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304379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75995</v>
      </c>
      <c r="D6981" s="2" t="str">
        <f t="shared" si="108"/>
        <v>Error?</v>
      </c>
    </row>
    <row r="6982" spans="1:4" x14ac:dyDescent="0.2">
      <c r="A6982">
        <v>6921</v>
      </c>
      <c r="B6982" s="138">
        <f>'Expenditures 15-22'!K85</f>
        <v>75995</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75995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304379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304379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1951</v>
      </c>
      <c r="D7089" s="2" t="str">
        <f t="shared" si="109"/>
        <v>Error?</v>
      </c>
    </row>
    <row r="7090" spans="1:4" x14ac:dyDescent="0.2">
      <c r="A7090">
        <v>7029</v>
      </c>
      <c r="B7090" s="138">
        <f>'Expenditures 15-22'!K252</f>
        <v>1951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95969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95969</v>
      </c>
      <c r="D7153" s="2" t="str">
        <f t="shared" si="110"/>
        <v>Error?</v>
      </c>
    </row>
    <row r="7154" spans="1:4" x14ac:dyDescent="0.2">
      <c r="A7154">
        <v>7093</v>
      </c>
      <c r="B7154" s="138">
        <f>'Expenditures 15-22'!C323</f>
        <v>117852</v>
      </c>
      <c r="D7154" s="2" t="str">
        <f t="shared" si="110"/>
        <v>Error?</v>
      </c>
    </row>
    <row r="7155" spans="1:4" x14ac:dyDescent="0.2">
      <c r="A7155">
        <v>7094</v>
      </c>
      <c r="B7155" s="138">
        <f>'Expenditures 15-22'!D323</f>
        <v>10079</v>
      </c>
      <c r="D7155" s="2" t="str">
        <f t="shared" si="110"/>
        <v>Error?</v>
      </c>
    </row>
    <row r="7156" spans="1:4" x14ac:dyDescent="0.2">
      <c r="A7156">
        <v>7095</v>
      </c>
      <c r="B7156" s="138">
        <f>'Expenditures 15-22'!E323</f>
        <v>61098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189029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8365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8365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11016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11016</v>
      </c>
      <c r="D7198" s="2" t="str">
        <f t="shared" si="111"/>
        <v>Error?</v>
      </c>
    </row>
    <row r="7199" spans="1:4" x14ac:dyDescent="0.2">
      <c r="A7199">
        <v>7138</v>
      </c>
      <c r="B7199" s="138">
        <f>'Expenditures 15-22'!C330</f>
        <v>117852</v>
      </c>
      <c r="D7199" s="2" t="str">
        <f t="shared" si="111"/>
        <v>Error?</v>
      </c>
    </row>
    <row r="7200" spans="1:4" x14ac:dyDescent="0.2">
      <c r="A7200">
        <v>7139</v>
      </c>
      <c r="B7200" s="138">
        <f>'Expenditures 15-22'!D330</f>
        <v>10079</v>
      </c>
      <c r="D7200" s="2" t="str">
        <f t="shared" si="111"/>
        <v>Error?</v>
      </c>
    </row>
    <row r="7201" spans="1:4" x14ac:dyDescent="0.2">
      <c r="A7201">
        <v>7140</v>
      </c>
      <c r="B7201" s="138">
        <f>'Expenditures 15-22'!E330</f>
        <v>176448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304379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117852</v>
      </c>
      <c r="D7216" s="2" t="str">
        <f t="shared" si="111"/>
        <v>Error?</v>
      </c>
    </row>
    <row r="7217" spans="1:4" x14ac:dyDescent="0.2">
      <c r="A7217">
        <v>7156</v>
      </c>
      <c r="B7217" s="138">
        <f>'Expenditures 15-22'!D342</f>
        <v>10079</v>
      </c>
      <c r="D7217" s="2" t="str">
        <f t="shared" si="111"/>
        <v>Error?</v>
      </c>
    </row>
    <row r="7218" spans="1:4" x14ac:dyDescent="0.2">
      <c r="A7218">
        <v>7157</v>
      </c>
      <c r="B7218" s="138">
        <f>'Expenditures 15-22'!E342</f>
        <v>176448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304379</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1545137.93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40791</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4985</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1592829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10214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29621</v>
      </c>
      <c r="D7712" s="2" t="str">
        <f t="shared" si="126"/>
        <v>Error?</v>
      </c>
      <c r="E7712" s="2" t="s">
        <v>827</v>
      </c>
    </row>
    <row r="7713" spans="1:6" x14ac:dyDescent="0.2">
      <c r="A7713">
        <v>7652</v>
      </c>
      <c r="B7713" s="138">
        <f>'Rest Tax Levies-Tort Im 25'!J8</f>
        <v>620043</v>
      </c>
      <c r="D7713" s="2" t="str">
        <f t="shared" si="126"/>
        <v>Error?</v>
      </c>
      <c r="E7713" s="2" t="s">
        <v>827</v>
      </c>
    </row>
    <row r="7714" spans="1:6" x14ac:dyDescent="0.2">
      <c r="A7714">
        <v>7653</v>
      </c>
      <c r="B7714" s="138">
        <f>'Rest Tax Levies-Tort Im 25'!K9</f>
        <v>41966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630257</v>
      </c>
      <c r="D7718" s="2" t="str">
        <f t="shared" si="126"/>
        <v>Error?</v>
      </c>
      <c r="E7718" s="2" t="s">
        <v>827</v>
      </c>
    </row>
    <row r="7719" spans="1:6" x14ac:dyDescent="0.2">
      <c r="A7719">
        <v>7658</v>
      </c>
      <c r="B7719" s="138">
        <f>'Rest Tax Levies-Tort Im 25'!K12</f>
        <v>71587</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71587</v>
      </c>
      <c r="D7721" s="2" t="str">
        <f t="shared" si="126"/>
        <v>Error?</v>
      </c>
      <c r="E7721" s="2" t="s">
        <v>827</v>
      </c>
    </row>
    <row r="7722" spans="1:6" x14ac:dyDescent="0.2">
      <c r="A7722">
        <v>7661</v>
      </c>
      <c r="B7722" s="138">
        <f>'Rest Tax Levies-Tort Im 25'!J15</f>
        <v>101613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1052473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101613</v>
      </c>
      <c r="D7730" s="2" t="str">
        <f t="shared" si="126"/>
        <v>Error?</v>
      </c>
      <c r="E7730" s="2" t="s">
        <v>827</v>
      </c>
    </row>
    <row r="7731" spans="1:6" x14ac:dyDescent="0.2">
      <c r="A7731">
        <v>7670</v>
      </c>
      <c r="B7731" s="138">
        <f>'Revenues 9-14'!H103</f>
        <v>620043</v>
      </c>
      <c r="D7731" s="2" t="str">
        <f t="shared" si="126"/>
        <v>Error?</v>
      </c>
      <c r="E7731" s="2" t="s">
        <v>827</v>
      </c>
    </row>
    <row r="7732" spans="1:6" x14ac:dyDescent="0.2">
      <c r="A7732">
        <v>7671</v>
      </c>
      <c r="B7732" s="138">
        <f>'Rest Tax Levies-Tort Im 25'!J24</f>
        <v>2121473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2121473</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1383987</v>
      </c>
      <c r="D7797" s="2" t="str">
        <f t="shared" si="127"/>
        <v>Error?</v>
      </c>
      <c r="E7797" s="4" t="s">
        <v>1901</v>
      </c>
    </row>
    <row r="7798" spans="1:5" x14ac:dyDescent="0.2">
      <c r="A7798">
        <v>7737</v>
      </c>
      <c r="B7798" s="138">
        <f>'Contracts Paid in CY 29'!F141</f>
        <v>369908</v>
      </c>
      <c r="D7798" s="2" t="str">
        <f t="shared" si="127"/>
        <v>Error?</v>
      </c>
      <c r="E7798" s="4" t="s">
        <v>1901</v>
      </c>
    </row>
    <row r="7799" spans="1:5" x14ac:dyDescent="0.2">
      <c r="A7799">
        <v>7738</v>
      </c>
      <c r="B7799" s="138">
        <f>'Contracts Paid in CY 29'!G141</f>
        <v>1014079</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D52" sqref="D52"/>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1986</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2" t="str">
        <f>COVER!A17</f>
        <v>Herrin CUSD 4</v>
      </c>
      <c r="B7" s="2383"/>
      <c r="C7" s="2383"/>
      <c r="D7" s="2420"/>
      <c r="E7" s="2421">
        <f>COVER!A13</f>
        <v>21100004026</v>
      </c>
      <c r="F7" s="2422"/>
      <c r="G7" s="2389" t="str">
        <f>COVER!T23</f>
        <v>066-003998</v>
      </c>
      <c r="H7" s="2390"/>
      <c r="I7" s="2390"/>
      <c r="J7" s="2390"/>
      <c r="K7" s="2390"/>
      <c r="L7" s="2391"/>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2"/>
      <c r="B9" s="2393"/>
      <c r="C9" s="2393"/>
      <c r="D9" s="2393"/>
      <c r="E9" s="2393"/>
      <c r="F9" s="2394"/>
      <c r="G9" s="2395" t="str">
        <f>COVER!T13</f>
        <v>Kemper CPA Group, LLP</v>
      </c>
      <c r="H9" s="2396"/>
      <c r="I9" s="2396"/>
      <c r="J9" s="2396"/>
      <c r="K9" s="2396"/>
      <c r="L9" s="2397"/>
    </row>
    <row r="10" spans="1:29" ht="13.5" customHeight="1" x14ac:dyDescent="0.2">
      <c r="A10" s="2379" t="str">
        <f>COVER!A38</f>
        <v>Dr. Terry Ryker</v>
      </c>
      <c r="B10" s="2380"/>
      <c r="C10" s="2380"/>
      <c r="D10" s="2380"/>
      <c r="E10" s="2380"/>
      <c r="F10" s="2381"/>
      <c r="G10" s="2395" t="str">
        <f>COVER!T17</f>
        <v>3401 Professional Park Drive, PO BOX 129</v>
      </c>
      <c r="H10" s="2408"/>
      <c r="I10" s="2408"/>
      <c r="J10" s="2408"/>
      <c r="K10" s="2408"/>
      <c r="L10" s="2409"/>
    </row>
    <row r="11" spans="1:29" ht="13.5" customHeight="1" x14ac:dyDescent="0.2">
      <c r="A11" s="1183" t="s">
        <v>1519</v>
      </c>
      <c r="B11" s="1184"/>
      <c r="C11" s="1185"/>
      <c r="D11" s="1190"/>
      <c r="E11" s="1185"/>
      <c r="F11" s="1189"/>
      <c r="G11" s="2395" t="str">
        <f>COVER!T19</f>
        <v>Marion</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kwalker@kcpag.com</v>
      </c>
      <c r="J13" s="2417"/>
      <c r="K13" s="2417"/>
      <c r="L13" s="2418"/>
    </row>
    <row r="14" spans="1:29" ht="13.5" customHeight="1" x14ac:dyDescent="0.2">
      <c r="A14" s="2395" t="str">
        <f>COVER!A19</f>
        <v>700 N. 10th Street</v>
      </c>
      <c r="B14" s="2408"/>
      <c r="C14" s="2408"/>
      <c r="D14" s="2408"/>
      <c r="E14" s="2408"/>
      <c r="F14" s="2409"/>
      <c r="G14" s="1194" t="s">
        <v>1185</v>
      </c>
      <c r="H14" s="1192"/>
      <c r="I14" s="1192"/>
      <c r="J14" s="1192"/>
      <c r="K14" s="1192"/>
      <c r="L14" s="1193"/>
    </row>
    <row r="15" spans="1:29" ht="13.5" customHeight="1" x14ac:dyDescent="0.2">
      <c r="A15" s="2395" t="str">
        <f>COVER!A21</f>
        <v xml:space="preserve">Herrin </v>
      </c>
      <c r="B15" s="2408"/>
      <c r="C15" s="2408"/>
      <c r="D15" s="2408"/>
      <c r="E15" s="2408"/>
      <c r="F15" s="2409"/>
      <c r="G15" s="2405" t="str">
        <f>COVER!T15</f>
        <v>Kimberly Walker, CPA</v>
      </c>
      <c r="H15" s="2406"/>
      <c r="I15" s="2406"/>
      <c r="J15" s="2406"/>
      <c r="K15" s="2406"/>
      <c r="L15" s="2407"/>
    </row>
    <row r="16" spans="1:29" ht="12.2" customHeight="1" x14ac:dyDescent="0.2">
      <c r="A16" s="2385">
        <f>COVER!A25</f>
        <v>62948</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4" t="s">
        <v>1184</v>
      </c>
      <c r="H17" s="1192"/>
      <c r="I17" s="1192"/>
      <c r="J17" s="1192"/>
      <c r="K17" s="1196" t="s">
        <v>1183</v>
      </c>
      <c r="L17" s="1189"/>
      <c r="M17" s="1182"/>
    </row>
    <row r="18" spans="1:13" ht="12.2" customHeight="1" x14ac:dyDescent="0.2">
      <c r="A18" s="2379"/>
      <c r="B18" s="2380"/>
      <c r="C18" s="2380"/>
      <c r="D18" s="2380"/>
      <c r="E18" s="2380"/>
      <c r="F18" s="2381"/>
      <c r="G18" s="2382" t="str">
        <f>COVER!T21</f>
        <v>618-997-3055</v>
      </c>
      <c r="H18" s="2383"/>
      <c r="I18" s="2383"/>
      <c r="J18" s="2383"/>
      <c r="K18" s="2382" t="str">
        <f>COVER!X21</f>
        <v>618-997-5121</v>
      </c>
      <c r="L18" s="238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t="s">
        <v>2065</v>
      </c>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t="s">
        <v>2065</v>
      </c>
      <c r="C26" s="1201" t="s">
        <v>1699</v>
      </c>
    </row>
    <row r="27" spans="1:13" s="1197" customFormat="1" ht="9" customHeight="1" x14ac:dyDescent="0.2">
      <c r="B27" s="1202"/>
      <c r="C27" s="1201"/>
    </row>
    <row r="28" spans="1:13" s="1197" customFormat="1" ht="12.2" customHeight="1" x14ac:dyDescent="0.2">
      <c r="A28" s="1204"/>
      <c r="B28" s="1200" t="s">
        <v>2065</v>
      </c>
      <c r="C28" s="1201" t="s">
        <v>1700</v>
      </c>
    </row>
    <row r="29" spans="1:13" s="1197" customFormat="1" ht="9" customHeight="1" x14ac:dyDescent="0.2">
      <c r="A29" s="1204"/>
      <c r="B29" s="1202"/>
      <c r="C29" s="1201"/>
    </row>
    <row r="30" spans="1:13" s="1197" customFormat="1" ht="12.2" customHeight="1" x14ac:dyDescent="0.2">
      <c r="B30" s="1200" t="s">
        <v>2065</v>
      </c>
      <c r="C30" s="1201" t="s">
        <v>1562</v>
      </c>
      <c r="D30" s="1195"/>
      <c r="E30" s="1195"/>
    </row>
    <row r="31" spans="1:13" s="1197" customFormat="1" ht="9" customHeight="1" x14ac:dyDescent="0.2">
      <c r="B31" s="1202"/>
      <c r="C31" s="1201"/>
      <c r="D31" s="1195"/>
      <c r="E31" s="1195"/>
    </row>
    <row r="32" spans="1:13" s="1197" customFormat="1" ht="12.2" customHeight="1" x14ac:dyDescent="0.2">
      <c r="B32" s="1200" t="s">
        <v>2065</v>
      </c>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t="s">
        <v>2065</v>
      </c>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t="s">
        <v>2065</v>
      </c>
      <c r="C38" s="1201" t="s">
        <v>1566</v>
      </c>
    </row>
    <row r="39" spans="1:8" ht="9" customHeight="1" x14ac:dyDescent="0.2">
      <c r="B39" s="1202"/>
      <c r="C39" s="1205"/>
    </row>
    <row r="40" spans="1:8" s="1197" customFormat="1" ht="13.5" customHeight="1" x14ac:dyDescent="0.2">
      <c r="B40" s="1200" t="s">
        <v>2065</v>
      </c>
      <c r="C40" s="1201" t="s">
        <v>1567</v>
      </c>
    </row>
    <row r="41" spans="1:8" ht="9" customHeight="1" x14ac:dyDescent="0.2">
      <c r="A41" s="1206"/>
      <c r="B41" s="1202"/>
      <c r="C41" s="1205"/>
    </row>
    <row r="42" spans="1:8" s="1197" customFormat="1" ht="13.5" customHeight="1" x14ac:dyDescent="0.2">
      <c r="B42" s="1200" t="s">
        <v>2065</v>
      </c>
      <c r="C42" s="1201" t="s">
        <v>1833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2065</v>
      </c>
      <c r="C46" s="1208" t="s">
        <v>1568</v>
      </c>
      <c r="D46" s="1195"/>
      <c r="E46" s="1195"/>
      <c r="F46" s="1195"/>
      <c r="G46" s="1195"/>
      <c r="H46" s="1195"/>
    </row>
    <row r="47" spans="1:8" ht="9" customHeight="1" x14ac:dyDescent="0.2"/>
    <row r="48" spans="1:8" ht="12.2" customHeight="1" x14ac:dyDescent="0.2">
      <c r="B48" s="1931" t="s">
        <v>2065</v>
      </c>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9" zoomScale="125" zoomScaleNormal="125" workbookViewId="0">
      <selection activeCell="D127" sqref="D127"/>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3" t="str">
        <f>'Single Audit Cover'!A7</f>
        <v>Herrin CUSD 4</v>
      </c>
      <c r="B1" s="2419"/>
      <c r="C1" s="2419"/>
      <c r="D1" s="2419"/>
    </row>
    <row r="2" spans="1:11" s="1211" customFormat="1" ht="12.75" x14ac:dyDescent="0.2">
      <c r="A2" s="2424">
        <f>'Single Audit Cover'!E7</f>
        <v>21100004026</v>
      </c>
      <c r="B2" s="2425"/>
      <c r="C2" s="2425"/>
      <c r="D2" s="2425"/>
    </row>
    <row r="3" spans="1:11" s="1211" customFormat="1" ht="12.75" x14ac:dyDescent="0.2">
      <c r="A3" s="2423" t="s">
        <v>1513</v>
      </c>
      <c r="B3" s="2419"/>
      <c r="C3" s="2419"/>
      <c r="D3" s="2419"/>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t="s">
        <v>2065</v>
      </c>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2065</v>
      </c>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2065</v>
      </c>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2065</v>
      </c>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2065</v>
      </c>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2065</v>
      </c>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t="s">
        <v>2065</v>
      </c>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t="s">
        <v>2065</v>
      </c>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t="s">
        <v>2065</v>
      </c>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t="s">
        <v>2065</v>
      </c>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t="s">
        <v>2065</v>
      </c>
      <c r="C42" s="1228">
        <v>11</v>
      </c>
      <c r="D42" s="1239" t="s">
        <v>1574</v>
      </c>
      <c r="E42" s="312"/>
    </row>
    <row r="43" spans="1:5" ht="3" customHeight="1" x14ac:dyDescent="0.2">
      <c r="A43" s="1218"/>
      <c r="B43" s="1235"/>
      <c r="C43" s="1236"/>
      <c r="D43" s="1217"/>
    </row>
    <row r="44" spans="1:5" x14ac:dyDescent="0.2">
      <c r="A44" s="1218"/>
      <c r="B44" s="1221" t="s">
        <v>2065</v>
      </c>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t="s">
        <v>2065</v>
      </c>
      <c r="C48" s="1222">
        <f>C44+1</f>
        <v>13</v>
      </c>
      <c r="D48" s="1233" t="s">
        <v>1575</v>
      </c>
    </row>
    <row r="49" spans="1:4" ht="3" customHeight="1" x14ac:dyDescent="0.2">
      <c r="A49" s="1218"/>
      <c r="B49" s="1225"/>
      <c r="C49" s="1222"/>
      <c r="D49" s="1233"/>
    </row>
    <row r="50" spans="1:4" x14ac:dyDescent="0.2">
      <c r="A50" s="1218"/>
      <c r="B50" s="1221" t="s">
        <v>2065</v>
      </c>
      <c r="C50" s="1222">
        <f>C48+1</f>
        <v>14</v>
      </c>
      <c r="D50" s="1233" t="s">
        <v>1212</v>
      </c>
    </row>
    <row r="51" spans="1:4" ht="3" customHeight="1" x14ac:dyDescent="0.2">
      <c r="A51" s="1218"/>
      <c r="B51" s="1225"/>
      <c r="C51" s="1222"/>
      <c r="D51" s="1233"/>
    </row>
    <row r="52" spans="1:4" x14ac:dyDescent="0.2">
      <c r="A52" s="1218"/>
      <c r="B52" s="1221" t="s">
        <v>2065</v>
      </c>
      <c r="C52" s="1222">
        <f>C50+1</f>
        <v>15</v>
      </c>
      <c r="D52" s="1233" t="s">
        <v>1211</v>
      </c>
    </row>
    <row r="53" spans="1:4" ht="3" customHeight="1" x14ac:dyDescent="0.2">
      <c r="A53" s="1218"/>
      <c r="B53" s="1225"/>
      <c r="C53" s="1222"/>
      <c r="D53" s="1233"/>
    </row>
    <row r="54" spans="1:4" x14ac:dyDescent="0.2">
      <c r="A54" s="1218"/>
      <c r="B54" s="1221" t="s">
        <v>2065</v>
      </c>
      <c r="C54" s="1222">
        <f>C52+1</f>
        <v>16</v>
      </c>
      <c r="D54" s="1233" t="s">
        <v>1210</v>
      </c>
    </row>
    <row r="55" spans="1:4" ht="3" customHeight="1" x14ac:dyDescent="0.2">
      <c r="A55" s="1218"/>
      <c r="B55" s="1225"/>
      <c r="C55" s="1222"/>
      <c r="D55" s="1233"/>
    </row>
    <row r="56" spans="1:4" x14ac:dyDescent="0.2">
      <c r="A56" s="1218"/>
      <c r="B56" s="1221" t="s">
        <v>2065</v>
      </c>
      <c r="C56" s="1222">
        <f>C54+1</f>
        <v>17</v>
      </c>
      <c r="D56" s="1217" t="s">
        <v>1708</v>
      </c>
    </row>
    <row r="57" spans="1:4" ht="10.5" customHeight="1" x14ac:dyDescent="0.2">
      <c r="A57" s="1218"/>
      <c r="D57" s="1233" t="s">
        <v>1709</v>
      </c>
    </row>
    <row r="58" spans="1:4" x14ac:dyDescent="0.2">
      <c r="A58" s="1218"/>
      <c r="C58" s="1240" t="s">
        <v>2065</v>
      </c>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t="s">
        <v>2065</v>
      </c>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t="s">
        <v>2065</v>
      </c>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t="s">
        <v>2065</v>
      </c>
      <c r="D69" s="1233" t="s">
        <v>1713</v>
      </c>
    </row>
    <row r="70" spans="1:4" x14ac:dyDescent="0.2">
      <c r="A70" s="1218"/>
      <c r="D70" s="1242" t="s">
        <v>1206</v>
      </c>
    </row>
    <row r="71" spans="1:4" ht="3" customHeight="1" x14ac:dyDescent="0.2">
      <c r="A71" s="1218"/>
      <c r="D71" s="1217"/>
    </row>
    <row r="72" spans="1:4" x14ac:dyDescent="0.2">
      <c r="A72" s="1218"/>
      <c r="B72" s="1221" t="s">
        <v>2065</v>
      </c>
      <c r="C72" s="1222">
        <f>C56+1</f>
        <v>18</v>
      </c>
      <c r="D72" s="1243" t="s">
        <v>1714</v>
      </c>
    </row>
    <row r="73" spans="1:4" ht="3" customHeight="1" x14ac:dyDescent="0.2">
      <c r="A73" s="1218"/>
      <c r="B73" s="1225"/>
      <c r="C73" s="1222"/>
      <c r="D73" s="1243"/>
    </row>
    <row r="74" spans="1:4" x14ac:dyDescent="0.2">
      <c r="A74" s="1218"/>
      <c r="B74" s="1221" t="s">
        <v>2065</v>
      </c>
      <c r="C74" s="1222">
        <f>C72+1</f>
        <v>19</v>
      </c>
      <c r="D74" s="1233" t="s">
        <v>1205</v>
      </c>
    </row>
    <row r="75" spans="1:4" ht="3" customHeight="1" x14ac:dyDescent="0.2">
      <c r="A75" s="1218"/>
      <c r="B75" s="1225"/>
      <c r="C75" s="1222"/>
      <c r="D75" s="1233"/>
    </row>
    <row r="76" spans="1:4" x14ac:dyDescent="0.2">
      <c r="A76" s="1218"/>
      <c r="B76" s="1221" t="s">
        <v>2065</v>
      </c>
      <c r="C76" s="1222">
        <f>C74+1</f>
        <v>20</v>
      </c>
      <c r="D76" s="1244" t="s">
        <v>1715</v>
      </c>
    </row>
    <row r="77" spans="1:4" ht="3" customHeight="1" x14ac:dyDescent="0.2">
      <c r="A77" s="1218"/>
      <c r="B77" s="1225"/>
      <c r="C77" s="1222"/>
      <c r="D77" s="1244"/>
    </row>
    <row r="78" spans="1:4" x14ac:dyDescent="0.2">
      <c r="A78" s="1218"/>
      <c r="B78" s="1221" t="s">
        <v>2065</v>
      </c>
      <c r="C78" s="1222">
        <f>C76+1</f>
        <v>21</v>
      </c>
      <c r="D78" s="1217" t="s">
        <v>1716</v>
      </c>
    </row>
    <row r="79" spans="1:4" ht="3" customHeight="1" x14ac:dyDescent="0.2">
      <c r="A79" s="1218"/>
      <c r="B79" s="1225"/>
      <c r="C79" s="1222"/>
      <c r="D79" s="1217"/>
    </row>
    <row r="80" spans="1:4" x14ac:dyDescent="0.2">
      <c r="A80" s="1218"/>
      <c r="B80" s="1221" t="s">
        <v>2065</v>
      </c>
      <c r="C80" s="1222">
        <f>C78+1</f>
        <v>22</v>
      </c>
      <c r="D80" s="1245" t="s">
        <v>1717</v>
      </c>
    </row>
    <row r="81" spans="1:4" ht="3" customHeight="1" x14ac:dyDescent="0.2">
      <c r="A81" s="1218"/>
      <c r="B81" s="1225"/>
      <c r="C81" s="1222"/>
      <c r="D81" s="1245"/>
    </row>
    <row r="82" spans="1:4" x14ac:dyDescent="0.2">
      <c r="A82" s="1218"/>
      <c r="B82" s="1221" t="s">
        <v>2065</v>
      </c>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t="s">
        <v>2065</v>
      </c>
      <c r="C85" s="1222">
        <f>C82+1</f>
        <v>24</v>
      </c>
      <c r="D85" s="1233" t="s">
        <v>1203</v>
      </c>
    </row>
    <row r="86" spans="1:4" ht="3" customHeight="1" x14ac:dyDescent="0.2">
      <c r="A86" s="1218"/>
      <c r="B86" s="1225"/>
      <c r="C86" s="1222"/>
      <c r="D86" s="1233"/>
    </row>
    <row r="87" spans="1:4" x14ac:dyDescent="0.2">
      <c r="A87" s="1218"/>
      <c r="B87" s="1221" t="s">
        <v>2065</v>
      </c>
      <c r="C87" s="1222">
        <f>C85+1</f>
        <v>25</v>
      </c>
      <c r="D87" s="1233" t="s">
        <v>1202</v>
      </c>
    </row>
    <row r="88" spans="1:4" ht="3" customHeight="1" x14ac:dyDescent="0.2">
      <c r="A88" s="1218"/>
      <c r="B88" s="1225"/>
      <c r="C88" s="1222"/>
      <c r="D88" s="1233"/>
    </row>
    <row r="89" spans="1:4" x14ac:dyDescent="0.2">
      <c r="A89" s="1218"/>
      <c r="B89" s="1221" t="s">
        <v>2065</v>
      </c>
      <c r="C89" s="1222">
        <f>C87+1</f>
        <v>26</v>
      </c>
      <c r="D89" s="1233" t="s">
        <v>1201</v>
      </c>
    </row>
    <row r="90" spans="1:4" ht="3" customHeight="1" x14ac:dyDescent="0.2">
      <c r="A90" s="1218"/>
      <c r="B90" s="1225"/>
      <c r="C90" s="1222"/>
      <c r="D90" s="1233"/>
    </row>
    <row r="91" spans="1:4" x14ac:dyDescent="0.2">
      <c r="A91" s="1218"/>
      <c r="B91" s="1221" t="s">
        <v>2065</v>
      </c>
      <c r="C91" s="1222">
        <f>C89+1</f>
        <v>27</v>
      </c>
      <c r="D91" s="1233" t="s">
        <v>1719</v>
      </c>
    </row>
    <row r="92" spans="1:4" x14ac:dyDescent="0.2">
      <c r="A92" s="1218"/>
      <c r="B92" s="1246"/>
      <c r="C92" s="1240" t="s">
        <v>2065</v>
      </c>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t="s">
        <v>2065</v>
      </c>
      <c r="C96" s="1222">
        <f>C91+1</f>
        <v>28</v>
      </c>
      <c r="D96" s="1233" t="s">
        <v>1720</v>
      </c>
    </row>
    <row r="97" spans="1:4" ht="3" customHeight="1" x14ac:dyDescent="0.2">
      <c r="A97" s="1218"/>
      <c r="B97" s="1225"/>
      <c r="C97" s="1222"/>
      <c r="D97" s="1233"/>
    </row>
    <row r="98" spans="1:4" x14ac:dyDescent="0.2">
      <c r="A98" s="1218"/>
      <c r="B98" s="1221" t="s">
        <v>2065</v>
      </c>
      <c r="C98" s="1222">
        <f>C96+1</f>
        <v>29</v>
      </c>
      <c r="D98" s="1247" t="s">
        <v>1721</v>
      </c>
    </row>
    <row r="99" spans="1:4" ht="3" customHeight="1" x14ac:dyDescent="0.2">
      <c r="A99" s="1218"/>
      <c r="B99" s="1225"/>
      <c r="C99" s="1222"/>
      <c r="D99" s="1247"/>
    </row>
    <row r="100" spans="1:4" x14ac:dyDescent="0.2">
      <c r="A100" s="1218"/>
      <c r="B100" s="1221" t="s">
        <v>2065</v>
      </c>
      <c r="C100" s="1222">
        <f>C98+1</f>
        <v>30</v>
      </c>
      <c r="D100" s="1233" t="s">
        <v>1722</v>
      </c>
    </row>
    <row r="101" spans="1:4" ht="3" customHeight="1" x14ac:dyDescent="0.2">
      <c r="A101" s="1218"/>
      <c r="B101" s="1225"/>
      <c r="C101" s="1222"/>
      <c r="D101" s="1248"/>
    </row>
    <row r="102" spans="1:4" x14ac:dyDescent="0.2">
      <c r="A102" s="1218"/>
      <c r="B102" s="1221" t="s">
        <v>2065</v>
      </c>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t="s">
        <v>2065</v>
      </c>
      <c r="C106" s="1222">
        <f>C102+1</f>
        <v>32</v>
      </c>
      <c r="D106" s="1217" t="s">
        <v>1580</v>
      </c>
    </row>
    <row r="107" spans="1:4" ht="3" customHeight="1" x14ac:dyDescent="0.2">
      <c r="A107" s="1218"/>
      <c r="B107" s="1225"/>
      <c r="C107" s="1222"/>
      <c r="D107" s="1217"/>
    </row>
    <row r="108" spans="1:4" x14ac:dyDescent="0.2">
      <c r="A108" s="1218"/>
      <c r="B108" s="1221" t="s">
        <v>2065</v>
      </c>
      <c r="C108" s="1222">
        <v>33</v>
      </c>
      <c r="D108" s="1217" t="s">
        <v>1723</v>
      </c>
    </row>
    <row r="109" spans="1:4" ht="3" customHeight="1" x14ac:dyDescent="0.2">
      <c r="A109" s="1218"/>
      <c r="B109" s="1225"/>
      <c r="C109" s="1222"/>
      <c r="D109" s="1217"/>
    </row>
    <row r="110" spans="1:4" x14ac:dyDescent="0.2">
      <c r="A110" s="1218"/>
      <c r="B110" s="1221" t="s">
        <v>2065</v>
      </c>
      <c r="C110" s="1222">
        <f>C108+1</f>
        <v>34</v>
      </c>
      <c r="D110" s="1217" t="s">
        <v>1198</v>
      </c>
    </row>
    <row r="111" spans="1:4" ht="3" customHeight="1" x14ac:dyDescent="0.2">
      <c r="A111" s="1218"/>
      <c r="B111" s="1225"/>
      <c r="C111" s="1222"/>
      <c r="D111" s="1217"/>
    </row>
    <row r="112" spans="1:4" x14ac:dyDescent="0.2">
      <c r="A112" s="1218"/>
      <c r="B112" s="1221" t="s">
        <v>2065</v>
      </c>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t="s">
        <v>2065</v>
      </c>
      <c r="C115" s="1222">
        <f>C112+1</f>
        <v>36</v>
      </c>
      <c r="D115" s="1233" t="s">
        <v>1195</v>
      </c>
    </row>
    <row r="116" spans="1:4" ht="3" customHeight="1" x14ac:dyDescent="0.2">
      <c r="A116" s="1218"/>
      <c r="B116" s="1225"/>
      <c r="C116" s="1222"/>
      <c r="D116" s="1233"/>
    </row>
    <row r="117" spans="1:4" x14ac:dyDescent="0.2">
      <c r="A117" s="1218"/>
      <c r="B117" s="1221" t="s">
        <v>2065</v>
      </c>
      <c r="C117" s="1222">
        <f>C115+1</f>
        <v>37</v>
      </c>
      <c r="D117" s="1233" t="s">
        <v>1724</v>
      </c>
    </row>
    <row r="118" spans="1:4" ht="3" customHeight="1" x14ac:dyDescent="0.2">
      <c r="A118" s="1218"/>
      <c r="B118" s="1225"/>
      <c r="C118" s="1222"/>
      <c r="D118" s="1233"/>
    </row>
    <row r="119" spans="1:4" x14ac:dyDescent="0.2">
      <c r="A119" s="1218"/>
      <c r="B119" s="1221" t="s">
        <v>2065</v>
      </c>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t="s">
        <v>2065</v>
      </c>
      <c r="C123" s="1222">
        <f>C119+1</f>
        <v>39</v>
      </c>
      <c r="D123" s="1243" t="s">
        <v>1834</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7" t="str">
        <f>'Single Audit Cover'!A7</f>
        <v>Herrin CUSD 4</v>
      </c>
      <c r="B1" s="2427"/>
      <c r="C1" s="2427"/>
      <c r="D1" s="2427"/>
      <c r="E1" s="2427"/>
    </row>
    <row r="2" spans="1:5" x14ac:dyDescent="0.2">
      <c r="A2" s="2428">
        <f>'Single Audit Cover'!E7</f>
        <v>21100004026</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6" t="s">
        <v>1243</v>
      </c>
    </row>
    <row r="10" spans="1:5" x14ac:dyDescent="0.2">
      <c r="A10" s="1257" t="s">
        <v>1242</v>
      </c>
      <c r="B10" s="1258" t="s">
        <v>1241</v>
      </c>
      <c r="C10" s="1258"/>
      <c r="D10" s="1259">
        <f>SUM('Acct Summary 7-8'!C7:K7)</f>
        <v>1674378</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83483</v>
      </c>
    </row>
    <row r="15" spans="1:5" x14ac:dyDescent="0.2">
      <c r="A15" s="1257"/>
      <c r="B15" s="1258"/>
      <c r="C15" s="1258"/>
    </row>
    <row r="16" spans="1:5" x14ac:dyDescent="0.2">
      <c r="A16" s="1257" t="s">
        <v>1841</v>
      </c>
      <c r="B16" s="1258"/>
      <c r="C16" s="1258"/>
    </row>
    <row r="17" spans="1:4" x14ac:dyDescent="0.2">
      <c r="A17" s="1257" t="s">
        <v>2058</v>
      </c>
      <c r="B17" s="1258" t="s">
        <v>1236</v>
      </c>
      <c r="C17" s="1258"/>
      <c r="D17" s="1260">
        <f>-SUM('Revenues 9-14'!C264:D264,'Revenues 9-14'!F264:G264)</f>
        <v>-7777</v>
      </c>
    </row>
    <row r="19" spans="1:4" ht="13.5" thickBot="1" x14ac:dyDescent="0.25">
      <c r="A19" s="1261" t="s">
        <v>1235</v>
      </c>
      <c r="D19" s="1262">
        <f>SUM(D10:D17)</f>
        <v>1750084</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9"/>
      <c r="B24" s="2429"/>
      <c r="D24" s="1264"/>
    </row>
    <row r="25" spans="1:4" x14ac:dyDescent="0.2">
      <c r="A25" s="2426"/>
      <c r="B25" s="2426"/>
      <c r="D25" s="1264"/>
    </row>
    <row r="26" spans="1:4" x14ac:dyDescent="0.2">
      <c r="A26" s="2426"/>
      <c r="B26" s="2426"/>
      <c r="D26" s="1264"/>
    </row>
    <row r="27" spans="1:4" x14ac:dyDescent="0.2">
      <c r="A27" s="2426"/>
      <c r="B27" s="2426"/>
      <c r="D27" s="1264"/>
    </row>
    <row r="28" spans="1:4" x14ac:dyDescent="0.2">
      <c r="A28" s="2426"/>
      <c r="B28" s="2426"/>
      <c r="D28" s="1264"/>
    </row>
    <row r="29" spans="1:4" x14ac:dyDescent="0.2">
      <c r="A29" s="2426"/>
      <c r="B29" s="2426"/>
      <c r="D29" s="1264"/>
    </row>
    <row r="30" spans="1:4" x14ac:dyDescent="0.2">
      <c r="A30" s="2426"/>
      <c r="B30" s="2426"/>
      <c r="D30" s="1264"/>
    </row>
    <row r="32" spans="1:4" x14ac:dyDescent="0.2">
      <c r="A32" s="1256" t="s">
        <v>1233</v>
      </c>
      <c r="D32" s="1259">
        <f>SUM(D19:D30)</f>
        <v>1750084</v>
      </c>
    </row>
    <row r="33" spans="1:4" x14ac:dyDescent="0.2">
      <c r="D33" s="1265"/>
    </row>
    <row r="34" spans="1:4" x14ac:dyDescent="0.2">
      <c r="A34" s="317" t="s">
        <v>1232</v>
      </c>
    </row>
    <row r="35" spans="1:4" x14ac:dyDescent="0.2">
      <c r="A35" s="317" t="s">
        <v>1231</v>
      </c>
      <c r="B35" s="1254" t="s">
        <v>1230</v>
      </c>
      <c r="D35" s="1266">
        <v>1750084</v>
      </c>
    </row>
    <row r="37" spans="1:4" x14ac:dyDescent="0.2">
      <c r="A37" s="1256" t="s">
        <v>1229</v>
      </c>
    </row>
    <row r="39" spans="1:4" ht="13.35" customHeight="1" x14ac:dyDescent="0.2">
      <c r="A39" s="1263" t="s">
        <v>1228</v>
      </c>
    </row>
    <row r="40" spans="1:4" x14ac:dyDescent="0.2">
      <c r="A40" s="2426"/>
      <c r="B40" s="2426"/>
      <c r="D40" s="1264"/>
    </row>
    <row r="41" spans="1:4" x14ac:dyDescent="0.2">
      <c r="A41" s="2426"/>
      <c r="B41" s="2426"/>
      <c r="D41" s="1267"/>
    </row>
    <row r="42" spans="1:4" x14ac:dyDescent="0.2">
      <c r="A42" s="2426"/>
      <c r="B42" s="2426"/>
      <c r="D42" s="1267"/>
    </row>
    <row r="43" spans="1:4" x14ac:dyDescent="0.2">
      <c r="A43" s="2426"/>
      <c r="B43" s="2426"/>
      <c r="D43" s="1267"/>
    </row>
    <row r="44" spans="1:4" x14ac:dyDescent="0.2">
      <c r="A44" s="2426"/>
      <c r="B44" s="2426"/>
      <c r="D44" s="1267"/>
    </row>
    <row r="45" spans="1:4" x14ac:dyDescent="0.2">
      <c r="A45" s="2426"/>
      <c r="B45" s="2426"/>
      <c r="D45" s="1267"/>
    </row>
    <row r="47" spans="1:4" x14ac:dyDescent="0.2">
      <c r="B47" s="1268" t="s">
        <v>1227</v>
      </c>
      <c r="C47" s="1268"/>
      <c r="D47" s="1269">
        <f>SUM(D35:D45)</f>
        <v>1750084</v>
      </c>
    </row>
    <row r="49" spans="2:4" x14ac:dyDescent="0.2">
      <c r="B49" s="1268" t="s">
        <v>1226</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110" zoomScaleNormal="110" workbookViewId="0">
      <selection activeCell="B23" sqref="B23"/>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8" t="str">
        <f>'Single Audit Cover'!A7</f>
        <v>Herrin CUSD 4</v>
      </c>
      <c r="C1" s="2431"/>
      <c r="D1" s="2431"/>
      <c r="E1" s="2431"/>
      <c r="F1" s="2431"/>
      <c r="G1" s="2431"/>
      <c r="H1" s="2431"/>
      <c r="I1" s="2431"/>
      <c r="J1" s="2431"/>
      <c r="K1" s="2431"/>
      <c r="L1" s="2431"/>
      <c r="M1" s="2431"/>
    </row>
    <row r="2" spans="2:14" ht="15" x14ac:dyDescent="0.2">
      <c r="B2" s="2432">
        <f>'Single Audit Cover'!E7</f>
        <v>21100004026</v>
      </c>
      <c r="C2" s="2432"/>
      <c r="D2" s="2432"/>
      <c r="E2" s="2432"/>
      <c r="F2" s="2432"/>
      <c r="G2" s="2432"/>
      <c r="H2" s="2432"/>
      <c r="I2" s="2432"/>
      <c r="J2" s="2432"/>
      <c r="K2" s="2432"/>
      <c r="L2" s="2432"/>
      <c r="M2" s="2432"/>
      <c r="N2" s="1298"/>
    </row>
    <row r="3" spans="2:14" ht="15" x14ac:dyDescent="0.2">
      <c r="B3" s="2433" t="s">
        <v>1219</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2207</v>
      </c>
      <c r="C11" s="1334"/>
      <c r="D11" s="1335"/>
      <c r="E11" s="1336"/>
      <c r="F11" s="1336"/>
      <c r="G11" s="1336"/>
      <c r="H11" s="1336"/>
      <c r="I11" s="1336"/>
      <c r="J11" s="1336"/>
      <c r="K11" s="1336"/>
      <c r="L11" s="1336"/>
      <c r="M11" s="1336"/>
    </row>
    <row r="12" spans="2:14" ht="20.100000000000001" customHeight="1" x14ac:dyDescent="0.2">
      <c r="B12" s="1333" t="s">
        <v>2199</v>
      </c>
      <c r="C12" s="1337"/>
      <c r="D12" s="1338"/>
      <c r="E12" s="1339"/>
      <c r="F12" s="1339"/>
      <c r="G12" s="1339"/>
      <c r="H12" s="1339"/>
      <c r="I12" s="1339"/>
      <c r="J12" s="1339"/>
      <c r="K12" s="1339"/>
      <c r="L12" s="1336"/>
      <c r="M12" s="1339"/>
    </row>
    <row r="13" spans="2:14" ht="20.100000000000001" customHeight="1" x14ac:dyDescent="0.2">
      <c r="B13" s="1333" t="s">
        <v>2200</v>
      </c>
      <c r="C13" s="1337"/>
      <c r="D13" s="1338"/>
      <c r="E13" s="1339"/>
      <c r="F13" s="1339"/>
      <c r="G13" s="1339"/>
      <c r="H13" s="1339"/>
      <c r="I13" s="1339"/>
      <c r="J13" s="1339"/>
      <c r="K13" s="1339"/>
      <c r="L13" s="1336"/>
      <c r="M13" s="1339"/>
    </row>
    <row r="14" spans="2:14" ht="20.100000000000001" customHeight="1" x14ac:dyDescent="0.2">
      <c r="B14" s="1333" t="s">
        <v>2201</v>
      </c>
      <c r="C14" s="1337"/>
      <c r="D14" s="1338"/>
      <c r="E14" s="1339"/>
      <c r="F14" s="1339"/>
      <c r="G14" s="1339"/>
      <c r="H14" s="1339"/>
      <c r="I14" s="1339"/>
      <c r="J14" s="1339"/>
      <c r="K14" s="1339"/>
      <c r="L14" s="1336"/>
      <c r="M14" s="1339"/>
    </row>
    <row r="15" spans="2:14" ht="20.100000000000001" customHeight="1" x14ac:dyDescent="0.2">
      <c r="B15" s="1333" t="s">
        <v>2202</v>
      </c>
      <c r="C15" s="1337">
        <v>10.553000000000001</v>
      </c>
      <c r="D15" s="1338" t="s">
        <v>2148</v>
      </c>
      <c r="E15" s="1339"/>
      <c r="F15" s="1339">
        <v>149198</v>
      </c>
      <c r="G15" s="1339"/>
      <c r="H15" s="1339"/>
      <c r="I15" s="1339">
        <v>149198</v>
      </c>
      <c r="J15" s="1339"/>
      <c r="K15" s="1339"/>
      <c r="L15" s="1336">
        <f t="shared" ref="L15:L26" si="0">+G15+I15+K15</f>
        <v>149198</v>
      </c>
      <c r="M15" s="1339" t="s">
        <v>2079</v>
      </c>
    </row>
    <row r="16" spans="2:14" ht="20.100000000000001" customHeight="1" x14ac:dyDescent="0.2">
      <c r="B16" s="1333" t="s">
        <v>2202</v>
      </c>
      <c r="C16" s="1337">
        <v>10.553000000000001</v>
      </c>
      <c r="D16" s="1338" t="s">
        <v>2149</v>
      </c>
      <c r="E16" s="1339">
        <v>152106</v>
      </c>
      <c r="F16" s="1339">
        <v>34408</v>
      </c>
      <c r="G16" s="1339">
        <v>152106</v>
      </c>
      <c r="H16" s="1339"/>
      <c r="I16" s="1339">
        <v>34408</v>
      </c>
      <c r="J16" s="1339"/>
      <c r="K16" s="1339"/>
      <c r="L16" s="1336">
        <f t="shared" si="0"/>
        <v>186514</v>
      </c>
      <c r="M16" s="1339" t="s">
        <v>2079</v>
      </c>
    </row>
    <row r="17" spans="2:14" ht="20.100000000000001" customHeight="1" x14ac:dyDescent="0.2">
      <c r="B17" s="1333" t="s">
        <v>2208</v>
      </c>
      <c r="C17" s="1337"/>
      <c r="D17" s="1338"/>
      <c r="E17" s="1339">
        <f>E16+E15</f>
        <v>152106</v>
      </c>
      <c r="F17" s="1339">
        <f>F16+F15</f>
        <v>183606</v>
      </c>
      <c r="G17" s="1339">
        <f>G16</f>
        <v>152106</v>
      </c>
      <c r="H17" s="1339"/>
      <c r="I17" s="1339">
        <f>I15+I16</f>
        <v>183606</v>
      </c>
      <c r="J17" s="1339"/>
      <c r="K17" s="1339"/>
      <c r="L17" s="1336">
        <f t="shared" si="0"/>
        <v>335712</v>
      </c>
      <c r="M17" s="1339"/>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t="s">
        <v>2203</v>
      </c>
      <c r="C19" s="1337"/>
      <c r="D19" s="1338"/>
      <c r="E19" s="1339"/>
      <c r="F19" s="1339"/>
      <c r="G19" s="1339"/>
      <c r="H19" s="1339"/>
      <c r="I19" s="1339"/>
      <c r="J19" s="1339"/>
      <c r="K19" s="1339"/>
      <c r="L19" s="1336"/>
      <c r="M19" s="1339"/>
    </row>
    <row r="20" spans="2:14" ht="20.100000000000001" customHeight="1" x14ac:dyDescent="0.2">
      <c r="B20" s="1333" t="s">
        <v>2204</v>
      </c>
      <c r="C20" s="1337">
        <v>10.555</v>
      </c>
      <c r="D20" s="1338" t="s">
        <v>2150</v>
      </c>
      <c r="E20" s="1339"/>
      <c r="F20" s="1339">
        <v>488117</v>
      </c>
      <c r="G20" s="1339"/>
      <c r="H20" s="1339"/>
      <c r="I20" s="1339">
        <v>488117</v>
      </c>
      <c r="J20" s="1339"/>
      <c r="K20" s="1339"/>
      <c r="L20" s="1336">
        <f t="shared" si="0"/>
        <v>488117</v>
      </c>
      <c r="M20" s="1339" t="s">
        <v>2079</v>
      </c>
    </row>
    <row r="21" spans="2:14" ht="20.100000000000001" customHeight="1" x14ac:dyDescent="0.2">
      <c r="B21" s="1333" t="s">
        <v>2204</v>
      </c>
      <c r="C21" s="1337">
        <v>10.555</v>
      </c>
      <c r="D21" s="1338" t="s">
        <v>2151</v>
      </c>
      <c r="E21" s="1339">
        <v>459003</v>
      </c>
      <c r="F21" s="1339">
        <v>110724</v>
      </c>
      <c r="G21" s="1339">
        <v>459003</v>
      </c>
      <c r="H21" s="1339"/>
      <c r="I21" s="1339">
        <v>110724</v>
      </c>
      <c r="J21" s="1339"/>
      <c r="K21" s="1339"/>
      <c r="L21" s="1336">
        <f t="shared" si="0"/>
        <v>569727</v>
      </c>
      <c r="M21" s="1339" t="s">
        <v>2079</v>
      </c>
    </row>
    <row r="22" spans="2:14" ht="20.100000000000001" customHeight="1" x14ac:dyDescent="0.2">
      <c r="B22" s="1333" t="s">
        <v>2236</v>
      </c>
      <c r="C22" s="1337">
        <v>10.555</v>
      </c>
      <c r="D22" s="1338" t="s">
        <v>2079</v>
      </c>
      <c r="E22" s="1339"/>
      <c r="F22" s="1339">
        <v>53772</v>
      </c>
      <c r="G22" s="1339"/>
      <c r="H22" s="1339"/>
      <c r="I22" s="1339">
        <v>53772</v>
      </c>
      <c r="J22" s="1339"/>
      <c r="K22" s="1339"/>
      <c r="L22" s="1336">
        <f t="shared" si="0"/>
        <v>53772</v>
      </c>
      <c r="M22" s="1339" t="s">
        <v>2079</v>
      </c>
    </row>
    <row r="23" spans="2:14" ht="20.100000000000001" customHeight="1" x14ac:dyDescent="0.2">
      <c r="B23" s="1333" t="s">
        <v>2205</v>
      </c>
      <c r="C23" s="1337">
        <v>10.555</v>
      </c>
      <c r="D23" s="1338" t="s">
        <v>2079</v>
      </c>
      <c r="E23" s="1339"/>
      <c r="F23" s="1339">
        <v>29711</v>
      </c>
      <c r="G23" s="1339"/>
      <c r="H23" s="1339"/>
      <c r="I23" s="1339">
        <v>29711</v>
      </c>
      <c r="J23" s="1339"/>
      <c r="K23" s="1339"/>
      <c r="L23" s="1336">
        <f t="shared" si="0"/>
        <v>29711</v>
      </c>
      <c r="M23" s="1339" t="s">
        <v>2079</v>
      </c>
    </row>
    <row r="24" spans="2:14" ht="20.100000000000001" customHeight="1" x14ac:dyDescent="0.2">
      <c r="B24" s="1333" t="s">
        <v>2206</v>
      </c>
      <c r="C24" s="1337"/>
      <c r="D24" s="1338"/>
      <c r="E24" s="1339">
        <f>E21</f>
        <v>459003</v>
      </c>
      <c r="F24" s="1339">
        <f>SUM(F20:F23)</f>
        <v>682324</v>
      </c>
      <c r="G24" s="1339">
        <f>G21</f>
        <v>459003</v>
      </c>
      <c r="H24" s="1339"/>
      <c r="I24" s="1339">
        <f>SUM(I20:I23)</f>
        <v>682324</v>
      </c>
      <c r="J24" s="1339"/>
      <c r="K24" s="1339"/>
      <c r="L24" s="1336">
        <f t="shared" si="0"/>
        <v>1141327</v>
      </c>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t="s">
        <v>2077</v>
      </c>
      <c r="C26" s="1337"/>
      <c r="D26" s="1338"/>
      <c r="E26" s="1339">
        <f>E24+E17</f>
        <v>611109</v>
      </c>
      <c r="F26" s="1339">
        <f>F24+F17</f>
        <v>865930</v>
      </c>
      <c r="G26" s="1339">
        <f>G24+G17</f>
        <v>611109</v>
      </c>
      <c r="H26" s="1339"/>
      <c r="I26" s="1339">
        <f>I17+I24</f>
        <v>865930</v>
      </c>
      <c r="J26" s="1339"/>
      <c r="K26" s="1339"/>
      <c r="L26" s="1336">
        <f t="shared" si="0"/>
        <v>1477039</v>
      </c>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110" zoomScaleNormal="110" workbookViewId="0">
      <selection activeCell="I25" activeCellId="2" sqref="I17 I22 I2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8" t="str">
        <f>'Single Audit Cover'!A7</f>
        <v>Herrin CUSD 4</v>
      </c>
      <c r="C1" s="2431"/>
      <c r="D1" s="2431"/>
      <c r="E1" s="2431"/>
      <c r="F1" s="2431"/>
      <c r="G1" s="2431"/>
      <c r="H1" s="2431"/>
      <c r="I1" s="2431"/>
      <c r="J1" s="2431"/>
      <c r="K1" s="2431"/>
      <c r="L1" s="2431"/>
      <c r="M1" s="2431"/>
    </row>
    <row r="2" spans="2:14" ht="15" x14ac:dyDescent="0.2">
      <c r="B2" s="2432">
        <f>'Single Audit Cover'!E7</f>
        <v>21100004026</v>
      </c>
      <c r="C2" s="2432"/>
      <c r="D2" s="2432"/>
      <c r="E2" s="2432"/>
      <c r="F2" s="2432"/>
      <c r="G2" s="2432"/>
      <c r="H2" s="2432"/>
      <c r="I2" s="2432"/>
      <c r="J2" s="2432"/>
      <c r="K2" s="2432"/>
      <c r="L2" s="2432"/>
      <c r="M2" s="2432"/>
      <c r="N2" s="1298"/>
    </row>
    <row r="3" spans="2:14" ht="15" x14ac:dyDescent="0.2">
      <c r="B3" s="2433" t="s">
        <v>1219</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2078</v>
      </c>
      <c r="C11" s="1334"/>
      <c r="D11" s="1335"/>
      <c r="E11" s="1336"/>
      <c r="F11" s="1336"/>
      <c r="G11" s="1336"/>
      <c r="H11" s="1336"/>
      <c r="I11" s="1336"/>
      <c r="J11" s="1336"/>
      <c r="K11" s="1336"/>
      <c r="L11" s="1336"/>
      <c r="M11" s="1336"/>
    </row>
    <row r="12" spans="2:14" ht="20.100000000000001" customHeight="1" x14ac:dyDescent="0.2">
      <c r="B12" s="1333" t="s">
        <v>2199</v>
      </c>
      <c r="C12" s="1337"/>
      <c r="D12" s="1338"/>
      <c r="E12" s="1339"/>
      <c r="F12" s="1339"/>
      <c r="G12" s="1339"/>
      <c r="H12" s="1339"/>
      <c r="I12" s="1339"/>
      <c r="J12" s="1339"/>
      <c r="K12" s="1339"/>
      <c r="L12" s="1336"/>
      <c r="M12" s="1339"/>
    </row>
    <row r="13" spans="2:14" ht="20.100000000000001" customHeight="1" x14ac:dyDescent="0.2">
      <c r="B13" s="1333" t="s">
        <v>2209</v>
      </c>
      <c r="C13" s="1337"/>
      <c r="D13" s="1338"/>
      <c r="E13" s="1339"/>
      <c r="F13" s="1339"/>
      <c r="G13" s="1339"/>
      <c r="H13" s="1339"/>
      <c r="I13" s="1339"/>
      <c r="J13" s="1339"/>
      <c r="K13" s="1339"/>
      <c r="L13" s="1336"/>
      <c r="M13" s="1339"/>
    </row>
    <row r="14" spans="2:14" ht="20.100000000000001" customHeight="1" x14ac:dyDescent="0.2">
      <c r="B14" s="1333" t="s">
        <v>2210</v>
      </c>
      <c r="C14" s="1337" t="s">
        <v>2080</v>
      </c>
      <c r="D14" s="1338" t="s">
        <v>2152</v>
      </c>
      <c r="E14" s="1339"/>
      <c r="F14" s="1339">
        <v>550946</v>
      </c>
      <c r="G14" s="1339"/>
      <c r="H14" s="1339"/>
      <c r="I14" s="1339">
        <v>608719</v>
      </c>
      <c r="J14" s="1339"/>
      <c r="K14" s="1339"/>
      <c r="L14" s="1336">
        <f t="shared" ref="L14:L25" si="0">+G14+I14+K14</f>
        <v>608719</v>
      </c>
      <c r="M14" s="1339">
        <v>1196368</v>
      </c>
    </row>
    <row r="15" spans="2:14" ht="20.100000000000001" customHeight="1" x14ac:dyDescent="0.2">
      <c r="B15" s="1333" t="s">
        <v>2210</v>
      </c>
      <c r="C15" s="1337" t="s">
        <v>2080</v>
      </c>
      <c r="D15" s="1338" t="s">
        <v>2153</v>
      </c>
      <c r="E15" s="1339">
        <v>533686</v>
      </c>
      <c r="F15" s="1339">
        <f>78029</f>
        <v>78029</v>
      </c>
      <c r="G15" s="1339">
        <v>576952</v>
      </c>
      <c r="H15" s="1339"/>
      <c r="I15" s="1339">
        <v>34763</v>
      </c>
      <c r="J15" s="1339"/>
      <c r="K15" s="1339"/>
      <c r="L15" s="1336">
        <f t="shared" si="0"/>
        <v>611715</v>
      </c>
      <c r="M15" s="1339">
        <v>924783</v>
      </c>
    </row>
    <row r="16" spans="2:14" ht="20.100000000000001" customHeight="1" x14ac:dyDescent="0.2">
      <c r="B16" s="1333" t="s">
        <v>2178</v>
      </c>
      <c r="C16" s="1337" t="s">
        <v>2080</v>
      </c>
      <c r="D16" s="1338" t="s">
        <v>2179</v>
      </c>
      <c r="E16" s="1339"/>
      <c r="F16" s="1339">
        <v>56603</v>
      </c>
      <c r="G16" s="1339"/>
      <c r="H16" s="1339"/>
      <c r="I16" s="1339">
        <v>114539</v>
      </c>
      <c r="J16" s="1339"/>
      <c r="K16" s="1339"/>
      <c r="L16" s="1336">
        <f t="shared" si="0"/>
        <v>114539</v>
      </c>
      <c r="M16" s="1339">
        <v>114569</v>
      </c>
    </row>
    <row r="17" spans="2:14" ht="20.100000000000001" customHeight="1" x14ac:dyDescent="0.2">
      <c r="B17" s="1333" t="s">
        <v>2211</v>
      </c>
      <c r="C17" s="1337"/>
      <c r="D17" s="1338"/>
      <c r="E17" s="1339">
        <f>E15</f>
        <v>533686</v>
      </c>
      <c r="F17" s="1339">
        <f>F14+F15+F16</f>
        <v>685578</v>
      </c>
      <c r="G17" s="1339">
        <f>G15</f>
        <v>576952</v>
      </c>
      <c r="H17" s="1339"/>
      <c r="I17" s="1339">
        <f>I16+I15+I14</f>
        <v>758021</v>
      </c>
      <c r="J17" s="1339"/>
      <c r="K17" s="1339"/>
      <c r="L17" s="1336">
        <f t="shared" si="0"/>
        <v>1334973</v>
      </c>
      <c r="M17" s="1339"/>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t="s">
        <v>2212</v>
      </c>
      <c r="C19" s="1337"/>
      <c r="D19" s="1338"/>
      <c r="E19" s="1339"/>
      <c r="F19" s="1339"/>
      <c r="G19" s="1339"/>
      <c r="H19" s="1339"/>
      <c r="I19" s="1339"/>
      <c r="J19" s="1339"/>
      <c r="K19" s="1339"/>
      <c r="L19" s="1336"/>
      <c r="M19" s="1339"/>
    </row>
    <row r="20" spans="2:14" ht="20.100000000000001" customHeight="1" x14ac:dyDescent="0.2">
      <c r="B20" s="1333" t="s">
        <v>2154</v>
      </c>
      <c r="C20" s="1337" t="s">
        <v>2155</v>
      </c>
      <c r="D20" s="1338" t="s">
        <v>2156</v>
      </c>
      <c r="E20" s="1339"/>
      <c r="F20" s="1339">
        <v>70916</v>
      </c>
      <c r="G20" s="1339"/>
      <c r="H20" s="1339"/>
      <c r="I20" s="1339">
        <v>81541</v>
      </c>
      <c r="J20" s="1339"/>
      <c r="K20" s="1339"/>
      <c r="L20" s="1336">
        <f t="shared" ref="L20:L21" si="1">+G20+I20+K20</f>
        <v>81541</v>
      </c>
      <c r="M20" s="1339">
        <v>137670</v>
      </c>
    </row>
    <row r="21" spans="2:14" ht="20.100000000000001" customHeight="1" x14ac:dyDescent="0.2">
      <c r="B21" s="1333" t="s">
        <v>2154</v>
      </c>
      <c r="C21" s="1337" t="s">
        <v>2155</v>
      </c>
      <c r="D21" s="1338" t="s">
        <v>2157</v>
      </c>
      <c r="E21" s="1339">
        <v>91014</v>
      </c>
      <c r="F21" s="1339">
        <v>16973</v>
      </c>
      <c r="G21" s="1339">
        <v>102691</v>
      </c>
      <c r="H21" s="1339"/>
      <c r="I21" s="1339">
        <v>5296</v>
      </c>
      <c r="J21" s="1339"/>
      <c r="K21" s="1339"/>
      <c r="L21" s="1336">
        <f t="shared" si="1"/>
        <v>107987</v>
      </c>
      <c r="M21" s="1339">
        <v>134006</v>
      </c>
    </row>
    <row r="22" spans="2:14" ht="20.100000000000001" customHeight="1" x14ac:dyDescent="0.2">
      <c r="B22" s="1333" t="s">
        <v>2213</v>
      </c>
      <c r="C22" s="1337"/>
      <c r="D22" s="1338"/>
      <c r="E22" s="1339">
        <f>E20+E21</f>
        <v>91014</v>
      </c>
      <c r="F22" s="1339">
        <f>F20+F21</f>
        <v>87889</v>
      </c>
      <c r="G22" s="1339">
        <f>G20+G21</f>
        <v>102691</v>
      </c>
      <c r="H22" s="1339"/>
      <c r="I22" s="1339">
        <f>I20+I21</f>
        <v>86837</v>
      </c>
      <c r="J22" s="1339"/>
      <c r="K22" s="1339"/>
      <c r="L22" s="1336">
        <f>L20+L21</f>
        <v>189528</v>
      </c>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t="s">
        <v>2214</v>
      </c>
      <c r="C24" s="1337"/>
      <c r="D24" s="1338"/>
      <c r="E24" s="1339"/>
      <c r="F24" s="1339"/>
      <c r="G24" s="1339"/>
      <c r="H24" s="1339"/>
      <c r="I24" s="1339"/>
      <c r="J24" s="1339"/>
      <c r="K24" s="1339"/>
      <c r="L24" s="1336"/>
      <c r="M24" s="1339"/>
    </row>
    <row r="25" spans="2:14" ht="20.100000000000001" customHeight="1" x14ac:dyDescent="0.2">
      <c r="B25" s="1333" t="s">
        <v>2154</v>
      </c>
      <c r="C25" s="1337" t="s">
        <v>2158</v>
      </c>
      <c r="D25" s="1338" t="s">
        <v>2156</v>
      </c>
      <c r="E25" s="1339"/>
      <c r="F25" s="1339">
        <v>50072</v>
      </c>
      <c r="G25" s="1339"/>
      <c r="H25" s="1339"/>
      <c r="I25" s="1339">
        <v>50072</v>
      </c>
      <c r="J25" s="1339"/>
      <c r="K25" s="1339"/>
      <c r="L25" s="1336">
        <f t="shared" si="0"/>
        <v>50072</v>
      </c>
      <c r="M25" s="1339">
        <v>50072</v>
      </c>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110" zoomScaleNormal="110" workbookViewId="0">
      <selection activeCell="F15" sqref="F15:F1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8" t="str">
        <f>'Single Audit Cover'!A7</f>
        <v>Herrin CUSD 4</v>
      </c>
      <c r="C1" s="2431"/>
      <c r="D1" s="2431"/>
      <c r="E1" s="2431"/>
      <c r="F1" s="2431"/>
      <c r="G1" s="2431"/>
      <c r="H1" s="2431"/>
      <c r="I1" s="2431"/>
      <c r="J1" s="2431"/>
      <c r="K1" s="2431"/>
      <c r="L1" s="2431"/>
      <c r="M1" s="2431"/>
    </row>
    <row r="2" spans="2:14" ht="15" x14ac:dyDescent="0.2">
      <c r="B2" s="2432">
        <f>'Single Audit Cover'!E7</f>
        <v>21100004026</v>
      </c>
      <c r="C2" s="2432"/>
      <c r="D2" s="2432"/>
      <c r="E2" s="2432"/>
      <c r="F2" s="2432"/>
      <c r="G2" s="2432"/>
      <c r="H2" s="2432"/>
      <c r="I2" s="2432"/>
      <c r="J2" s="2432"/>
      <c r="K2" s="2432"/>
      <c r="L2" s="2432"/>
      <c r="M2" s="2432"/>
      <c r="N2" s="1298"/>
    </row>
    <row r="3" spans="2:14" ht="15" x14ac:dyDescent="0.2">
      <c r="B3" s="2433" t="s">
        <v>1219</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2161</v>
      </c>
      <c r="C11" s="1334"/>
      <c r="D11" s="1335"/>
      <c r="E11" s="1336"/>
      <c r="F11" s="1336"/>
      <c r="G11" s="1336"/>
      <c r="H11" s="1336"/>
      <c r="I11" s="1336"/>
      <c r="J11" s="1336"/>
      <c r="K11" s="1336"/>
      <c r="L11" s="1336"/>
      <c r="M11" s="1336"/>
    </row>
    <row r="12" spans="2:14" ht="20.100000000000001" customHeight="1" x14ac:dyDescent="0.2">
      <c r="B12" s="1333" t="s">
        <v>2215</v>
      </c>
      <c r="C12" s="1337"/>
      <c r="D12" s="1338"/>
      <c r="E12" s="1339"/>
      <c r="F12" s="1339"/>
      <c r="G12" s="1339"/>
      <c r="H12" s="1339"/>
      <c r="I12" s="1339"/>
      <c r="J12" s="1339"/>
      <c r="K12" s="1339"/>
      <c r="L12" s="1336"/>
      <c r="M12" s="1339"/>
    </row>
    <row r="13" spans="2:14" ht="20.100000000000001" customHeight="1" x14ac:dyDescent="0.2">
      <c r="B13" s="1333" t="s">
        <v>2223</v>
      </c>
      <c r="C13" s="1337"/>
      <c r="D13" s="1338"/>
      <c r="E13" s="1339"/>
      <c r="F13" s="1339"/>
      <c r="G13" s="1339"/>
      <c r="H13" s="1339"/>
      <c r="I13" s="1339"/>
      <c r="J13" s="1339"/>
      <c r="K13" s="1339"/>
      <c r="L13" s="1336"/>
      <c r="M13" s="1339"/>
    </row>
    <row r="14" spans="2:14" ht="20.100000000000001" customHeight="1" x14ac:dyDescent="0.2">
      <c r="B14" s="1333" t="s">
        <v>2147</v>
      </c>
      <c r="C14" s="1337"/>
      <c r="D14" s="1338"/>
      <c r="E14" s="1339"/>
      <c r="F14" s="1339"/>
      <c r="G14" s="1339"/>
      <c r="H14" s="1339"/>
      <c r="I14" s="1339"/>
      <c r="J14" s="1339"/>
      <c r="K14" s="1339"/>
      <c r="L14" s="1336"/>
      <c r="M14" s="1339"/>
    </row>
    <row r="15" spans="2:14" ht="20.100000000000001" customHeight="1" x14ac:dyDescent="0.2">
      <c r="B15" s="1333" t="s">
        <v>2218</v>
      </c>
      <c r="C15" s="1337" t="s">
        <v>2162</v>
      </c>
      <c r="D15" s="1338" t="s">
        <v>2216</v>
      </c>
      <c r="E15" s="1339"/>
      <c r="F15" s="1339">
        <v>31581</v>
      </c>
      <c r="G15" s="1339"/>
      <c r="H15" s="1339"/>
      <c r="I15" s="1339">
        <v>31581</v>
      </c>
      <c r="J15" s="1339"/>
      <c r="K15" s="1339"/>
      <c r="L15" s="1336">
        <f t="shared" ref="L15:L27" si="0">+G15+I15+K15</f>
        <v>31581</v>
      </c>
      <c r="M15" s="1339" t="s">
        <v>2079</v>
      </c>
    </row>
    <row r="16" spans="2:14" ht="20.100000000000001" customHeight="1" x14ac:dyDescent="0.2">
      <c r="B16" s="1333" t="s">
        <v>2218</v>
      </c>
      <c r="C16" s="1337" t="s">
        <v>2162</v>
      </c>
      <c r="D16" s="1338" t="s">
        <v>2217</v>
      </c>
      <c r="E16" s="1339"/>
      <c r="F16" s="1339">
        <v>6960</v>
      </c>
      <c r="G16" s="1339"/>
      <c r="H16" s="1339"/>
      <c r="I16" s="1339">
        <v>6960</v>
      </c>
      <c r="J16" s="1339"/>
      <c r="K16" s="1339"/>
      <c r="L16" s="1336">
        <f t="shared" si="0"/>
        <v>6960</v>
      </c>
      <c r="M16" s="1339" t="s">
        <v>2079</v>
      </c>
    </row>
    <row r="17" spans="2:14" ht="20.100000000000001" customHeight="1" x14ac:dyDescent="0.2">
      <c r="B17" s="1333" t="s">
        <v>2220</v>
      </c>
      <c r="C17" s="1337"/>
      <c r="D17" s="1338"/>
      <c r="E17" s="1339"/>
      <c r="F17" s="1339"/>
      <c r="G17" s="1339"/>
      <c r="H17" s="1339"/>
      <c r="I17" s="1339"/>
      <c r="J17" s="1339"/>
      <c r="K17" s="1339"/>
      <c r="L17" s="1336"/>
      <c r="M17" s="1339"/>
    </row>
    <row r="18" spans="2:14" ht="20.100000000000001" customHeight="1" x14ac:dyDescent="0.2">
      <c r="B18" s="1333" t="s">
        <v>2219</v>
      </c>
      <c r="C18" s="1337" t="s">
        <v>2162</v>
      </c>
      <c r="D18" s="1338" t="s">
        <v>2160</v>
      </c>
      <c r="E18" s="1339"/>
      <c r="F18" s="1339">
        <v>10067</v>
      </c>
      <c r="G18" s="1339"/>
      <c r="H18" s="1339"/>
      <c r="I18" s="1339">
        <v>10067</v>
      </c>
      <c r="J18" s="1339"/>
      <c r="K18" s="1339"/>
      <c r="L18" s="1336">
        <f t="shared" si="0"/>
        <v>10067</v>
      </c>
      <c r="M18" s="1339" t="s">
        <v>2079</v>
      </c>
    </row>
    <row r="19" spans="2:14" ht="20.100000000000001" customHeight="1" x14ac:dyDescent="0.2">
      <c r="B19" s="1333" t="s">
        <v>2221</v>
      </c>
      <c r="C19" s="1337"/>
      <c r="D19" s="1338"/>
      <c r="E19" s="1339"/>
      <c r="F19" s="1339">
        <f>F15+F16+F18</f>
        <v>48608</v>
      </c>
      <c r="G19" s="1339"/>
      <c r="H19" s="1339"/>
      <c r="I19" s="1339">
        <f>I15+I16+I18</f>
        <v>48608</v>
      </c>
      <c r="J19" s="1339"/>
      <c r="K19" s="1339"/>
      <c r="L19" s="1336">
        <f>L15+L16+L18</f>
        <v>48608</v>
      </c>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t="s">
        <v>2224</v>
      </c>
      <c r="C21" s="1337"/>
      <c r="D21" s="1338"/>
      <c r="E21" s="1339"/>
      <c r="F21" s="1339"/>
      <c r="G21" s="1339"/>
      <c r="H21" s="1339"/>
      <c r="I21" s="1339"/>
      <c r="J21" s="1339"/>
      <c r="K21" s="1339"/>
      <c r="L21" s="1336"/>
      <c r="M21" s="1339"/>
    </row>
    <row r="22" spans="2:14" ht="20.100000000000001" customHeight="1" x14ac:dyDescent="0.2">
      <c r="B22" s="1333" t="s">
        <v>2222</v>
      </c>
      <c r="C22" s="1337"/>
      <c r="D22" s="1338"/>
      <c r="E22" s="1339"/>
      <c r="F22" s="1339"/>
      <c r="G22" s="1339"/>
      <c r="H22" s="1339"/>
      <c r="I22" s="1339"/>
      <c r="J22" s="1339"/>
      <c r="K22" s="1339"/>
      <c r="L22" s="1336"/>
      <c r="M22" s="1339"/>
    </row>
    <row r="23" spans="2:14" ht="20.100000000000001" customHeight="1" x14ac:dyDescent="0.2">
      <c r="B23" s="1333" t="s">
        <v>2225</v>
      </c>
      <c r="C23" s="1337" t="s">
        <v>2192</v>
      </c>
      <c r="D23" s="1338" t="s">
        <v>2226</v>
      </c>
      <c r="E23" s="1339"/>
      <c r="F23" s="1339">
        <v>253</v>
      </c>
      <c r="G23" s="1339"/>
      <c r="H23" s="1339"/>
      <c r="I23" s="1339">
        <v>253</v>
      </c>
      <c r="J23" s="1339"/>
      <c r="K23" s="1339"/>
      <c r="L23" s="1336">
        <f t="shared" si="0"/>
        <v>253</v>
      </c>
      <c r="M23" s="1339" t="s">
        <v>2079</v>
      </c>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t="s">
        <v>2227</v>
      </c>
      <c r="C25" s="1337"/>
      <c r="D25" s="1338"/>
      <c r="E25" s="1339"/>
      <c r="F25" s="1339">
        <f>F19+F23</f>
        <v>48861</v>
      </c>
      <c r="G25" s="1339"/>
      <c r="H25" s="1339"/>
      <c r="I25" s="1339">
        <f>I19+I23</f>
        <v>48861</v>
      </c>
      <c r="J25" s="1339"/>
      <c r="K25" s="1339"/>
      <c r="L25" s="1336">
        <f t="shared" si="0"/>
        <v>48861</v>
      </c>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t="s">
        <v>2163</v>
      </c>
      <c r="C27" s="1337"/>
      <c r="D27" s="1338"/>
      <c r="E27" s="1339">
        <f>E25+' SEFA-2'!E25+' SEFA-2'!E22+' SEFA-2'!E17</f>
        <v>624700</v>
      </c>
      <c r="F27" s="1339">
        <f>F25+' SEFA-2'!F25+' SEFA-2'!F22+' SEFA-2'!F17</f>
        <v>872400</v>
      </c>
      <c r="G27" s="1339">
        <f>G25+' SEFA-2'!G25+' SEFA-2'!G22+' SEFA-2'!G17</f>
        <v>679643</v>
      </c>
      <c r="H27" s="1339"/>
      <c r="I27" s="1339">
        <f>I25+' SEFA-2'!I25+' SEFA-2'!I22+' SEFA-2'!I17</f>
        <v>943791</v>
      </c>
      <c r="J27" s="1339"/>
      <c r="K27" s="1339"/>
      <c r="L27" s="1336">
        <f t="shared" si="0"/>
        <v>1623434</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110" zoomScaleNormal="110" workbookViewId="0">
      <selection activeCell="L24" sqref="L2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8" t="str">
        <f>'Single Audit Cover'!A7</f>
        <v>Herrin CUSD 4</v>
      </c>
      <c r="C1" s="2431"/>
      <c r="D1" s="2431"/>
      <c r="E1" s="2431"/>
      <c r="F1" s="2431"/>
      <c r="G1" s="2431"/>
      <c r="H1" s="2431"/>
      <c r="I1" s="2431"/>
      <c r="J1" s="2431"/>
      <c r="K1" s="2431"/>
      <c r="L1" s="2431"/>
      <c r="M1" s="2431"/>
    </row>
    <row r="2" spans="2:14" ht="15" x14ac:dyDescent="0.2">
      <c r="B2" s="2432">
        <f>'Single Audit Cover'!E7</f>
        <v>21100004026</v>
      </c>
      <c r="C2" s="2432"/>
      <c r="D2" s="2432"/>
      <c r="E2" s="2432"/>
      <c r="F2" s="2432"/>
      <c r="G2" s="2432"/>
      <c r="H2" s="2432"/>
      <c r="I2" s="2432"/>
      <c r="J2" s="2432"/>
      <c r="K2" s="2432"/>
      <c r="L2" s="2432"/>
      <c r="M2" s="2432"/>
      <c r="N2" s="1298"/>
    </row>
    <row r="3" spans="2:14" ht="15" x14ac:dyDescent="0.2">
      <c r="B3" s="2433" t="s">
        <v>1219</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2165</v>
      </c>
      <c r="C11" s="1334"/>
      <c r="D11" s="1335"/>
      <c r="E11" s="1336"/>
      <c r="F11" s="1336"/>
      <c r="G11" s="1336"/>
      <c r="H11" s="1336"/>
      <c r="I11" s="1336"/>
      <c r="J11" s="1336"/>
      <c r="K11" s="1336"/>
      <c r="L11" s="1336"/>
      <c r="M11" s="1336"/>
    </row>
    <row r="12" spans="2:14" ht="20.100000000000001" customHeight="1" x14ac:dyDescent="0.2">
      <c r="B12" s="1333" t="s">
        <v>2228</v>
      </c>
      <c r="C12" s="1337"/>
      <c r="D12" s="1338"/>
      <c r="E12" s="1339"/>
      <c r="F12" s="1339"/>
      <c r="G12" s="1339"/>
      <c r="H12" s="1339"/>
      <c r="I12" s="1339"/>
      <c r="J12" s="1339"/>
      <c r="K12" s="1339"/>
      <c r="L12" s="1336"/>
      <c r="M12" s="1339"/>
    </row>
    <row r="13" spans="2:14" ht="20.100000000000001" customHeight="1" x14ac:dyDescent="0.2">
      <c r="B13" s="1333" t="s">
        <v>2229</v>
      </c>
      <c r="C13" s="1337"/>
      <c r="D13" s="1338"/>
      <c r="E13" s="1339"/>
      <c r="F13" s="1339"/>
      <c r="G13" s="1339"/>
      <c r="H13" s="1339"/>
      <c r="I13" s="1339"/>
      <c r="J13" s="1339"/>
      <c r="K13" s="1339"/>
      <c r="L13" s="1336"/>
      <c r="M13" s="1339"/>
    </row>
    <row r="14" spans="2:14" ht="20.100000000000001" customHeight="1" x14ac:dyDescent="0.2">
      <c r="B14" s="1333" t="s">
        <v>2230</v>
      </c>
      <c r="C14" s="1337">
        <v>45.31</v>
      </c>
      <c r="D14" s="1338" t="s">
        <v>2079</v>
      </c>
      <c r="E14" s="1339">
        <v>1862</v>
      </c>
      <c r="F14" s="1339"/>
      <c r="G14" s="1339"/>
      <c r="H14" s="1339"/>
      <c r="I14" s="1339">
        <v>1862</v>
      </c>
      <c r="J14" s="1339"/>
      <c r="K14" s="1339"/>
      <c r="L14" s="1336">
        <f t="shared" ref="L14:L19" si="0">+G14+I14+K14</f>
        <v>1862</v>
      </c>
      <c r="M14" s="1339">
        <v>1862</v>
      </c>
    </row>
    <row r="15" spans="2:14" ht="20.100000000000001" customHeight="1" x14ac:dyDescent="0.2">
      <c r="B15" s="1333"/>
      <c r="C15" s="1337"/>
      <c r="D15" s="1338"/>
      <c r="E15" s="1339"/>
      <c r="F15" s="1339"/>
      <c r="G15" s="1339"/>
      <c r="H15" s="1339"/>
      <c r="I15" s="1339"/>
      <c r="J15" s="1339"/>
      <c r="K15" s="1339"/>
      <c r="L15" s="1336"/>
      <c r="M15" s="1339"/>
    </row>
    <row r="16" spans="2:14" ht="20.100000000000001" customHeight="1" x14ac:dyDescent="0.2">
      <c r="B16" s="1333" t="s">
        <v>2164</v>
      </c>
      <c r="C16" s="1337"/>
      <c r="D16" s="1338"/>
      <c r="E16" s="1339"/>
      <c r="F16" s="1339"/>
      <c r="G16" s="1339"/>
      <c r="H16" s="1339"/>
      <c r="I16" s="1339"/>
      <c r="J16" s="1339"/>
      <c r="K16" s="1339"/>
      <c r="L16" s="1336"/>
      <c r="M16" s="1339"/>
    </row>
    <row r="17" spans="2:14" ht="20.100000000000001" customHeight="1" x14ac:dyDescent="0.2">
      <c r="B17" s="1333" t="s">
        <v>2231</v>
      </c>
      <c r="C17" s="1337"/>
      <c r="D17" s="1338"/>
      <c r="E17" s="1339"/>
      <c r="F17" s="1339"/>
      <c r="G17" s="1339"/>
      <c r="H17" s="1339"/>
      <c r="I17" s="1339"/>
      <c r="J17" s="1339"/>
      <c r="K17" s="1339"/>
      <c r="L17" s="1336"/>
      <c r="M17" s="1339"/>
    </row>
    <row r="18" spans="2:14" ht="20.100000000000001" customHeight="1" x14ac:dyDescent="0.2">
      <c r="B18" s="1333" t="s">
        <v>2232</v>
      </c>
      <c r="C18" s="1337"/>
      <c r="D18" s="1338"/>
      <c r="E18" s="1339"/>
      <c r="F18" s="1339"/>
      <c r="G18" s="1339"/>
      <c r="H18" s="1339"/>
      <c r="I18" s="1339"/>
      <c r="J18" s="1339"/>
      <c r="K18" s="1339"/>
      <c r="L18" s="1336"/>
      <c r="M18" s="1339"/>
    </row>
    <row r="19" spans="2:14" ht="20.100000000000001" customHeight="1" x14ac:dyDescent="0.2">
      <c r="B19" s="1333" t="s">
        <v>2159</v>
      </c>
      <c r="C19" s="1337">
        <v>93.778000000000006</v>
      </c>
      <c r="D19" s="1338" t="s">
        <v>2079</v>
      </c>
      <c r="E19" s="1339"/>
      <c r="F19" s="1339">
        <v>11754</v>
      </c>
      <c r="G19" s="1339"/>
      <c r="H19" s="1339"/>
      <c r="I19" s="1339">
        <v>11754</v>
      </c>
      <c r="J19" s="1339"/>
      <c r="K19" s="1339"/>
      <c r="L19" s="1336">
        <f t="shared" si="0"/>
        <v>11754</v>
      </c>
      <c r="M19" s="1339" t="s">
        <v>2079</v>
      </c>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t="s">
        <v>2166</v>
      </c>
      <c r="C23" s="1337"/>
      <c r="D23" s="1338"/>
      <c r="E23" s="1339">
        <f>E14+' SEFA-3'!E27+' SEFA-1'!E26</f>
        <v>1237671</v>
      </c>
      <c r="F23" s="1339">
        <f>F19+F14+' SEFA-3'!F27+' SEFA-1'!F26</f>
        <v>1750084</v>
      </c>
      <c r="G23" s="1339">
        <f>G19+G14+' SEFA-3'!G27+' SEFA-1'!G26</f>
        <v>1290752</v>
      </c>
      <c r="H23" s="1339"/>
      <c r="I23" s="1339">
        <f>I19+I14+' SEFA-3'!I27+' SEFA-1'!I26</f>
        <v>1823337</v>
      </c>
      <c r="J23" s="1339"/>
      <c r="K23" s="1339"/>
      <c r="L23" s="1336">
        <f>L14+L19+' SEFA-3'!L27+' SEFA-1'!L26</f>
        <v>3114089</v>
      </c>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2"/>
  <sheetViews>
    <sheetView showGridLines="0" zoomScale="120" zoomScaleNormal="120" workbookViewId="0">
      <selection activeCell="I40" sqref="I40"/>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Herrin CUSD 4</v>
      </c>
      <c r="B1" s="2442"/>
      <c r="C1" s="2442"/>
      <c r="D1" s="2442"/>
      <c r="E1" s="2442"/>
      <c r="F1" s="2442"/>
    </row>
    <row r="2" spans="1:7" ht="13.5" customHeight="1" x14ac:dyDescent="0.2">
      <c r="A2" s="2432">
        <f>'Single Audit Cover'!E7</f>
        <v>21100004026</v>
      </c>
      <c r="B2" s="2432"/>
      <c r="C2" s="2432"/>
      <c r="D2" s="2432"/>
      <c r="E2" s="2432"/>
      <c r="F2" s="2432"/>
      <c r="G2" s="1271"/>
    </row>
    <row r="3" spans="1:7" ht="15.75" customHeight="1" x14ac:dyDescent="0.2">
      <c r="A3" s="2443" t="s">
        <v>1271</v>
      </c>
      <c r="B3" s="2443"/>
      <c r="C3" s="2443"/>
      <c r="D3" s="2443"/>
      <c r="E3" s="2443"/>
      <c r="F3" s="2443"/>
    </row>
    <row r="4" spans="1:7" ht="13.5" customHeight="1" x14ac:dyDescent="0.2">
      <c r="A4" s="2444" t="str">
        <f>'[1]Single Audit Cover'!A4:L4</f>
        <v>Year Ending June 30, 2019</v>
      </c>
      <c r="B4" s="2444"/>
      <c r="C4" s="2444"/>
      <c r="D4" s="2444"/>
      <c r="E4" s="2444"/>
      <c r="F4" s="2444"/>
    </row>
    <row r="5" spans="1:7" ht="8.25" customHeight="1" x14ac:dyDescent="0.2">
      <c r="C5" s="317"/>
      <c r="D5" s="317"/>
    </row>
    <row r="6" spans="1:7" ht="13.5" customHeight="1" x14ac:dyDescent="0.2">
      <c r="A6" s="1272" t="s">
        <v>1728</v>
      </c>
      <c r="C6" s="317"/>
      <c r="D6" s="317"/>
    </row>
    <row r="7" spans="1:7" ht="69" customHeight="1" x14ac:dyDescent="0.2">
      <c r="A7" s="2441" t="s">
        <v>2234</v>
      </c>
      <c r="B7" s="2441"/>
      <c r="C7" s="2441"/>
      <c r="D7" s="2441"/>
      <c r="E7" s="2441"/>
      <c r="F7" s="2441"/>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2065</v>
      </c>
      <c r="F10" s="1276" t="s">
        <v>99</v>
      </c>
      <c r="G10" s="1274"/>
    </row>
    <row r="11" spans="1:7" ht="12" customHeight="1" x14ac:dyDescent="0.2">
      <c r="A11" s="1275"/>
      <c r="B11" s="1276"/>
      <c r="C11" s="1899"/>
      <c r="D11" s="1276"/>
      <c r="E11" s="1899"/>
      <c r="F11" s="1276"/>
      <c r="G11" s="1274"/>
    </row>
    <row r="12" spans="1:7" x14ac:dyDescent="0.2">
      <c r="A12" s="1272" t="s">
        <v>1587</v>
      </c>
      <c r="C12" s="1256"/>
      <c r="D12" s="1256"/>
    </row>
    <row r="13" spans="1:7" ht="20.25" customHeight="1" x14ac:dyDescent="0.2">
      <c r="A13" s="2445" t="s">
        <v>2235</v>
      </c>
      <c r="B13" s="2445"/>
      <c r="C13" s="2445"/>
      <c r="D13" s="2445"/>
      <c r="E13" s="2445"/>
      <c r="F13" s="2445"/>
    </row>
    <row r="14" spans="1:7" ht="9.75" customHeight="1" x14ac:dyDescent="0.2">
      <c r="C14" s="1256"/>
      <c r="D14" s="1256"/>
    </row>
    <row r="15" spans="1:7" ht="13.5" customHeight="1" x14ac:dyDescent="0.2">
      <c r="C15" s="1938" t="s">
        <v>1270</v>
      </c>
      <c r="D15" s="2446" t="s">
        <v>1269</v>
      </c>
      <c r="E15" s="2446"/>
      <c r="F15" s="2446"/>
    </row>
    <row r="16" spans="1:7" ht="13.5" customHeight="1" x14ac:dyDescent="0.2">
      <c r="A16" s="1278"/>
      <c r="B16" s="1272" t="s">
        <v>1268</v>
      </c>
      <c r="C16" s="1938" t="s">
        <v>1267</v>
      </c>
      <c r="D16" s="2447" t="s">
        <v>1588</v>
      </c>
      <c r="E16" s="2447"/>
      <c r="F16" s="2447"/>
    </row>
    <row r="17" spans="1:6" ht="20.45" customHeight="1" x14ac:dyDescent="0.2">
      <c r="A17" s="1279"/>
      <c r="B17" s="1280" t="s">
        <v>2079</v>
      </c>
      <c r="C17" s="1281"/>
      <c r="D17" s="2436"/>
      <c r="E17" s="2436"/>
      <c r="F17" s="2436"/>
    </row>
    <row r="18" spans="1:6" ht="20.65" customHeight="1" x14ac:dyDescent="0.2">
      <c r="A18" s="1279"/>
      <c r="B18" s="1280"/>
      <c r="C18" s="1281"/>
      <c r="D18" s="2436"/>
      <c r="E18" s="2436"/>
      <c r="F18" s="2436"/>
    </row>
    <row r="19" spans="1:6" ht="20.65" customHeight="1" x14ac:dyDescent="0.2">
      <c r="A19" s="1279"/>
      <c r="B19" s="1280"/>
      <c r="C19" s="1281"/>
      <c r="D19" s="2436"/>
      <c r="E19" s="2436"/>
      <c r="F19" s="2436"/>
    </row>
    <row r="20" spans="1:6" ht="20.65" customHeight="1" x14ac:dyDescent="0.2">
      <c r="A20" s="1279"/>
      <c r="B20" s="1280"/>
      <c r="C20" s="1281"/>
      <c r="D20" s="2436"/>
      <c r="E20" s="2436"/>
      <c r="F20" s="2436"/>
    </row>
    <row r="21" spans="1:6" ht="20.65" customHeight="1" x14ac:dyDescent="0.2">
      <c r="A21" s="1279"/>
      <c r="B21" s="1280"/>
      <c r="C21" s="1281"/>
      <c r="D21" s="2436"/>
      <c r="E21" s="2436"/>
      <c r="F21" s="2436"/>
    </row>
    <row r="22" spans="1:6" ht="20.65" customHeight="1" x14ac:dyDescent="0.2">
      <c r="A22" s="1279"/>
      <c r="B22" s="1280"/>
      <c r="C22" s="1281"/>
      <c r="D22" s="2436"/>
      <c r="E22" s="2436"/>
      <c r="F22" s="2436"/>
    </row>
    <row r="23" spans="1:6" ht="20.65" customHeight="1" x14ac:dyDescent="0.2">
      <c r="A23" s="1279"/>
      <c r="B23" s="1280"/>
      <c r="C23" s="1281"/>
      <c r="D23" s="2436"/>
      <c r="E23" s="2436"/>
      <c r="F23" s="2436"/>
    </row>
    <row r="24" spans="1:6" ht="20.65" customHeight="1" x14ac:dyDescent="0.2">
      <c r="A24" s="1279"/>
      <c r="B24" s="1280"/>
      <c r="C24" s="1281"/>
      <c r="D24" s="2436"/>
      <c r="E24" s="2436"/>
      <c r="F24" s="2436"/>
    </row>
    <row r="25" spans="1:6" ht="20.65" customHeight="1" x14ac:dyDescent="0.2">
      <c r="A25" s="1279"/>
      <c r="B25" s="1280"/>
      <c r="C25" s="1281"/>
      <c r="D25" s="2436"/>
      <c r="E25" s="2436"/>
      <c r="F25" s="2436"/>
    </row>
    <row r="26" spans="1:6" ht="20.65" customHeight="1" x14ac:dyDescent="0.2">
      <c r="A26" s="1279"/>
      <c r="B26" s="1280"/>
      <c r="C26" s="1281"/>
      <c r="D26" s="2436"/>
      <c r="E26" s="2436"/>
      <c r="F26" s="2436"/>
    </row>
    <row r="27" spans="1:6" ht="20.65" customHeight="1" x14ac:dyDescent="0.2">
      <c r="A27" s="1279"/>
      <c r="B27" s="1280"/>
      <c r="C27" s="1281"/>
      <c r="D27" s="2436"/>
      <c r="E27" s="2436"/>
      <c r="F27" s="2436"/>
    </row>
    <row r="28" spans="1:6" ht="20.65" customHeight="1" x14ac:dyDescent="0.2">
      <c r="A28" s="1279"/>
      <c r="B28" s="1280"/>
      <c r="C28" s="1281"/>
      <c r="D28" s="2436"/>
      <c r="E28" s="2436"/>
      <c r="F28" s="2436"/>
    </row>
    <row r="29" spans="1:6" ht="20.65" customHeight="1" x14ac:dyDescent="0.2">
      <c r="A29" s="1279"/>
      <c r="B29" s="1280"/>
      <c r="C29" s="1281"/>
      <c r="D29" s="2436"/>
      <c r="E29" s="2436"/>
      <c r="F29" s="2436"/>
    </row>
    <row r="30" spans="1:6" ht="12" customHeight="1" x14ac:dyDescent="0.2">
      <c r="A30" s="328"/>
      <c r="B30" s="328"/>
      <c r="C30" s="1461"/>
      <c r="D30" s="1900"/>
      <c r="E30" s="1282"/>
    </row>
    <row r="31" spans="1:6" ht="12" customHeight="1" x14ac:dyDescent="0.2">
      <c r="A31" s="1283" t="s">
        <v>1549</v>
      </c>
      <c r="B31" s="328"/>
      <c r="C31" s="1461"/>
      <c r="D31" s="1900"/>
      <c r="E31" s="1282"/>
    </row>
    <row r="32" spans="1:6" ht="30" customHeight="1" x14ac:dyDescent="0.2">
      <c r="A32" s="2437" t="s">
        <v>2233</v>
      </c>
      <c r="B32" s="2437"/>
      <c r="C32" s="2437"/>
      <c r="D32" s="2437"/>
      <c r="E32" s="2437"/>
      <c r="F32" s="2437"/>
    </row>
    <row r="33" spans="1:6" ht="13.5" customHeight="1" x14ac:dyDescent="0.2">
      <c r="A33" s="328" t="s">
        <v>1434</v>
      </c>
      <c r="B33" s="328"/>
      <c r="C33" s="1284">
        <v>53772</v>
      </c>
      <c r="D33" s="1900"/>
      <c r="E33" s="1282"/>
    </row>
    <row r="34" spans="1:6" ht="13.5" customHeight="1" x14ac:dyDescent="0.2">
      <c r="A34" s="328" t="s">
        <v>1835</v>
      </c>
      <c r="B34" s="328"/>
      <c r="C34" s="1285">
        <v>29711</v>
      </c>
      <c r="D34" s="1900" t="s">
        <v>1589</v>
      </c>
      <c r="E34" s="2438">
        <f>+C33+C34</f>
        <v>83483</v>
      </c>
      <c r="F34" s="2439"/>
    </row>
    <row r="35" spans="1:6" ht="12" customHeight="1" x14ac:dyDescent="0.2">
      <c r="A35" s="328"/>
      <c r="B35" s="328"/>
      <c r="C35" s="1901"/>
      <c r="D35" s="1900"/>
      <c r="E35" s="1286"/>
      <c r="F35" s="1287"/>
    </row>
    <row r="36" spans="1:6" ht="13.5" customHeight="1" x14ac:dyDescent="0.2">
      <c r="A36" s="1283" t="s">
        <v>1550</v>
      </c>
      <c r="B36" s="328"/>
      <c r="C36" s="1461"/>
      <c r="D36" s="1900"/>
      <c r="E36" s="1282"/>
    </row>
    <row r="37" spans="1:6" ht="14.25" customHeight="1" x14ac:dyDescent="0.2">
      <c r="A37" s="328" t="s">
        <v>1484</v>
      </c>
      <c r="B37" s="328"/>
      <c r="C37" s="1902"/>
      <c r="D37" s="1900"/>
      <c r="E37" s="1282"/>
    </row>
    <row r="38" spans="1:6" ht="14.25" customHeight="1" x14ac:dyDescent="0.2">
      <c r="A38" s="328"/>
      <c r="B38" s="328" t="s">
        <v>1435</v>
      </c>
      <c r="C38" s="1288">
        <v>0</v>
      </c>
      <c r="D38" s="1900"/>
      <c r="E38" s="1282"/>
    </row>
    <row r="39" spans="1:6" ht="14.25" customHeight="1" x14ac:dyDescent="0.2">
      <c r="A39" s="328"/>
      <c r="B39" s="328" t="s">
        <v>1436</v>
      </c>
      <c r="C39" s="1288">
        <v>0</v>
      </c>
      <c r="D39" s="1900"/>
      <c r="E39" s="1282"/>
    </row>
    <row r="40" spans="1:6" ht="14.25" customHeight="1" x14ac:dyDescent="0.2">
      <c r="A40" s="328"/>
      <c r="B40" s="328" t="s">
        <v>1437</v>
      </c>
      <c r="C40" s="1288">
        <v>0</v>
      </c>
      <c r="D40" s="1900"/>
      <c r="E40" s="1282"/>
    </row>
    <row r="41" spans="1:6" ht="14.25" customHeight="1" x14ac:dyDescent="0.2">
      <c r="A41" s="328"/>
      <c r="B41" s="328" t="s">
        <v>1438</v>
      </c>
      <c r="C41" s="1288">
        <v>0</v>
      </c>
      <c r="D41" s="1900"/>
      <c r="E41" s="1282"/>
    </row>
    <row r="42" spans="1:6" ht="14.25" customHeight="1" x14ac:dyDescent="0.2">
      <c r="A42" s="328" t="s">
        <v>1439</v>
      </c>
      <c r="B42" s="328"/>
      <c r="C42" s="1898">
        <v>0</v>
      </c>
      <c r="D42" s="1900"/>
      <c r="E42" s="1282"/>
    </row>
    <row r="43" spans="1:6" ht="14.25" customHeight="1" x14ac:dyDescent="0.2">
      <c r="A43" s="328" t="s">
        <v>1440</v>
      </c>
      <c r="B43" s="328"/>
      <c r="C43" s="1289" t="s">
        <v>383</v>
      </c>
      <c r="D43" s="1900"/>
      <c r="E43" s="1282"/>
    </row>
    <row r="44" spans="1:6" ht="14.25" customHeight="1" x14ac:dyDescent="0.2">
      <c r="A44" s="328"/>
      <c r="B44" s="328"/>
      <c r="C44" s="1902" t="s">
        <v>1441</v>
      </c>
      <c r="D44" s="1900"/>
      <c r="E44" s="1282"/>
    </row>
    <row r="45" spans="1:6" ht="13.5" customHeight="1" x14ac:dyDescent="0.2">
      <c r="B45" s="322"/>
      <c r="C45" s="1290"/>
      <c r="D45" s="1290"/>
    </row>
    <row r="46" spans="1:6" x14ac:dyDescent="0.2">
      <c r="A46" s="1291" t="s">
        <v>1730</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0" t="s">
        <v>1590</v>
      </c>
      <c r="C49" s="2440"/>
      <c r="D49" s="2440"/>
      <c r="E49" s="1395"/>
    </row>
    <row r="50" spans="1:5" s="1296" customFormat="1" ht="3.75" customHeight="1" x14ac:dyDescent="0.2">
      <c r="A50" s="1295"/>
      <c r="B50" s="1937"/>
      <c r="C50" s="1937"/>
      <c r="D50" s="1937"/>
      <c r="E50" s="1395"/>
    </row>
    <row r="51" spans="1:5" s="1296" customFormat="1" ht="20.25" customHeight="1" x14ac:dyDescent="0.2">
      <c r="A51" s="1297">
        <v>6</v>
      </c>
      <c r="B51" s="2435" t="s">
        <v>1551</v>
      </c>
      <c r="C51" s="2435"/>
      <c r="D51" s="2435"/>
    </row>
    <row r="52" spans="1:5" ht="14.25" customHeight="1" x14ac:dyDescent="0.2">
      <c r="A52" s="1297"/>
      <c r="B52" s="2435"/>
      <c r="C52" s="2435"/>
      <c r="D52" s="2435"/>
    </row>
  </sheetData>
  <mergeCells count="26">
    <mergeCell ref="D19:F19"/>
    <mergeCell ref="A7:F7"/>
    <mergeCell ref="A1:F1"/>
    <mergeCell ref="A2:F2"/>
    <mergeCell ref="A3:F3"/>
    <mergeCell ref="A4:F4"/>
    <mergeCell ref="A13:F13"/>
    <mergeCell ref="D15:F15"/>
    <mergeCell ref="D16:F16"/>
    <mergeCell ref="D17:F17"/>
    <mergeCell ref="D18:F18"/>
    <mergeCell ref="D26:F26"/>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scale="88"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3"/>
  <sheetViews>
    <sheetView showGridLines="0" zoomScale="110" zoomScaleNormal="110" workbookViewId="0">
      <selection activeCell="M66" sqref="M66"/>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Herrin CUSD 4</v>
      </c>
      <c r="C1" s="2453"/>
      <c r="D1" s="2453"/>
      <c r="E1" s="2453"/>
      <c r="F1" s="2453"/>
      <c r="G1" s="2453"/>
      <c r="H1" s="2453"/>
      <c r="I1" s="2453"/>
      <c r="J1" s="1405"/>
    </row>
    <row r="2" spans="2:10" s="317" customFormat="1" ht="12.75" customHeight="1" x14ac:dyDescent="0.2">
      <c r="B2" s="2454">
        <f>'Single Audit Cover'!E7</f>
        <v>21100004026</v>
      </c>
      <c r="C2" s="2455"/>
      <c r="D2" s="2455"/>
      <c r="E2" s="2455"/>
      <c r="F2" s="2455"/>
      <c r="G2" s="2455"/>
      <c r="H2" s="2455"/>
      <c r="I2" s="2455"/>
      <c r="J2" s="1405"/>
    </row>
    <row r="3" spans="2:10" s="317" customFormat="1" ht="12.75" customHeight="1" x14ac:dyDescent="0.2">
      <c r="B3" s="2456" t="s">
        <v>1285</v>
      </c>
      <c r="C3" s="2457"/>
      <c r="D3" s="2457"/>
      <c r="E3" s="2457"/>
      <c r="F3" s="2457"/>
      <c r="G3" s="2457"/>
      <c r="H3" s="2457"/>
      <c r="I3" s="2457"/>
      <c r="J3" s="1406"/>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6" t="s">
        <v>1284</v>
      </c>
      <c r="C7" s="2457"/>
      <c r="D7" s="2457"/>
      <c r="E7" s="2457"/>
      <c r="F7" s="2457"/>
      <c r="G7" s="2457"/>
      <c r="H7" s="2457"/>
      <c r="I7" s="2457"/>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58" t="s">
        <v>1164</v>
      </c>
      <c r="D11" s="2458"/>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t="s">
        <v>2065</v>
      </c>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t="s">
        <v>2065</v>
      </c>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2065</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t="s">
        <v>2065</v>
      </c>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t="s">
        <v>2065</v>
      </c>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59" t="s">
        <v>2180</v>
      </c>
      <c r="E29" s="2459"/>
      <c r="F29" s="2459"/>
      <c r="G29" s="2459"/>
      <c r="H29" s="2459"/>
      <c r="I29" s="2459"/>
    </row>
    <row r="30" spans="2:9" s="317" customFormat="1" x14ac:dyDescent="0.2">
      <c r="B30" s="1364"/>
      <c r="C30" s="322"/>
      <c r="D30" s="1416" t="s">
        <v>1745</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t="s">
        <v>2065</v>
      </c>
      <c r="F33" s="1296" t="s">
        <v>885</v>
      </c>
      <c r="G33" s="1421"/>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460" t="s">
        <v>1748</v>
      </c>
      <c r="D37" s="2461"/>
      <c r="E37" s="2461"/>
      <c r="F37" s="2462"/>
      <c r="G37" s="2460" t="s">
        <v>1592</v>
      </c>
      <c r="H37" s="2461"/>
      <c r="I37" s="2462"/>
    </row>
    <row r="38" spans="2:9" ht="16.5" customHeight="1" x14ac:dyDescent="0.2">
      <c r="B38" s="1427" t="s">
        <v>2181</v>
      </c>
      <c r="C38" s="2448" t="s">
        <v>2182</v>
      </c>
      <c r="D38" s="2449"/>
      <c r="E38" s="2449"/>
      <c r="F38" s="2450"/>
      <c r="G38" s="2463">
        <v>865930</v>
      </c>
      <c r="H38" s="2464"/>
      <c r="I38" s="2465"/>
    </row>
    <row r="39" spans="2:9" ht="16.5" customHeight="1" x14ac:dyDescent="0.2">
      <c r="B39" s="1427"/>
      <c r="C39" s="2448"/>
      <c r="D39" s="2449"/>
      <c r="E39" s="2449"/>
      <c r="F39" s="2450"/>
      <c r="G39" s="2451"/>
      <c r="H39" s="2451"/>
      <c r="I39" s="2451"/>
    </row>
    <row r="40" spans="2:9" ht="16.5" customHeight="1" x14ac:dyDescent="0.2">
      <c r="B40" s="1427"/>
      <c r="C40" s="2448"/>
      <c r="D40" s="2449"/>
      <c r="E40" s="2449"/>
      <c r="F40" s="2450"/>
      <c r="G40" s="2451"/>
      <c r="H40" s="2451"/>
      <c r="I40" s="2451"/>
    </row>
    <row r="41" spans="2:9" ht="16.5" customHeight="1" x14ac:dyDescent="0.2">
      <c r="B41" s="1427"/>
      <c r="C41" s="2448"/>
      <c r="D41" s="2449"/>
      <c r="E41" s="2449"/>
      <c r="F41" s="2450"/>
      <c r="G41" s="2451"/>
      <c r="H41" s="2451"/>
      <c r="I41" s="2451"/>
    </row>
    <row r="42" spans="2:9" ht="16.5" customHeight="1" x14ac:dyDescent="0.2">
      <c r="B42" s="1427"/>
      <c r="C42" s="2448"/>
      <c r="D42" s="2449"/>
      <c r="E42" s="2449"/>
      <c r="F42" s="2450"/>
      <c r="G42" s="2451"/>
      <c r="H42" s="2451"/>
      <c r="I42" s="2451"/>
    </row>
    <row r="43" spans="2:9" ht="16.5" customHeight="1" x14ac:dyDescent="0.2">
      <c r="B43" s="1427"/>
      <c r="C43" s="2466" t="s">
        <v>1593</v>
      </c>
      <c r="D43" s="2467"/>
      <c r="E43" s="2467"/>
      <c r="F43" s="2468"/>
      <c r="G43" s="2469">
        <f>SUM(G38:I42)</f>
        <v>865930</v>
      </c>
      <c r="H43" s="2469"/>
      <c r="I43" s="2469"/>
    </row>
    <row r="44" spans="2:9" ht="12.75" customHeight="1" x14ac:dyDescent="0.2"/>
    <row r="45" spans="2:9" ht="12.75" customHeight="1" x14ac:dyDescent="0.2">
      <c r="B45" s="1418" t="s">
        <v>1838</v>
      </c>
      <c r="D45" s="2470">
        <v>1823337</v>
      </c>
      <c r="E45" s="2471"/>
    </row>
    <row r="46" spans="2:9" ht="5.25" customHeight="1" x14ac:dyDescent="0.2">
      <c r="B46" s="1428"/>
      <c r="D46" s="1429"/>
      <c r="E46" s="1430"/>
    </row>
    <row r="47" spans="2:9" ht="12.75" customHeight="1" x14ac:dyDescent="0.2">
      <c r="B47" s="1296" t="s">
        <v>1594</v>
      </c>
      <c r="C47" s="1296"/>
      <c r="D47" s="1431">
        <f>+G43/D45</f>
        <v>0.4749149498968101</v>
      </c>
      <c r="E47" s="1432"/>
      <c r="F47" s="1433"/>
      <c r="I47" s="1434"/>
    </row>
    <row r="48" spans="2:9" ht="9.9499999999999993" customHeight="1" x14ac:dyDescent="0.2"/>
    <row r="49" spans="1:9" x14ac:dyDescent="0.2">
      <c r="B49" s="1364" t="s">
        <v>1273</v>
      </c>
      <c r="C49" s="1278"/>
      <c r="D49" s="1278"/>
      <c r="E49" s="2472">
        <v>750000</v>
      </c>
      <c r="F49" s="2472"/>
      <c r="G49" s="2472"/>
      <c r="H49" s="322"/>
    </row>
    <row r="51" spans="1:9" ht="13.5" customHeight="1" x14ac:dyDescent="0.2">
      <c r="B51" s="1364" t="s">
        <v>1272</v>
      </c>
      <c r="C51" s="1278"/>
      <c r="E51" s="1421"/>
      <c r="F51" s="1296" t="s">
        <v>885</v>
      </c>
      <c r="G51" s="1421" t="s">
        <v>2065</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Herrin CUSD 4</v>
      </c>
      <c r="C1" s="2452"/>
      <c r="D1" s="2452"/>
      <c r="E1" s="2452"/>
      <c r="F1" s="2452"/>
      <c r="G1" s="2452"/>
      <c r="H1" s="2452"/>
      <c r="I1" s="2452"/>
      <c r="J1" s="2452"/>
      <c r="K1" s="2452"/>
      <c r="L1" s="1370"/>
      <c r="M1" s="1370"/>
    </row>
    <row r="2" spans="1:13" ht="12" customHeight="1" x14ac:dyDescent="0.2">
      <c r="B2" s="2454">
        <f>'Single Audit Cover'!E7</f>
        <v>21100004026</v>
      </c>
      <c r="C2" s="2454"/>
      <c r="D2" s="2454"/>
      <c r="E2" s="2454"/>
      <c r="F2" s="2454"/>
      <c r="G2" s="2454"/>
      <c r="H2" s="2454"/>
      <c r="I2" s="2454"/>
      <c r="J2" s="2454"/>
      <c r="K2" s="2454"/>
      <c r="L2" s="1371"/>
      <c r="M2" s="1372"/>
    </row>
    <row r="3" spans="1:13" ht="10.35" customHeight="1" x14ac:dyDescent="0.2">
      <c r="B3" s="2475" t="s">
        <v>1285</v>
      </c>
      <c r="C3" s="2475"/>
      <c r="D3" s="2475"/>
      <c r="E3" s="2475"/>
      <c r="F3" s="2475"/>
      <c r="G3" s="2475"/>
      <c r="H3" s="2475"/>
      <c r="I3" s="2475"/>
      <c r="J3" s="2475"/>
      <c r="K3" s="2475"/>
      <c r="L3" s="1373"/>
      <c r="M3" s="1373"/>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6" t="s">
        <v>1296</v>
      </c>
      <c r="C7" s="2476"/>
      <c r="D7" s="2477"/>
      <c r="E7" s="2477"/>
      <c r="F7" s="2477"/>
      <c r="G7" s="2477"/>
      <c r="H7" s="2477"/>
      <c r="I7" s="2477"/>
      <c r="J7" s="2477"/>
      <c r="K7" s="247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1988</v>
      </c>
      <c r="D10" s="1382">
        <v>1</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2015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4" t="s">
        <v>2183</v>
      </c>
      <c r="C14" s="2474"/>
      <c r="D14" s="2474"/>
      <c r="E14" s="2474"/>
      <c r="F14" s="2474"/>
      <c r="G14" s="2474"/>
      <c r="H14" s="2474"/>
      <c r="I14" s="2474"/>
      <c r="J14" s="2474"/>
      <c r="K14" s="247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4" t="s">
        <v>2237</v>
      </c>
      <c r="C17" s="2474"/>
      <c r="D17" s="2474"/>
      <c r="E17" s="2474"/>
      <c r="F17" s="2474"/>
      <c r="G17" s="2474"/>
      <c r="H17" s="2474"/>
      <c r="I17" s="2474"/>
      <c r="J17" s="2474"/>
      <c r="K17" s="2474"/>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478" t="s">
        <v>2184</v>
      </c>
      <c r="C20" s="2478"/>
      <c r="D20" s="2474"/>
      <c r="E20" s="2474"/>
      <c r="F20" s="2474"/>
      <c r="G20" s="2474"/>
      <c r="H20" s="2474"/>
      <c r="I20" s="2474"/>
      <c r="J20" s="2474"/>
      <c r="K20" s="247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4" t="s">
        <v>2185</v>
      </c>
      <c r="C23" s="2474"/>
      <c r="D23" s="2474"/>
      <c r="E23" s="2474"/>
      <c r="F23" s="2474"/>
      <c r="G23" s="2474"/>
      <c r="H23" s="2474"/>
      <c r="I23" s="2474"/>
      <c r="J23" s="2474"/>
      <c r="K23" s="247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4" t="s">
        <v>2186</v>
      </c>
      <c r="C26" s="2474"/>
      <c r="D26" s="2474"/>
      <c r="E26" s="2474"/>
      <c r="F26" s="2474"/>
      <c r="G26" s="2474"/>
      <c r="H26" s="2474"/>
      <c r="I26" s="2474"/>
      <c r="J26" s="2474"/>
      <c r="K26" s="247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3" t="s">
        <v>2187</v>
      </c>
      <c r="C29" s="2473"/>
      <c r="D29" s="2474"/>
      <c r="E29" s="2474"/>
      <c r="F29" s="2474"/>
      <c r="G29" s="2474"/>
      <c r="H29" s="2474"/>
      <c r="I29" s="2474"/>
      <c r="J29" s="2474"/>
      <c r="K29" s="247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44.25" customHeight="1" x14ac:dyDescent="0.2">
      <c r="B32" s="2473" t="s">
        <v>2188</v>
      </c>
      <c r="C32" s="2473"/>
      <c r="D32" s="2474"/>
      <c r="E32" s="2474"/>
      <c r="F32" s="2474"/>
      <c r="G32" s="2474"/>
      <c r="H32" s="2474"/>
      <c r="I32" s="2474"/>
      <c r="J32" s="2474"/>
      <c r="K32" s="247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1839</v>
      </c>
      <c r="C36" s="1296"/>
      <c r="L36" s="1377"/>
    </row>
    <row r="37" spans="1:13" ht="9.6" customHeight="1" x14ac:dyDescent="0.2">
      <c r="B37" s="1296" t="s">
        <v>1840</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Herrin CUSD 4</v>
      </c>
      <c r="C1" s="2479"/>
      <c r="D1" s="2479"/>
      <c r="E1" s="2479"/>
      <c r="F1" s="2479"/>
      <c r="G1" s="2479"/>
      <c r="H1" s="2479"/>
      <c r="I1" s="2479"/>
      <c r="J1" s="2479"/>
      <c r="K1" s="2479"/>
      <c r="L1" s="1448"/>
    </row>
    <row r="2" spans="1:12" ht="12.75" customHeight="1" x14ac:dyDescent="0.2">
      <c r="B2" s="2480">
        <f>'Single Audit Cover'!E7</f>
        <v>21100004026</v>
      </c>
      <c r="C2" s="2480"/>
      <c r="D2" s="2480"/>
      <c r="E2" s="2480"/>
      <c r="F2" s="2480"/>
      <c r="G2" s="2480"/>
      <c r="H2" s="2480"/>
      <c r="I2" s="2480"/>
      <c r="J2" s="2480"/>
      <c r="K2" s="2480"/>
      <c r="L2" s="1449"/>
    </row>
    <row r="3" spans="1:12" ht="12.75" customHeight="1" x14ac:dyDescent="0.2">
      <c r="B3" s="2475" t="s">
        <v>1285</v>
      </c>
      <c r="C3" s="2475"/>
      <c r="D3" s="2475"/>
      <c r="E3" s="2475"/>
      <c r="F3" s="2475"/>
      <c r="G3" s="2475"/>
      <c r="H3" s="2475"/>
      <c r="I3" s="2475"/>
      <c r="J3" s="2475"/>
      <c r="K3" s="2475"/>
      <c r="L3" s="1373"/>
    </row>
    <row r="4" spans="1:12" ht="12.75" customHeight="1" x14ac:dyDescent="0.2">
      <c r="B4" s="2475" t="str">
        <f>'Single Audit Cover'!A4</f>
        <v>Year Ending June 30, 2019</v>
      </c>
      <c r="C4" s="2475"/>
      <c r="D4" s="2475"/>
      <c r="E4" s="2475"/>
      <c r="F4" s="2475"/>
      <c r="G4" s="2475"/>
      <c r="H4" s="2475"/>
      <c r="I4" s="2475"/>
      <c r="J4" s="2475"/>
      <c r="K4" s="2475"/>
      <c r="L4" s="1373"/>
    </row>
    <row r="5" spans="1:12" ht="5.25" customHeight="1" x14ac:dyDescent="0.2">
      <c r="B5" s="1256" t="s">
        <v>1169</v>
      </c>
      <c r="C5" s="1256"/>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5"/>
      <c r="C7" s="1375"/>
      <c r="D7" s="1375"/>
      <c r="E7" s="1375"/>
      <c r="F7" s="1375"/>
      <c r="G7" s="1376"/>
      <c r="H7" s="1375"/>
      <c r="I7" s="1376"/>
      <c r="J7" s="1375"/>
      <c r="K7" s="1375"/>
      <c r="L7" s="322"/>
    </row>
    <row r="8" spans="1:12" ht="13.5" customHeight="1" x14ac:dyDescent="0.2">
      <c r="B8" s="1383" t="s">
        <v>1753</v>
      </c>
      <c r="C8" s="1450" t="s">
        <v>1988</v>
      </c>
      <c r="D8" s="1451" t="s">
        <v>2238</v>
      </c>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59"/>
      <c r="G12" s="2459"/>
      <c r="H12" s="2459"/>
      <c r="I12" s="2459"/>
      <c r="J12" s="2459"/>
      <c r="K12" s="2459"/>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2"/>
      <c r="E14" s="2482"/>
      <c r="F14" s="2482"/>
      <c r="H14" s="1458" t="s">
        <v>1303</v>
      </c>
      <c r="I14" s="2483"/>
      <c r="J14" s="2483"/>
      <c r="K14" s="2483"/>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3"/>
      <c r="E16" s="2483"/>
      <c r="F16" s="2483"/>
      <c r="G16" s="2483"/>
      <c r="H16" s="2483"/>
      <c r="I16" s="2483"/>
      <c r="J16" s="2483"/>
      <c r="K16" s="2483"/>
      <c r="L16" s="322"/>
    </row>
    <row r="17" spans="2:12" ht="13.5" customHeight="1" x14ac:dyDescent="0.2">
      <c r="B17" s="1383" t="s">
        <v>1301</v>
      </c>
      <c r="C17" s="1383"/>
      <c r="D17" s="2484"/>
      <c r="E17" s="2484"/>
      <c r="F17" s="2484"/>
      <c r="G17" s="2484"/>
      <c r="H17" s="2484"/>
      <c r="I17" s="2484"/>
      <c r="J17" s="2484"/>
      <c r="K17" s="2484"/>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4"/>
      <c r="C20" s="2474"/>
      <c r="D20" s="2474"/>
      <c r="E20" s="2474"/>
      <c r="F20" s="2474"/>
      <c r="G20" s="2474"/>
      <c r="H20" s="2474"/>
      <c r="I20" s="2474"/>
      <c r="J20" s="2474"/>
      <c r="K20" s="2474"/>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2"/>
      <c r="E22" s="322"/>
      <c r="F22" s="322"/>
      <c r="G22" s="1379"/>
      <c r="H22" s="322"/>
      <c r="I22" s="1379"/>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1755</v>
      </c>
      <c r="C25" s="1460"/>
      <c r="D25" s="322"/>
      <c r="E25" s="322"/>
      <c r="F25" s="322"/>
      <c r="G25" s="1379"/>
      <c r="H25" s="322"/>
      <c r="I25" s="1379"/>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1756</v>
      </c>
      <c r="C28" s="1460"/>
      <c r="D28" s="322"/>
      <c r="E28" s="322"/>
      <c r="F28" s="322"/>
      <c r="G28" s="1379"/>
      <c r="H28" s="322"/>
      <c r="I28" s="1379"/>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1757</v>
      </c>
      <c r="C40" s="1399"/>
      <c r="D40" s="1374"/>
      <c r="E40" s="1375"/>
      <c r="F40" s="1375"/>
      <c r="G40" s="1376"/>
      <c r="H40" s="1375"/>
      <c r="I40" s="1376"/>
      <c r="J40" s="1375"/>
      <c r="K40" s="1375"/>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2"/>
      <c r="E44" s="322"/>
      <c r="F44" s="322"/>
    </row>
    <row r="45" spans="2:12" ht="10.5" customHeight="1" x14ac:dyDescent="0.2">
      <c r="B45" s="1403" t="s">
        <v>1759</v>
      </c>
      <c r="C45" s="1403"/>
      <c r="G45" s="317"/>
      <c r="I45" s="317"/>
    </row>
    <row r="46" spans="2:12" ht="11.1" customHeight="1" x14ac:dyDescent="0.2">
      <c r="B46" s="1403" t="s">
        <v>1760</v>
      </c>
      <c r="C46" s="1403"/>
      <c r="G46" s="317"/>
      <c r="I46" s="317"/>
    </row>
    <row r="47" spans="2:12" ht="11.1" customHeight="1" x14ac:dyDescent="0.2">
      <c r="B47" s="1403" t="s">
        <v>1761</v>
      </c>
      <c r="C47" s="1403"/>
      <c r="G47" s="317"/>
      <c r="I47" s="317"/>
    </row>
    <row r="48" spans="2:12" ht="11.1" customHeight="1" x14ac:dyDescent="0.2">
      <c r="B48" s="1403" t="s">
        <v>1762</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D15" sqref="D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2" t="str">
        <f>'Single Audit Cover'!A7</f>
        <v>Herrin CUSD 4</v>
      </c>
      <c r="C1" s="2452"/>
      <c r="D1" s="2452"/>
      <c r="E1" s="1468"/>
    </row>
    <row r="2" spans="2:5" s="1278" customFormat="1" ht="12.75" customHeight="1" x14ac:dyDescent="0.2">
      <c r="B2" s="2454">
        <f>'Single Audit Cover'!E7</f>
        <v>21100004026</v>
      </c>
      <c r="C2" s="2454"/>
      <c r="D2" s="2454"/>
      <c r="E2" s="1469"/>
    </row>
    <row r="3" spans="2:5" ht="12.75" customHeight="1" x14ac:dyDescent="0.2">
      <c r="B3" s="2475" t="s">
        <v>1763</v>
      </c>
      <c r="C3" s="2475"/>
      <c r="D3" s="2475"/>
      <c r="E3" s="1270"/>
    </row>
    <row r="4" spans="2:5" s="1278" customFormat="1" ht="12.75" customHeight="1" x14ac:dyDescent="0.2">
      <c r="B4" s="2485" t="str">
        <f>'Single Audit Cover'!A4</f>
        <v>Year Ending June 30, 2019</v>
      </c>
      <c r="C4" s="2485"/>
      <c r="D4" s="2485"/>
      <c r="E4" s="1470"/>
    </row>
    <row r="5" spans="2:5" s="1278" customFormat="1" ht="40.15" customHeight="1" x14ac:dyDescent="0.2">
      <c r="B5" s="1471" t="s">
        <v>1764</v>
      </c>
      <c r="C5" s="328"/>
      <c r="D5" s="328"/>
      <c r="E5" s="328"/>
    </row>
    <row r="6" spans="2:5" s="1278" customFormat="1" ht="13.5" customHeight="1" x14ac:dyDescent="0.2">
      <c r="B6" s="1472" t="s">
        <v>1315</v>
      </c>
      <c r="C6" s="1472" t="s">
        <v>1314</v>
      </c>
      <c r="D6" s="1472" t="s">
        <v>1765</v>
      </c>
    </row>
    <row r="7" spans="2:5" ht="13.5" customHeight="1" x14ac:dyDescent="0.2">
      <c r="B7" s="1473"/>
      <c r="C7" s="324"/>
      <c r="D7" s="324"/>
      <c r="E7" s="324"/>
    </row>
    <row r="8" spans="2:5" ht="13.5" customHeight="1" x14ac:dyDescent="0.2">
      <c r="B8" s="1936" t="s">
        <v>2241</v>
      </c>
      <c r="C8" s="324" t="s">
        <v>2190</v>
      </c>
      <c r="D8" s="324" t="s">
        <v>2189</v>
      </c>
      <c r="E8" s="324"/>
    </row>
    <row r="9" spans="2:5" ht="13.5" customHeight="1" x14ac:dyDescent="0.2">
      <c r="B9" s="1474"/>
      <c r="C9" s="323" t="s">
        <v>2191</v>
      </c>
      <c r="D9" s="323"/>
      <c r="E9" s="323"/>
    </row>
    <row r="10" spans="2:5" ht="13.5" customHeight="1" x14ac:dyDescent="0.2">
      <c r="B10" s="1473"/>
      <c r="C10" s="323" t="s">
        <v>2239</v>
      </c>
      <c r="D10" s="323"/>
      <c r="E10" s="323"/>
    </row>
    <row r="11" spans="2:5" ht="13.5" customHeight="1" x14ac:dyDescent="0.2">
      <c r="B11" s="1473"/>
      <c r="C11" s="323" t="s">
        <v>2240</v>
      </c>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t="s">
        <v>2242</v>
      </c>
      <c r="C14" s="323" t="s">
        <v>2243</v>
      </c>
      <c r="D14" s="323" t="s">
        <v>2250</v>
      </c>
      <c r="E14" s="323"/>
    </row>
    <row r="15" spans="2:5" ht="13.5" customHeight="1" x14ac:dyDescent="0.2">
      <c r="B15" s="1473"/>
      <c r="C15" s="323" t="s">
        <v>2244</v>
      </c>
      <c r="D15" s="323"/>
      <c r="E15" s="323"/>
    </row>
    <row r="16" spans="2:5" ht="13.5" customHeight="1" x14ac:dyDescent="0.2">
      <c r="B16" s="1473"/>
      <c r="C16" s="323" t="s">
        <v>2245</v>
      </c>
      <c r="D16" s="323"/>
      <c r="E16" s="323"/>
    </row>
    <row r="17" spans="2:5" ht="13.5" customHeight="1" x14ac:dyDescent="0.2">
      <c r="B17" s="1473"/>
      <c r="C17" s="323" t="s">
        <v>2246</v>
      </c>
      <c r="D17" s="323"/>
      <c r="E17" s="323"/>
    </row>
    <row r="18" spans="2:5" ht="13.5" customHeight="1" x14ac:dyDescent="0.2">
      <c r="B18" s="1473"/>
      <c r="C18" s="323" t="s">
        <v>2247</v>
      </c>
      <c r="D18" s="323"/>
      <c r="E18" s="323"/>
    </row>
    <row r="19" spans="2:5" ht="13.5" customHeight="1" x14ac:dyDescent="0.2">
      <c r="B19" s="1473"/>
      <c r="C19" s="323" t="s">
        <v>2248</v>
      </c>
      <c r="D19" s="323"/>
      <c r="E19" s="323"/>
    </row>
    <row r="20" spans="2:5" ht="13.5" customHeight="1" x14ac:dyDescent="0.2">
      <c r="B20" s="1473"/>
      <c r="C20" s="323" t="s">
        <v>2249</v>
      </c>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1766</v>
      </c>
    </row>
    <row r="46" spans="2:5" ht="12.2" customHeight="1" x14ac:dyDescent="0.2">
      <c r="B46" s="1482" t="s">
        <v>1767</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purl.org/dc/dcmitype/"/>
    <ds:schemaRef ds:uri="4d435f69-8686-490b-bd6d-b153bf22ab50"/>
    <ds:schemaRef ds:uri="http://purl.org/dc/elements/1.1/"/>
    <ds:schemaRef ds:uri="6ce3111e-7420-4802-b50a-75d4e9a0b980"/>
    <ds:schemaRef ds:uri="http://schemas.openxmlformats.org/package/2006/metadata/core-properties"/>
    <ds:schemaRef ds:uri="http://schemas.microsoft.com/office/infopath/2007/PartnerControls"/>
    <ds:schemaRef ds:uri="http://www.w3.org/XML/1998/namespace"/>
    <ds:schemaRef ds:uri="d21dc803-237d-4c68-8692-8d731fd2911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SEFA-1</vt:lpstr>
      <vt:lpstr> SEFA-2</vt:lpstr>
      <vt:lpstr> SEFA-3</vt:lpstr>
      <vt:lpstr> SEFA-4</vt:lpstr>
      <vt:lpstr>SEFA NOTES</vt:lpstr>
      <vt:lpstr>SF&amp;QC Sec-1</vt:lpstr>
      <vt:lpstr>SF&amp;QC Sec-2</vt:lpstr>
      <vt:lpstr>SF&amp;QC Sec-3</vt:lpstr>
      <vt:lpstr>SSPAF</vt:lpstr>
      <vt:lpstr>' SEFA-1'!Print_Area</vt:lpstr>
      <vt:lpstr>' SEFA-2'!Print_Area</vt:lpstr>
      <vt:lpstr>' SEFA-3'!Print_Area</vt:lpstr>
      <vt:lpstr>' SEFA-4'!Print_Area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2019-10-10T19:13:37Z</cp:lastPrinted>
  <dcterms:created xsi:type="dcterms:W3CDTF">2003-10-29T19:06:34Z</dcterms:created>
  <dcterms:modified xsi:type="dcterms:W3CDTF">2019-12-18T14:40:47Z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