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D2CF11E-DF25-45C6-A576-22A2ECCB5E8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4" i="183" l="1"/>
  <c r="L22" i="183"/>
  <c r="L21" i="183"/>
  <c r="L20" i="183"/>
  <c r="L19" i="183"/>
  <c r="L18" i="183"/>
  <c r="L17" i="183"/>
  <c r="L16" i="183"/>
  <c r="L15" i="183"/>
  <c r="L14" i="183"/>
  <c r="L13" i="183" l="1"/>
  <c r="L12" i="183"/>
  <c r="L11" i="183"/>
  <c r="B4" i="183"/>
  <c r="J8" i="12" l="1"/>
  <c r="C107" i="5"/>
  <c r="G63" i="29"/>
  <c r="C106" i="5"/>
  <c r="C200" i="5"/>
  <c r="C4" i="3"/>
  <c r="E63" i="29"/>
  <c r="E349" i="29"/>
  <c r="E322" i="29"/>
  <c r="G301" i="29"/>
  <c r="E301" i="29"/>
  <c r="D219" i="29"/>
  <c r="D241" i="29"/>
  <c r="D240" i="29"/>
  <c r="D223" i="29"/>
  <c r="D280" i="29"/>
  <c r="D268" i="29"/>
  <c r="D267" i="29"/>
  <c r="D266" i="29"/>
  <c r="D264" i="29"/>
  <c r="D259" i="29"/>
  <c r="D246" i="29"/>
  <c r="D245" i="29"/>
  <c r="D237" i="29"/>
  <c r="D234" i="29"/>
  <c r="D233" i="29"/>
  <c r="D232" i="29"/>
  <c r="D222" i="29"/>
  <c r="D215" i="29"/>
  <c r="E189" i="29"/>
  <c r="E183" i="29"/>
  <c r="H182" i="29"/>
  <c r="E182" i="29"/>
  <c r="D182" i="29"/>
  <c r="H170" i="29"/>
  <c r="H169" i="29"/>
  <c r="G124" i="29"/>
  <c r="F124" i="29"/>
  <c r="E124" i="29"/>
  <c r="D14" i="29"/>
  <c r="E62" i="29" l="1"/>
  <c r="H90" i="29"/>
  <c r="H79" i="29"/>
  <c r="F75" i="29"/>
  <c r="E75" i="29"/>
  <c r="C75" i="29"/>
  <c r="F63" i="29"/>
  <c r="D63" i="29"/>
  <c r="C63" i="29"/>
  <c r="D62" i="29"/>
  <c r="C62" i="29"/>
  <c r="H61" i="29"/>
  <c r="F61" i="29"/>
  <c r="E61" i="29"/>
  <c r="G61" i="29"/>
  <c r="D61" i="29"/>
  <c r="C61" i="29"/>
  <c r="H55" i="29"/>
  <c r="G55" i="29"/>
  <c r="F55" i="29"/>
  <c r="E55" i="29"/>
  <c r="D55" i="29"/>
  <c r="C55" i="29"/>
  <c r="E51" i="29"/>
  <c r="H50" i="29"/>
  <c r="E50" i="29"/>
  <c r="D50" i="29"/>
  <c r="H49" i="29"/>
  <c r="F49" i="29"/>
  <c r="E49" i="29"/>
  <c r="D49" i="29"/>
  <c r="C49" i="29"/>
  <c r="E46" i="29"/>
  <c r="H45" i="29"/>
  <c r="F45" i="29"/>
  <c r="E45" i="29"/>
  <c r="C45" i="29"/>
  <c r="E44" i="29"/>
  <c r="D44" i="29"/>
  <c r="C44" i="29"/>
  <c r="E41" i="29"/>
  <c r="D41" i="29"/>
  <c r="C41" i="29"/>
  <c r="F38" i="29"/>
  <c r="E38" i="29"/>
  <c r="D38" i="29"/>
  <c r="C38" i="29"/>
  <c r="D37" i="29"/>
  <c r="F36" i="29"/>
  <c r="E36" i="29"/>
  <c r="D36" i="29"/>
  <c r="C36" i="29"/>
  <c r="E17" i="29"/>
  <c r="D17" i="29"/>
  <c r="H14" i="29"/>
  <c r="F14" i="29"/>
  <c r="E14" i="29"/>
  <c r="C14" i="29"/>
  <c r="G14" i="29"/>
  <c r="E13" i="29"/>
  <c r="D13" i="29"/>
  <c r="C13" i="29"/>
  <c r="F13" i="29"/>
  <c r="G10" i="29"/>
  <c r="F10" i="29"/>
  <c r="E10" i="29"/>
  <c r="D10" i="29"/>
  <c r="C10" i="29"/>
  <c r="G5" i="29"/>
  <c r="F5" i="29"/>
  <c r="E5" i="29"/>
  <c r="D5" i="29"/>
  <c r="C5" i="29"/>
  <c r="H5" i="29"/>
  <c r="G5" i="5"/>
  <c r="G65" i="5"/>
  <c r="G16" i="5"/>
  <c r="G14" i="5"/>
  <c r="C79" i="5"/>
  <c r="C168" i="5"/>
  <c r="C69"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7" i="108"/>
  <c r="G27" i="108"/>
  <c r="F31" i="108"/>
  <c r="F36" i="108"/>
  <c r="G28"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J22" i="37"/>
  <c r="L22" i="37"/>
  <c r="D24" i="37"/>
  <c r="B4270" i="106" s="1"/>
  <c r="D4270" i="106" s="1"/>
  <c r="L5" i="11"/>
  <c r="B2056" i="106" s="1"/>
  <c r="D2056" i="106" s="1"/>
  <c r="B5752" i="106"/>
  <c r="D5752" i="106" s="1"/>
  <c r="J129" i="29" l="1"/>
  <c r="B7038" i="106" s="1"/>
  <c r="D7038" i="106" s="1"/>
  <c r="K76" i="4"/>
  <c r="B3586" i="106" s="1"/>
  <c r="D3586" i="106" s="1"/>
  <c r="L13" i="11"/>
  <c r="B2060" i="106" s="1"/>
  <c r="D2060" i="106" s="1"/>
  <c r="H28" i="118"/>
  <c r="G210" i="29"/>
  <c r="D6103" i="106"/>
  <c r="L367" i="29"/>
  <c r="F19" i="7"/>
  <c r="B1807" i="106" s="1"/>
  <c r="D1807" i="106" s="1"/>
  <c r="J41" i="3"/>
  <c r="H44" i="4"/>
  <c r="F72" i="34"/>
  <c r="J352" i="29"/>
  <c r="J367" i="29" s="1"/>
  <c r="B7245" i="106" s="1"/>
  <c r="D7245" i="106" s="1"/>
  <c r="B3647" i="106"/>
  <c r="D3647" i="106" s="1"/>
  <c r="F71" i="34"/>
  <c r="F36" i="34"/>
  <c r="I129" i="29"/>
  <c r="B7037" i="106" s="1"/>
  <c r="D7037" i="106" s="1"/>
  <c r="C129" i="29"/>
  <c r="G26" i="108"/>
  <c r="C352" i="29"/>
  <c r="C367" i="29" s="1"/>
  <c r="B3622" i="106" s="1"/>
  <c r="D3622" i="106" s="1"/>
  <c r="G15" i="145"/>
  <c r="F38" i="34"/>
  <c r="E26" i="108"/>
  <c r="B1274" i="106"/>
  <c r="D1274" i="106" s="1"/>
  <c r="D69" i="36"/>
  <c r="G30" i="108"/>
  <c r="E38" i="108"/>
  <c r="K184" i="29"/>
  <c r="F13" i="4" s="1"/>
  <c r="B2596" i="106" s="1"/>
  <c r="D2596" i="106" s="1"/>
  <c r="F27" i="108"/>
  <c r="G29" i="108"/>
  <c r="E29" i="108"/>
  <c r="F28" i="108"/>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4" i="106" l="1"/>
  <c r="D7250" i="106"/>
  <c r="B1365" i="106"/>
  <c r="D1365" i="106" s="1"/>
  <c r="F65" i="34"/>
  <c r="G6" i="4"/>
  <c r="B2604" i="106" s="1"/>
  <c r="D2604" i="106" s="1"/>
  <c r="B1381" i="106"/>
  <c r="D1381" i="106" s="1"/>
  <c r="I7" i="4"/>
  <c r="B4444" i="106" s="1"/>
  <c r="D4444" i="106" s="1"/>
  <c r="L16" i="11"/>
  <c r="B2061" i="106" s="1"/>
  <c r="D2061" i="106" s="1"/>
  <c r="B2031" i="106"/>
  <c r="D2031" i="106" s="1"/>
  <c r="N23" i="3"/>
  <c r="B284" i="106" s="1"/>
  <c r="D284" i="106" s="1"/>
  <c r="D44" i="36"/>
  <c r="K342" i="29"/>
  <c r="F13" i="34" s="1"/>
  <c r="L114" i="29"/>
  <c r="F41" i="108"/>
  <c r="G43" i="108" s="1"/>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146" l="1"/>
  <c r="K17" i="4"/>
  <c r="J19" i="4"/>
  <c r="B6229" i="106" s="1"/>
  <c r="D6229" i="106" s="1"/>
  <c r="B6223" i="106"/>
  <c r="D6223" i="106" s="1"/>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<sst xmlns="http://schemas.openxmlformats.org/spreadsheetml/2006/main" count="5205" uniqueCount="2150">
  <si>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</si>
  <si>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</si>
  <si>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</si>
  <si>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</si>
  <si>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</si>
  <si>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</si>
  <si>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</si>
  <si>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</si>
  <si>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</si>
  <si>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</si>
  <si>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</si>
  <si>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</si>
  <si>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</si>
  <si>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</si>
  <si>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</si>
  <si>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</si>
  <si>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</si>
  <si>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</si>
  <si>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</si>
  <si>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</si>
  <si>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</si>
  <si>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</si>
  <si>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</si>
  <si>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</si>
  <si>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</si>
  <si>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</si>
  <si>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</si>
  <si>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</si>
  <si>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</si>
  <si>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</si>
  <si>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</si>
  <si>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</si>
  <si>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</si>
  <si>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</si>
  <si>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</si>
  <si>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</si>
  <si>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</si>
  <si>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</si>
  <si>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</si>
  <si>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</si>
  <si>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</si>
  <si>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</si>
  <si>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</si>
  <si>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</si>
  <si>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</si>
  <si>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</si>
  <si>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</si>
  <si>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</si>
  <si>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</si>
  <si>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</si>
  <si>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</si>
  <si>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</si>
  <si>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</si>
  <si>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</si>
  <si>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</si>
  <si>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</si>
  <si>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</si>
  <si>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</si>
  <si>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</si>
  <si>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</si>
  <si>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</si>
  <si>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</si>
  <si>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</si>
  <si>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</si>
  <si>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</si>
  <si>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</si>
  <si>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</si>
  <si>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</si>
  <si>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</si>
  <si>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</si>
  <si>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</si>
  <si>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</si>
  <si>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</si>
  <si>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</si>
  <si>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</si>
  <si>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</si>
  <si>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</si>
  <si>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</si>
  <si>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</si>
  <si>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</si>
  <si>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</si>
  <si>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</si>
  <si>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</si>
  <si>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</si>
  <si>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</si>
  <si>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</si>
  <si>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</si>
  <si>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</si>
  <si>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</si>
  <si>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</si>
  <si>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</si>
  <si>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</si>
  <si>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</si>
  <si>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</si>
  <si>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</si>
  <si>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</si>
  <si>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</si>
  <si>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</si>
  <si>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</si>
  <si>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</si>
  <si>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</si>
  <si>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</si>
  <si>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</si>
  <si>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</si>
  <si>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</si>
  <si>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</si>
  <si>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</si>
  <si>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</si>
  <si>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</si>
  <si>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</si>
  <si>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</si>
  <si>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</si>
  <si>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</si>
  <si>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</si>
  <si>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</si>
  <si>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</si>
  <si>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</si>
  <si>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</si>
  <si>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</si>
  <si>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</si>
  <si>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</si>
  <si>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</si>
  <si>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</si>
  <si>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</si>
  <si>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</si>
  <si>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</si>
  <si>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</si>
  <si>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</si>
  <si>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</si>
  <si>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</si>
  <si>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</si>
  <si>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</si>
  <si>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</si>
  <si>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</si>
  <si>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</si>
  <si>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</si>
  <si>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</si>
  <si>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</si>
  <si>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</si>
  <si>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</si>
  <si>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</si>
  <si>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</si>
  <si>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</si>
  <si>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</si>
  <si>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</si>
  <si>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</si>
  <si>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</si>
  <si>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</si>
  <si>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</si>
  <si>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</si>
  <si>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</si>
  <si>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</si>
  <si>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</si>
  <si>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</si>
  <si>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</si>
  <si>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</si>
  <si>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</si>
  <si>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</si>
  <si>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</si>
  <si>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</si>
  <si>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</si>
  <si>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</si>
  <si>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</si>
  <si>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</si>
  <si>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</si>
  <si>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</si>
  <si>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</si>
  <si>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</si>
  <si>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</si>
  <si>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</si>
  <si>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</si>
  <si>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</si>
  <si>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</si>
  <si>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</si>
  <si>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</si>
  <si>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</si>
  <si>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</si>
  <si>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</si>
  <si>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</si>
  <si>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</si>
  <si>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</si>
  <si>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</si>
  <si>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</si>
  <si>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</si>
  <si>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</si>
  <si>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</si>
  <si>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</si>
  <si>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</si>
  <si>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</si>
  <si>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</si>
  <si>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</si>
  <si>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</si>
  <si>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</si>
  <si>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</si>
  <si>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</si>
  <si>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</si>
  <si>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</si>
  <si>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</si>
  <si>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</si>
  <si>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</si>
  <si>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</si>
  <si>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</si>
  <si>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</si>
  <si>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</si>
  <si>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</si>
  <si>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</si>
  <si>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</si>
  <si>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</si>
  <si>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</si>
  <si>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</si>
  <si>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</si>
  <si>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</si>
  <si>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</si>
  <si>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</si>
  <si>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</si>
  <si>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</si>
  <si>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</si>
  <si>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</si>
  <si>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</si>
  <si>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</si>
  <si>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</si>
  <si>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</si>
  <si>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</si>
  <si>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</si>
  <si>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</si>
  <si>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</si>
  <si>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</si>
  <si>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</si>
  <si>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</si>
  <si>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</si>
  <si>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</si>
  <si>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</si>
  <si>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</si>
  <si>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</si>
  <si>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</si>
  <si>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</si>
  <si>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</si>
  <si>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</si>
  <si>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</si>
  <si>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</si>
  <si>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</si>
  <si>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</si>
  <si>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</si>
  <si>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</si>
  <si>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</si>
  <si>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</si>
  <si>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</si>
  <si>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</si>
  <si>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</si>
  <si>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</si>
  <si>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</si>
  <si>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</si>
  <si>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</si>
  <si>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</si>
  <si>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</si>
  <si>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</si>
  <si>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</si>
  <si>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</si>
  <si>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</si>
  <si>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</si>
  <si>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</si>
  <si>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</si>
  <si>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</si>
  <si>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</si>
  <si>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</si>
  <si>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</si>
  <si>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</si>
  <si>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</si>
  <si>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</si>
  <si>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</si>
  <si>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</si>
  <si>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</si>
  <si>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</si>
  <si>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</si>
  <si>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</si>
  <si>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</si>
  <si>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</si>
  <si>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</si>
  <si>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</si>
  <si>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</si>
  <si>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</si>
  <si>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</si>
  <si>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</si>
  <si>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</si>
  <si>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</si>
  <si>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</si>
  <si>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</si>
  <si>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</si>
  <si>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</si>
  <si>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</si>
  <si>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</si>
  <si>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</si>
  <si>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</si>
  <si>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</si>
  <si>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</si>
  <si>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</si>
  <si>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</si>
  <si>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</si>
  <si>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</si>
  <si>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</si>
  <si>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</si>
  <si>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</si>
  <si>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</si>
  <si>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</si>
  <si>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</si>
  <si>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</si>
  <si>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</si>
  <si>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</si>
  <si>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</si>
  <si>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</si>
  <si>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</si>
  <si>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</si>
  <si>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</si>
  <si>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</si>
  <si>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</si>
  <si>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</si>
  <si>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</si>
  <si>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</si>
  <si>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</si>
  <si>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</si>
  <si>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</si>
  <si>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</si>
  <si>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</si>
  <si>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</si>
  <si>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</si>
  <si>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</si>
  <si>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</si>
  <si>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</si>
  <si>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</si>
  <si>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</si>
  <si>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</si>
  <si>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</si>
  <si>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</si>
  <si>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</si>
  <si>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</si>
  <si>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</si>
  <si>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</si>
  <si>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</si>
  <si>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</si>
  <si>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</si>
  <si>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</si>
  <si>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</si>
  <si>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</si>
  <si>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</si>
  <si>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</si>
  <si>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</si>
  <si>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</si>
  <si>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</si>
  <si>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</si>
  <si>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</si>
  <si>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</si>
  <si>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</si>
  <si>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</si>
  <si>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</si>
  <si>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</si>
  <si>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</si>
  <si>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</si>
  <si>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</si>
  <si>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</si>
  <si>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</si>
  <si>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</si>
  <si>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</si>
  <si>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</si>
  <si>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</si>
  <si>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</si>
  <si>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</si>
  <si>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</si>
  <si>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</si>
  <si>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</si>
  <si>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</si>
  <si>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</si>
  <si>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</si>
  <si>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</si>
  <si>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</si>
  <si>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</si>
  <si>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</si>
  <si>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</si>
  <si>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</si>
  <si>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</si>
  <si>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</si>
  <si>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</si>
  <si>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</si>
  <si>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</si>
  <si>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</si>
  <si>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</si>
  <si>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</si>
  <si>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</si>
  <si>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</si>
  <si>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</si>
  <si>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</si>
  <si>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</si>
  <si>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</si>
  <si>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</si>
  <si>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</si>
  <si>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</si>
  <si>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</si>
  <si>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</si>
  <si>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</si>
  <si>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</si>
  <si>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</si>
  <si>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</si>
  <si>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</si>
  <si>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</si>
  <si>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</si>
  <si>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</si>
  <si>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</si>
  <si>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</si>
  <si>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</si>
  <si>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</si>
  <si>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</si>
  <si>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</si>
  <si>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</si>
  <si>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</si>
  <si>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</si>
  <si>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</si>
  <si>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</si>
  <si>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</si>
  <si>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</si>
  <si>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</si>
  <si>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</si>
  <si>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</si>
  <si>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</si>
  <si>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</si>
  <si>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</si>
  <si>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</si>
  <si>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</si>
  <si>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</si>
  <si>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</si>
  <si>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</si>
  <si>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</si>
  <si>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</si>
  <si>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</si>
  <si>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</si>
  <si>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</si>
  <si>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</si>
  <si>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</si>
  <si>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</si>
  <si>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</si>
  <si>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</si>
  <si>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</si>
  <si>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</si>
  <si>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</si>
  <si>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</si>
  <si>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</si>
  <si>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</si>
  <si>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</si>
  <si>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</si>
  <si>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</si>
  <si>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</si>
  <si>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</si>
  <si>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</si>
  <si>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</si>
  <si>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</si>
  <si>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</si>
  <si>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</si>
  <si>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</si>
  <si>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</si>
  <si>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</si>
  <si>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</si>
  <si>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</si>
  <si>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</si>
  <si>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</si>
  <si>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</si>
  <si>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</si>
  <si>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</si>
  <si>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</si>
  <si>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</si>
  <si>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</si>
  <si>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</si>
  <si>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</si>
  <si>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</si>
  <si>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</si>
  <si>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</si>
  <si>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</si>
  <si>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</si>
  <si>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</si>
  <si>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</si>
  <si>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</si>
  <si>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</si>
  <si>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</si>
  <si>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</si>
  <si>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</si>
  <si>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</si>
  <si>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</si>
  <si>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</si>
  <si>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</si>
  <si>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</si>
  <si>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</si>
  <si>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</si>
  <si>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</si>
  <si>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</si>
  <si>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</si>
  <si>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</si>
  <si>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</si>
  <si>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</si>
  <si>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</si>
  <si>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</si>
  <si>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</si>
  <si>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</si>
  <si>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</si>
  <si>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</si>
  <si>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</si>
  <si>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</si>
  <si>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</si>
  <si>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</si>
  <si>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</si>
  <si>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</si>
  <si>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</si>
  <si>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</si>
  <si>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</si>
  <si>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</si>
  <si>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</si>
  <si>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</si>
  <si>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</si>
  <si>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</si>
  <si>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</si>
  <si>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</si>
  <si>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</si>
  <si>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</si>
  <si>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</si>
  <si>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</si>
  <si>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</si>
  <si>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</si>
  <si>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</si>
  <si>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</si>
  <si>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</si>
  <si>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</si>
  <si>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</si>
  <si>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</si>
  <si>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</si>
  <si>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</si>
  <si>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</si>
  <si>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</si>
  <si>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</si>
  <si>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</si>
  <si>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</si>
  <si>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</si>
  <si>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</si>
  <si>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</si>
  <si>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</si>
  <si>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</si>
  <si>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</si>
  <si>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</si>
  <si>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</si>
  <si>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</si>
  <si>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</si>
  <si>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</si>
  <si>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</si>
  <si>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</si>
  <si>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</si>
  <si>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</si>
  <si>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</si>
  <si>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</si>
  <si>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</si>
  <si>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</si>
  <si>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</si>
  <si>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</si>
  <si>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</si>
  <si>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</si>
  <si>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</si>
  <si>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</si>
  <si>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</si>
  <si>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</si>
  <si>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</si>
  <si>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</si>
  <si>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</si>
  <si>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</si>
  <si>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</si>
  <si>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</si>
  <si>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</si>
  <si>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</si>
  <si>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</si>
  <si>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</si>
  <si>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</si>
  <si>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</si>
  <si>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</si>
  <si>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</si>
  <si>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</si>
  <si>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</si>
  <si>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</si>
  <si>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</si>
  <si>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</si>
  <si>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</si>
  <si>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</si>
  <si>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</si>
  <si>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</si>
  <si>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</si>
  <si>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</si>
  <si>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</si>
  <si>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</si>
  <si>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</si>
  <si>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</si>
  <si>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</si>
  <si>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</si>
  <si>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</si>
  <si>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</si>
  <si>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</si>
  <si>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</si>
  <si>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</si>
  <si>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</si>
  <si>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</si>
  <si>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</si>
  <si>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</si>
  <si>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</si>
  <si>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</si>
  <si>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</si>
  <si>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</si>
  <si>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</si>
  <si>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</si>
  <si>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</si>
  <si>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</si>
  <si>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</si>
  <si>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</si>
  <si>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</si>
  <si>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</si>
  <si>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</si>
  <si>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</si>
  <si>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</si>
  <si>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</si>
  <si>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</si>
  <si>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</si>
  <si>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</si>
  <si>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</si>
  <si>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</si>
  <si>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</si>
  <si>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</si>
  <si>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</si>
  <si>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</si>
  <si>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</si>
  <si>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</si>
  <si>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</si>
  <si>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</si>
  <si>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</si>
  <si>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</si>
  <si>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</si>
  <si>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</si>
  <si>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</si>
  <si>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</si>
  <si>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</si>
  <si>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</si>
  <si>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</si>
  <si>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</si>
  <si>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</si>
  <si>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</si>
  <si>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</si>
  <si>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</si>
  <si>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</si>
  <si>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</si>
  <si>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</si>
  <si>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</si>
  <si>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</si>
  <si>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</si>
  <si>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</si>
  <si>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</si>
  <si>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</si>
  <si>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</si>
  <si>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</si>
  <si>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</si>
  <si>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</si>
  <si>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</si>
  <si>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</si>
  <si>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</si>
  <si>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</si>
  <si>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</si>
  <si>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</si>
  <si>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</si>
  <si>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</si>
  <si>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</si>
  <si>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</si>
  <si>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</si>
  <si>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</si>
  <si>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</si>
  <si>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</si>
  <si>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</si>
  <si>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</si>
  <si>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</si>
  <si>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</si>
  <si>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</si>
  <si>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</si>
  <si>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</si>
  <si>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</si>
  <si>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</si>
  <si>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</si>
  <si>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</si>
  <si>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</si>
  <si>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</si>
  <si>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</si>
  <si>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</si>
  <si>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</si>
  <si>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</si>
  <si>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</si>
  <si>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</si>
  <si>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</si>
  <si>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</si>
  <si>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</si>
  <si>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</si>
  <si>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</si>
  <si>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</si>
  <si>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</si>
  <si>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</si>
  <si>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</si>
  <si>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</si>
  <si>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</si>
  <si>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</si>
  <si>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</si>
  <si>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</si>
  <si>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</si>
  <si>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</si>
  <si>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</si>
  <si>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</si>
  <si>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</si>
  <si>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</si>
  <si>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</si>
  <si>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</si>
  <si>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</si>
  <si>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</si>
  <si>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</si>
  <si>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</si>
  <si>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</si>
  <si>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</si>
  <si>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</si>
  <si>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</si>
  <si>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</si>
  <si>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</si>
  <si>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</si>
  <si>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</si>
  <si>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</si>
  <si>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</si>
  <si>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</si>
  <si>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</si>
  <si>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</si>
  <si>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</si>
  <si>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</si>
  <si>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</si>
  <si>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</si>
  <si>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</si>
  <si>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</si>
  <si>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</si>
  <si>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</si>
  <si>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</si>
  <si>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</si>
  <si>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</si>
  <si>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</si>
  <si>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</si>
  <si>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</si>
  <si>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</si>
  <si>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</si>
  <si>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</si>
  <si>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</si>
  <si>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</si>
  <si>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</si>
  <si>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</si>
  <si>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</si>
  <si>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</si>
  <si>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</si>
  <si>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</si>
  <si>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</si>
  <si>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</si>
  <si>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</si>
  <si>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</si>
  <si>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</si>
  <si>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</si>
  <si>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</si>
  <si>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</si>
  <si>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</si>
  <si>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</si>
  <si>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</si>
  <si>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</si>
  <si>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</si>
  <si>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</si>
  <si>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</si>
  <si>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</si>
  <si>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</si>
  <si>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</si>
  <si>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</si>
  <si>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</si>
  <si>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</si>
  <si>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</si>
  <si>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</si>
  <si>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</si>
  <si>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</si>
  <si>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</si>
  <si>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</si>
  <si>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</si>
  <si>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</si>
  <si>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</si>
  <si>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</si>
  <si>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</si>
  <si>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</si>
  <si>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</si>
  <si>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</si>
  <si>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</si>
  <si>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</si>
  <si>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</si>
  <si>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</si>
  <si>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</si>
  <si>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</si>
  <si>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</si>
  <si>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</si>
  <si>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</si>
  <si>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</si>
  <si>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</si>
  <si>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</si>
  <si>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</si>
  <si>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</si>
  <si>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</si>
  <si>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</si>
  <si>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</si>
  <si>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</si>
  <si>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</si>
  <si>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</si>
  <si>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</si>
  <si>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</si>
  <si>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</si>
  <si>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</si>
  <si>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</si>
  <si>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</si>
  <si>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</si>
  <si>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</si>
  <si>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</si>
  <si>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</si>
  <si>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</si>
  <si>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</si>
  <si>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</si>
  <si>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</si>
  <si>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</si>
  <si>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</si>
  <si>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</si>
  <si>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</si>
  <si>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</si>
  <si>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</si>
  <si>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</si>
  <si>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</si>
  <si>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</si>
  <si>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</si>
  <si>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</si>
  <si>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</si>
  <si>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</si>
  <si>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</si>
  <si>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</si>
  <si>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</si>
  <si>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</si>
  <si>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</si>
  <si>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</si>
  <si>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</si>
  <si>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</si>
  <si>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</si>
  <si>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</si>
  <si>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</si>
  <si>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</si>
  <si>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</si>
  <si>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</si>
  <si>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</si>
  <si>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</si>
  <si>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</si>
  <si>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</si>
  <si>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</si>
  <si>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</si>
  <si>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</si>
  <si>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</si>
  <si>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</si>
  <si>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</si>
  <si>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</si>
  <si>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</si>
  <si>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</si>
  <si>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</si>
  <si>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</si>
  <si>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</si>
  <si>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</si>
  <si>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</si>
  <si>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</si>
  <si>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</si>
  <si>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</si>
  <si>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</si>
  <si>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</si>
  <si>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</si>
  <si>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</si>
  <si>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</si>
  <si>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</si>
  <si>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</si>
  <si>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</si>
  <si>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</si>
  <si>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</si>
  <si>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</si>
  <si>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</si>
  <si>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</si>
  <si>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</si>
  <si>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</si>
  <si>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</si>
  <si>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</si>
  <si>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</si>
  <si>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</si>
  <si>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</si>
  <si>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</si>
  <si>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</si>
  <si>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</si>
  <si>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</si>
  <si>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</si>
  <si>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</si>
  <si>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</si>
  <si>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</si>
  <si>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</si>
  <si>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</si>
  <si>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</si>
  <si>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</si>
  <si>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</si>
  <si>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</si>
  <si>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</si>
  <si>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</si>
  <si>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</si>
  <si>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</si>
  <si>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</si>
  <si>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</si>
  <si>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</si>
  <si>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</si>
  <si>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</si>
  <si>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</si>
  <si>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</si>
  <si>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</si>
  <si>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</si>
  <si>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</si>
  <si>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</si>
  <si>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</si>
  <si>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</si>
  <si>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</si>
  <si>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</si>
  <si>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</si>
  <si>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</si>
  <si>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</si>
  <si>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</si>
  <si>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</si>
  <si>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</si>
  <si>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</si>
  <si>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</si>
  <si>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</si>
  <si>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</si>
  <si>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</si>
  <si>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</si>
  <si>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</si>
  <si>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</si>
  <si>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</si>
  <si>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</si>
  <si>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</si>
  <si>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</si>
  <si>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</si>
  <si>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</si>
  <si>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</si>
  <si>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</si>
  <si>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</si>
  <si>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</si>
  <si>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</si>
  <si>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</si>
  <si>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</si>
  <si>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</si>
  <si>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</si>
  <si>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</si>
  <si>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</si>
  <si>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</si>
  <si>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</si>
  <si>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</si>
  <si>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</si>
  <si>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</si>
  <si>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</si>
  <si>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</si>
  <si>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</si>
  <si>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</si>
  <si>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</si>
  <si>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</si>
  <si>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</si>
  <si>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</si>
  <si>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</si>
  <si>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</si>
  <si>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</si>
  <si>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</si>
  <si>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</si>
  <si>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</si>
  <si>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</si>
  <si>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</si>
  <si>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</si>
  <si>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</si>
  <si>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</si>
  <si>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</si>
  <si>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</si>
  <si>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</si>
  <si>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</si>
  <si>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</si>
  <si>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</si>
  <si>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</si>
  <si>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</si>
  <si>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</si>
  <si>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</si>
  <si>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</si>
  <si>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</si>
  <si>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</si>
  <si>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</si>
  <si>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</si>
  <si>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</si>
  <si>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</si>
  <si>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</si>
  <si>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</si>
  <si>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</si>
  <si>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</si>
  <si>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</si>
  <si>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</si>
  <si>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</si>
  <si>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</si>
  <si>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</si>
  <si>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</si>
  <si>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</si>
  <si>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</si>
  <si>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</si>
  <si>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</si>
  <si>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</si>
  <si>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</si>
  <si>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</si>
  <si>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</si>
  <si>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</si>
  <si>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</si>
  <si>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</si>
  <si>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</si>
  <si>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</si>
  <si>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</si>
  <si>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</si>
  <si>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</si>
  <si>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</si>
  <si>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</si>
  <si>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</si>
  <si>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</si>
  <si>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</si>
  <si>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</si>
  <si>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</si>
  <si>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</si>
  <si>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</si>
  <si>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</si>
  <si>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</si>
  <si>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</si>
  <si>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</si>
  <si>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</si>
  <si>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</si>
  <si>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</si>
  <si>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</si>
  <si>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</si>
  <si>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</si>
  <si>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</si>
  <si>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</si>
  <si>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</si>
  <si>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</si>
  <si>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</si>
  <si>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</si>
  <si>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</si>
  <si>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</si>
  <si>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</si>
  <si>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</si>
  <si>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</si>
  <si>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</si>
  <si>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</si>
  <si>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</si>
  <si>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</si>
  <si>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</si>
  <si>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</si>
  <si>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</si>
  <si>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</si>
  <si>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</si>
  <si>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</si>
  <si>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</si>
  <si>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</si>
  <si>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</si>
  <si>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</si>
  <si>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</si>
  <si>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</si>
  <si>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</si>
  <si>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</si>
  <si>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</si>
  <si>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</si>
  <si>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</si>
  <si>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</si>
  <si>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</si>
  <si>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</si>
  <si>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</si>
  <si>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</si>
  <si>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</si>
  <si>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</si>
  <si>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</si>
  <si>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</si>
  <si>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</si>
  <si>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</si>
  <si>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</si>
  <si>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</si>
  <si>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</si>
  <si>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</si>
  <si>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</si>
  <si>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</si>
  <si>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</si>
  <si>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</si>
  <si>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</si>
  <si>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</si>
  <si>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</si>
  <si>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</si>
  <si>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</si>
  <si>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</si>
  <si>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</si>
  <si>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</si>
  <si>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</si>
  <si>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</si>
  <si>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</si>
  <si>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</si>
  <si>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</si>
  <si>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</si>
  <si>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</si>
  <si>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</si>
  <si>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</si>
  <si>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</si>
  <si>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</si>
  <si>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</si>
  <si>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</si>
  <si>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</si>
  <si>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</si>
  <si>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</si>
  <si>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</si>
  <si>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</si>
  <si>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</si>
  <si>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</si>
  <si>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</si>
  <si>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</si>
  <si>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</si>
  <si>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</si>
  <si>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</si>
  <si>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</si>
  <si>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</si>
  <si>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</si>
  <si>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</si>
  <si>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</si>
  <si>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</si>
  <si>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</si>
  <si>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</si>
  <si>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</si>
  <si>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</si>
  <si>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</si>
  <si>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</si>
  <si>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</si>
  <si>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</si>
  <si>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</si>
  <si>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</si>
  <si>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</si>
  <si>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</si>
  <si>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</si>
  <si>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</si>
  <si>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</si>
  <si>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</si>
  <si>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</si>
  <si>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</si>
  <si>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</si>
  <si>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</si>
  <si>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</si>
  <si>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</si>
  <si>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</si>
  <si>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</si>
  <si>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</si>
  <si>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</si>
  <si>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</si>
  <si>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</si>
  <si>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</si>
  <si>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</si>
  <si>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</si>
  <si>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</si>
  <si>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</si>
  <si>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</si>
  <si>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</si>
  <si>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</si>
  <si>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</si>
  <si>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</si>
  <si>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</si>
  <si>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</si>
  <si>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</si>
  <si>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</si>
  <si>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</si>
  <si>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</si>
  <si>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</si>
  <si>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</si>
  <si>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</si>
  <si>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</si>
  <si>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</si>
  <si>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</si>
  <si>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</si>
  <si>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</si>
  <si>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</si>
  <si>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</si>
  <si>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</si>
  <si>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</si>
  <si>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</si>
  <si>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</si>
  <si>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</si>
  <si>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</si>
  <si>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</si>
  <si>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</si>
  <si>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</si>
  <si>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</si>
  <si>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</si>
  <si>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</si>
  <si>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</si>
  <si>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</si>
  <si>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</si>
  <si>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</si>
  <si>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</si>
  <si>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</si>
  <si>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</si>
  <si>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</si>
  <si>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</si>
  <si>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</si>
  <si>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</si>
  <si>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</si>
  <si>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</si>
  <si>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</si>
  <si>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</si>
  <si>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</si>
  <si>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</si>
  <si>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</si>
  <si>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</si>
  <si>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</si>
  <si>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</si>
  <si>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</si>
  <si>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</si>
  <si>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</si>
  <si>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</si>
  <si>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</si>
  <si>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</si>
  <si>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</si>
  <si>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</si>
  <si>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</si>
  <si>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</si>
  <si>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</si>
  <si>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</si>
  <si>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</si>
  <si>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</si>
  <si>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</si>
  <si>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</si>
  <si>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</si>
  <si>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</si>
  <si>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</si>
  <si>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</si>
  <si>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</si>
  <si>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</si>
  <si>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</si>
  <si>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</si>
  <si>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</si>
  <si>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</si>
  <si>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</si>
  <si>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</si>
  <si>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</si>
  <si>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</si>
  <si>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</si>
  <si>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</si>
  <si>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</si>
  <si>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</si>
  <si>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</si>
  <si>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</si>
  <si>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</si>
  <si>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</si>
  <si>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</si>
  <si>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</si>
  <si>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</si>
  <si>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</si>
  <si>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</si>
  <si>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</si>
  <si>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</si>
  <si>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</si>
  <si>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</si>
  <si>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</si>
  <si>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</si>
  <si>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</si>
  <si>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</si>
  <si>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</si>
  <si>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</si>
  <si>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</si>
  <si>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</si>
  <si>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</si>
  <si>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</si>
  <si>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</si>
  <si>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</si>
  <si>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</si>
  <si>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</si>
  <si>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</si>
  <si>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</si>
  <si>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</si>
  <si>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</si>
  <si>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</si>
  <si>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</si>
  <si>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</si>
  <si>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</si>
  <si>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</si>
  <si>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</si>
  <si>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</si>
  <si>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</si>
  <si>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</si>
  <si>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</si>
  <si>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</si>
  <si>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</si>
  <si>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</si>
  <si>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</si>
  <si>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</si>
  <si>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</si>
  <si>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</si>
  <si>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</si>
  <si>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</si>
  <si>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</si>
  <si>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</si>
  <si>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</si>
  <si>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</si>
  <si>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</si>
  <si>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</si>
  <si>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</si>
  <si>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</si>
  <si>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</si>
  <si>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</si>
  <si>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</si>
  <si>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</si>
  <si>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</si>
  <si>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</si>
  <si>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</si>
  <si>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</si>
  <si>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</si>
  <si>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</si>
  <si>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</si>
  <si>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</si>
  <si>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</si>
  <si>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</si>
  <si>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</si>
  <si>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</si>
  <si>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</si>
  <si>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</si>
  <si>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</si>
  <si>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</si>
  <si>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</si>
  <si>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</si>
  <si>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</si>
  <si>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</si>
  <si>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</si>
  <si>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</si>
  <si>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</si>
  <si>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</si>
  <si>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</si>
  <si>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</si>
  <si>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</si>
  <si>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</si>
  <si>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</si>
  <si>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</si>
  <si>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</si>
  <si>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</si>
  <si>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</si>
  <si>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</si>
  <si>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</si>
  <si>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</si>
  <si>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</si>
  <si>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</si>
  <si>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</si>
  <si>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</si>
  <si>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</si>
  <si>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</si>
  <si>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</si>
  <si>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</si>
  <si>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</si>
  <si>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</si>
  <si>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</si>
  <si>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</si>
  <si>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</si>
  <si>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</si>
  <si>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</si>
  <si>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</si>
  <si>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</si>
  <si>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</si>
  <si>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</si>
  <si>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</si>
  <si>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</si>
  <si>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</si>
  <si>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</si>
  <si>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</si>
  <si>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</si>
  <si>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</si>
  <si>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</si>
  <si>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</si>
  <si>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</si>
  <si>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</si>
  <si>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</si>
  <si>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</si>
  <si>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</si>
  <si>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</si>
  <si>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</si>
  <si>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</si>
  <si>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</si>
  <si>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</si>
  <si>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</si>
  <si>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</si>
  <si>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</si>
  <si>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</si>
  <si>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</si>
  <si>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</si>
  <si>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</si>
  <si>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</si>
  <si>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</si>
  <si>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</si>
  <si>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</si>
  <si>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</si>
  <si>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</si>
  <si>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</si>
  <si>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</si>
  <si>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</si>
  <si>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</si>
  <si>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</si>
  <si>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</si>
  <si>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</si>
  <si>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</si>
  <si>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</si>
  <si>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</si>
  <si>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</si>
  <si>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</si>
  <si>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</si>
  <si>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</si>
  <si>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</si>
  <si>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</si>
  <si>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</si>
  <si>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</si>
  <si>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</si>
  <si>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</si>
  <si>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</si>
  <si>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</si>
  <si>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</si>
  <si>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</si>
  <si>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</si>
  <si>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</si>
  <si>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</si>
  <si>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</si>
  <si>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</si>
  <si>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</si>
  <si>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</si>
  <si>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</si>
  <si>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</si>
  <si>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</si>
  <si>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</si>
  <si>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</si>
  <si>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</si>
  <si>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</si>
  <si>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</si>
  <si>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</si>
  <si>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</si>
  <si>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</si>
  <si>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</si>
  <si>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</si>
  <si>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</si>
  <si>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</si>
  <si>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</si>
  <si>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</si>
  <si>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</si>
  <si>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</si>
  <si>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</si>
  <si>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</si>
  <si>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</si>
  <si>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</si>
  <si>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</si>
  <si>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</si>
  <si>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</si>
  <si>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</si>
  <si>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</si>
  <si>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</si>
  <si>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</si>
  <si>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</si>
  <si>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</si>
  <si>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</si>
  <si>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</si>
  <si>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</si>
  <si>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</si>
  <si>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</si>
  <si>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</si>
  <si>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</si>
  <si>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</si>
  <si>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</si>
  <si>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</si>
  <si>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</si>
  <si>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</si>
  <si>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</si>
  <si>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</si>
  <si>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</si>
  <si>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</si>
  <si>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</si>
  <si>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</si>
  <si>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</si>
  <si>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</si>
  <si>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</si>
  <si>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</si>
  <si>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</si>
  <si>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</si>
  <si>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</si>
  <si>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</si>
  <si>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</si>
  <si>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</si>
  <si>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</si>
  <si>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</si>
  <si>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</si>
  <si>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</si>
  <si>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</si>
  <si>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</si>
  <si>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</si>
  <si>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</si>
  <si>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</si>
  <si>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</si>
  <si>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</si>
  <si>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</si>
  <si>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</si>
  <si>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</si>
  <si>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</si>
  <si>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</si>
  <si>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</si>
  <si>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</si>
  <si>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</si>
  <si>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</si>
  <si>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</si>
  <si>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</si>
  <si>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</si>
  <si>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</si>
  <si>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</si>
  <si>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</si>
  <si>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</si>
  <si>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</si>
  <si>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</si>
  <si>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</si>
  <si>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</si>
  <si>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</si>
  <si>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</si>
  <si>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</si>
  <si>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</si>
  <si>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</si>
  <si>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</si>
  <si>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</si>
  <si>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</si>
  <si>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</si>
  <si>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</si>
  <si>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</si>
  <si>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</si>
  <si>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</si>
  <si>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</si>
  <si>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</si>
  <si>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</si>
  <si>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</si>
  <si>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</si>
  <si>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</si>
  <si>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</si>
  <si>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</si>
  <si>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</si>
  <si>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</si>
  <si>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</si>
  <si>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</si>
  <si>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</si>
  <si>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</si>
  <si>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</si>
  <si>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</si>
  <si>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</si>
  <si>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</si>
  <si>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</si>
  <si>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</si>
  <si>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</si>
  <si>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</si>
  <si>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</si>
  <si>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</si>
  <si>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</si>
  <si>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</si>
  <si>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</si>
  <si>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</si>
  <si>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</si>
  <si>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</si>
  <si>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</si>
  <si>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</si>
  <si>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</si>
  <si>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</si>
  <si>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</si>
  <si>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</si>
  <si>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</si>
  <si>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</si>
  <si>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</si>
  <si>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</si>
  <si>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</si>
  <si>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</si>
  <si>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</si>
  <si>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</si>
  <si>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</si>
  <si>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</si>
  <si>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</si>
  <si>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</si>
  <si>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</si>
  <si>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</si>
  <si>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</si>
  <si>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</si>
  <si>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</si>
  <si>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</si>
  <si>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</si>
  <si>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</si>
  <si>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</si>
  <si>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</si>
  <si>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</si>
  <si>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</si>
  <si>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</si>
  <si>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</si>
  <si>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</si>
  <si>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</si>
  <si>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</si>
  <si>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</si>
  <si>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</si>
  <si>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</si>
  <si>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</si>
  <si>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</si>
  <si>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</si>
  <si>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</si>
  <si>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</si>
  <si>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</si>
  <si>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</si>
  <si>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</si>
  <si>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</si>
  <si>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</si>
  <si>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</si>
  <si>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</si>
  <si>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</si>
  <si>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</si>
  <si>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</si>
  <si>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</si>
  <si>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</si>
  <si>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</si>
  <si>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</si>
  <si>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</si>
  <si>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</si>
  <si>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</si>
  <si>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</si>
  <si>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</si>
  <si>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</si>
  <si>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</si>
  <si>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</si>
  <si>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</si>
  <si>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</si>
  <si>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</si>
  <si>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</si>
  <si>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</si>
  <si>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</si>
  <si>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</si>
  <si>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</si>
  <si>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</si>
  <si>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</si>
  <si>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</si>
  <si>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</si>
  <si>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</si>
  <si>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</si>
  <si>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</si>
  <si>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</si>
  <si>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</si>
  <si>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</si>
  <si>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</si>
  <si>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</si>
  <si>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</si>
  <si>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</si>
  <si>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</si>
  <si>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</si>
  <si>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</si>
  <si>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</si>
  <si>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</si>
  <si>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</si>
  <si>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</si>
  <si>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</si>
  <si>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</si>
  <si>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</si>
  <si>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</si>
  <si>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</si>
  <si>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</si>
  <si>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</si>
  <si>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</si>
  <si>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</si>
  <si>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</si>
  <si>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</si>
  <si>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</si>
  <si>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</si>
  <si>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</si>
  <si>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</si>
  <si>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</si>
  <si>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</si>
  <si>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</si>
  <si>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</si>
  <si>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</si>
  <si>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</si>
  <si>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</si>
  <si>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</si>
  <si>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</si>
  <si>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</si>
  <si>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</si>
  <si>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</si>
  <si>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</si>
  <si>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</si>
  <si>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</si>
  <si>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</si>
  <si>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</si>
  <si>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</si>
  <si>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</si>
  <si>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</si>
  <si>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</si>
  <si>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</si>
  <si>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</si>
  <si>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</si>
  <si>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</si>
  <si>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</si>
  <si>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</si>
  <si>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</si>
  <si>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</si>
  <si>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</si>
  <si>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</si>
  <si>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</si>
  <si>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</si>
  <si>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</si>
  <si>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</si>
  <si>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</si>
  <si>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</si>
  <si>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</si>
  <si>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</si>
  <si>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</si>
  <si>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</si>
  <si>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</si>
  <si>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</si>
  <si>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</si>
  <si>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</si>
  <si>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</si>
  <si>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</si>
  <si>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</si>
  <si>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</si>
  <si>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</si>
  <si>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</si>
  <si>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</si>
  <si>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</si>
  <si>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</si>
  <si>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</si>
  <si>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</si>
  <si>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</si>
  <si>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</si>
  <si>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</si>
  <si>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</si>
  <si>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</si>
  <si>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</si>
  <si>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</si>
  <si>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</si>
  <si>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</si>
  <si>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</si>
  <si>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</si>
  <si>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</si>
  <si>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</si>
  <si>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</si>
  <si>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</si>
  <si>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</si>
  <si>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</si>
  <si>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</si>
  <si>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</si>
  <si>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</si>
  <si>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</si>
  <si>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</si>
  <si>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</si>
  <si>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</si>
  <si>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</si>
  <si>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</si>
  <si>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</si>
  <si>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</si>
  <si>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</si>
  <si>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</si>
  <si>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</si>
  <si>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</si>
  <si>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</si>
  <si>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</si>
  <si>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</si>
  <si>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</si>
  <si>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</si>
  <si>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</si>
  <si>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</si>
  <si>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</si>
  <si>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</si>
  <si>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</si>
  <si>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</si>
  <si>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</si>
  <si>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</si>
  <si>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</si>
  <si>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</si>
  <si>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</si>
  <si>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</si>
  <si>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</si>
  <si>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</si>
  <si>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</si>
  <si>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</si>
  <si>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</si>
  <si>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</si>
  <si>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</si>
  <si>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</si>
  <si>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</si>
  <si>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</si>
  <si>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</si>
  <si>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</si>
  <si>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</si>
  <si>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</si>
  <si>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</si>
  <si>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</si>
  <si>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</si>
  <si>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</si>
  <si>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</si>
  <si>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</si>
  <si>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</si>
  <si>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</si>
  <si>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</si>
  <si>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</si>
  <si>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</si>
  <si>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</si>
  <si>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</si>
  <si>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</si>
  <si>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</si>
  <si>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</si>
  <si>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</si>
  <si>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</si>
  <si>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</si>
  <si>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</si>
  <si>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</si>
  <si>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</si>
  <si>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</si>
  <si>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</si>
  <si>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</si>
  <si>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</si>
  <si>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</si>
  <si>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</si>
  <si>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</si>
  <si>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</si>
  <si>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</si>
  <si>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</si>
  <si>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</si>
  <si>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</si>
  <si>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</si>
  <si>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</si>
  <si>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</si>
  <si>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</si>
  <si>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</si>
  <si>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</si>
  <si>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</si>
  <si>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</si>
  <si>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</si>
  <si>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</si>
  <si>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</si>
  <si>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</si>
  <si>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</si>
  <si>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</si>
  <si>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</si>
  <si>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</si>
  <si>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</si>
  <si>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</si>
  <si>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</si>
  <si>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</si>
  <si>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</si>
  <si>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</si>
  <si>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</si>
  <si>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</si>
  <si>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</si>
  <si>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</si>
  <si>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</si>
  <si>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</si>
  <si>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</si>
  <si>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</si>
  <si>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</si>
  <si>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</si>
  <si>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</si>
  <si>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</si>
  <si>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</si>
  <si>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</si>
  <si>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</si>
  <si>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</si>
  <si>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</si>
  <si>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</si>
  <si>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</si>
  <si>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</si>
  <si>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</si>
  <si>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</si>
  <si>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</si>
  <si>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</si>
  <si>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</si>
  <si>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</si>
  <si>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</si>
  <si>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</si>
  <si>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</si>
  <si>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</si>
  <si>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</si>
  <si>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</si>
  <si>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</si>
  <si>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</si>
  <si>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</si>
  <si>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</si>
  <si>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</si>
  <si>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</si>
  <si>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</si>
  <si>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</si>
  <si>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</si>
  <si>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</si>
  <si>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</si>
  <si>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</si>
  <si>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</si>
  <si>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</si>
  <si>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</si>
  <si>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</si>
  <si>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</si>
  <si>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</si>
  <si>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</si>
  <si>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</si>
  <si>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</si>
  <si>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</si>
  <si>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</si>
  <si>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</si>
  <si>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</si>
  <si>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</si>
  <si>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</si>
  <si>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</si>
  <si>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</si>
  <si>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</si>
  <si>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</si>
  <si>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</si>
  <si>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</si>
  <si>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</si>
  <si>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</si>
  <si>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</si>
  <si>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</si>
  <si>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</si>
  <si>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</si>
  <si>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</si>
  <si>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</si>
  <si>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</si>
  <si>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</si>
  <si>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</si>
  <si>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</si>
  <si>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</si>
  <si>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</si>
  <si>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</si>
  <si>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</si>
  <si>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</si>
  <si>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</si>
  <si>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</si>
  <si>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</si>
  <si>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</si>
  <si>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</si>
  <si>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</si>
  <si>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</si>
  <si>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</si>
  <si>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</si>
  <si>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</si>
  <si>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</si>
  <si>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</si>
  <si>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</si>
  <si>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</si>
  <si>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</si>
  <si>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</si>
  <si>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</si>
  <si>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</si>
  <si>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</si>
  <si>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</si>
  <si>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</si>
  <si>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</si>
  <si>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</si>
  <si>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</si>
  <si>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</si>
  <si>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</si>
  <si>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</si>
  <si>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</si>
  <si>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</si>
  <si>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</si>
  <si>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</si>
  <si>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</si>
  <si>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</si>
  <si>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</si>
  <si>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</si>
  <si>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</si>
  <si>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</si>
  <si>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</si>
  <si>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</si>
  <si>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</si>
  <si>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</si>
  <si>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</si>
  <si>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</si>
  <si>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</si>
  <si>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</si>
  <si>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</si>
  <si>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</si>
  <si>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</si>
  <si>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</si>
  <si>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</si>
  <si>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</si>
  <si>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</si>
  <si>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</si>
  <si>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</si>
  <si>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</si>
  <si>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</si>
  <si>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</si>
  <si>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</si>
  <si>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</si>
  <si>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</si>
  <si>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</si>
  <si>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</si>
  <si>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</si>
  <si>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</si>
  <si>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</si>
  <si>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</si>
  <si>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</si>
  <si>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</si>
  <si>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</si>
  <si>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</si>
  <si>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</si>
  <si>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</si>
  <si>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</si>
  <si>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</si>
  <si>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</si>
  <si>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</si>
  <si>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</si>
  <si>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</si>
  <si>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</si>
  <si>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</si>
  <si>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</si>
  <si>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</si>
  <si>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</si>
  <si>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</si>
  <si>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</si>
  <si>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</si>
  <si>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</si>
  <si>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</si>
  <si>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</si>
  <si>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</si>
  <si>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</si>
  <si>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</si>
  <si>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</si>
  <si>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</si>
  <si>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</si>
  <si>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</si>
  <si>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</si>
  <si>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</si>
  <si>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</si>
  <si>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</si>
  <si>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</si>
  <si>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</si>
  <si>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</si>
  <si>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</si>
  <si>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</si>
  <si>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</si>
  <si>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</si>
  <si>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</si>
  <si>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</si>
  <si>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</si>
  <si>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</si>
  <si>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</si>
  <si>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</si>
  <si>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</si>
  <si>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</si>
  <si>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</si>
  <si>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</si>
  <si>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</si>
  <si>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</si>
  <si>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</si>
  <si>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</si>
  <si>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</si>
  <si>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</si>
  <si>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</si>
  <si>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</si>
  <si>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</si>
  <si>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</si>
  <si>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</si>
  <si>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Williamson</t>
  </si>
  <si>
    <t>200 East 12th Street</t>
  </si>
  <si>
    <t>Johnston City</t>
  </si>
  <si>
    <t>Mrs. Kathy Clark</t>
  </si>
  <si>
    <t>618-983-8021</t>
  </si>
  <si>
    <t>618-983-6034</t>
  </si>
  <si>
    <t>Cindy A. Bobell, CPA</t>
  </si>
  <si>
    <t xml:space="preserve">10653 Khoury League Road </t>
  </si>
  <si>
    <t>Marion</t>
  </si>
  <si>
    <t>IL</t>
  </si>
  <si>
    <t>618-997-9711</t>
  </si>
  <si>
    <t>618-997-8014</t>
  </si>
  <si>
    <t>065-022629</t>
  </si>
  <si>
    <t>cabcpa@frontier.com</t>
  </si>
  <si>
    <t>The report is qualified due to a lack of supporting documentation for the capital assets.</t>
  </si>
  <si>
    <t>General obligation Capital Appreciation Bonds, Series 2010</t>
  </si>
  <si>
    <t>General Obligation Limited School Bonds, Series 2012</t>
  </si>
  <si>
    <t>Limited School Bonds</t>
  </si>
  <si>
    <t>General Obligation Capital Appreciation</t>
  </si>
  <si>
    <t>Compass</t>
  </si>
  <si>
    <t>Il Central Bus Service</t>
  </si>
  <si>
    <t>Williamson County Educational Services</t>
  </si>
  <si>
    <t>Page 10 Line 72 - Sales to ECHO Pupils</t>
  </si>
  <si>
    <t>Page 11 Line 106 - Latchkey Fees</t>
  </si>
  <si>
    <t>Page 11 Line 107 - Athletic Entry fees and other miscellaneous</t>
  </si>
  <si>
    <t>Page 12 Line 168 - Broadband and Healthy Comm Inv Rev</t>
  </si>
  <si>
    <t>Page 13 Line 197 - Kitchen Equpment Grant</t>
  </si>
  <si>
    <t>Page 15 Line 41 - Crossing Guard and Lunch Duty salaries and benefits</t>
  </si>
  <si>
    <t>U.S. Department of Education Passed through ISBE:</t>
  </si>
  <si>
    <t>Title I: Low Income FY18 (M)</t>
  </si>
  <si>
    <t>Title I: Low Income FY19 (M)</t>
  </si>
  <si>
    <t>84.010A</t>
  </si>
  <si>
    <t>Title I: School Improvement &amp; Accountability (M)</t>
  </si>
  <si>
    <t>2018-4300</t>
  </si>
  <si>
    <t>2019-4300</t>
  </si>
  <si>
    <t>2019-4331</t>
  </si>
  <si>
    <t xml:space="preserve">   Subtotal U.S. Dept of Education passed through ISBE</t>
  </si>
  <si>
    <t>U.S. Dept of Health and Human Services Passed through IL Dept of Healthcare and Family Services</t>
  </si>
  <si>
    <t>Medical Assistance Program</t>
  </si>
  <si>
    <t>N/A</t>
  </si>
  <si>
    <t>U.S. Department of Agriculture Passed through ISBE:</t>
  </si>
  <si>
    <t>National Lunch Program FY18</t>
  </si>
  <si>
    <t>National Lunch Program FY19</t>
  </si>
  <si>
    <t>National Breakfast Program FY18</t>
  </si>
  <si>
    <t>National Breakfast Program FY19</t>
  </si>
  <si>
    <t>National Lunch Commodities Assistance (non-cash)</t>
  </si>
  <si>
    <t>National Lunch Commodities Assistance (DOD Fresh non-cash)</t>
  </si>
  <si>
    <t xml:space="preserve">   Subtotal Child Nutrition Program - Food Distribution Cluster</t>
  </si>
  <si>
    <t>NSLP Equipment Assistance Grant</t>
  </si>
  <si>
    <t>2018-4210</t>
  </si>
  <si>
    <t>2019-4210</t>
  </si>
  <si>
    <t>2018-4220</t>
  </si>
  <si>
    <t>2019-4220</t>
  </si>
  <si>
    <t>2019-4260</t>
  </si>
  <si>
    <t xml:space="preserve">   Subtotal U.S. Department of Agriculture</t>
  </si>
  <si>
    <t xml:space="preserve">      Total Federal Awards</t>
  </si>
  <si>
    <t>None</t>
  </si>
  <si>
    <r>
      <t xml:space="preserve">The following amounts were expended in the form of non-cash assistance by Johnston City Community School District and </t>
    </r>
    <r>
      <rPr>
        <b/>
        <sz val="9"/>
        <rFont val="Calibri"/>
        <family val="2"/>
        <scheme val="minor"/>
      </rPr>
      <t>should be</t>
    </r>
    <r>
      <rPr>
        <sz val="9"/>
        <rFont val="Calibri"/>
        <family val="2"/>
        <scheme val="minor"/>
      </rPr>
      <t xml:space="preserve"> included in the Schedule of Expenditures of Federal Awards:</t>
    </r>
  </si>
  <si>
    <t>Qualified and Adverse</t>
  </si>
  <si>
    <t>Unmodified</t>
  </si>
  <si>
    <t>Title I</t>
  </si>
  <si>
    <t>In order to properly safeguard and account for fixed assets, a detailed list of all fixed assets held should be maintained, including a description of the item, the date it was acquired and the cost.  The list should be updated regularly and verified periodically.</t>
  </si>
  <si>
    <t>A current list of fixed assets was not available for testing.</t>
  </si>
  <si>
    <t>The cost of maintaining a current list of fixed assets exceeds the benefit.</t>
  </si>
  <si>
    <t>A current list of assets should be prepared and maintained to better safeguard and account for fixed assets.</t>
  </si>
  <si>
    <t>The cost benefit of establishing and maintaining these controls cannot be justified.  When the value of this information exceeds the cost of obtaining it, the District will comply.</t>
  </si>
  <si>
    <t>2018-001</t>
  </si>
  <si>
    <t xml:space="preserve">Fixed assets are not properly accounted for </t>
  </si>
  <si>
    <t>and safeguarded.</t>
  </si>
  <si>
    <t>See Finding 2019-001</t>
  </si>
  <si>
    <t xml:space="preserve">      Total</t>
  </si>
  <si>
    <r>
      <t>The accompanying Schedule of Expenditures of Federal Awards includes the federal grant activity of Johnston City Community Unit School District and is presented on the</t>
    </r>
    <r>
      <rPr>
        <b/>
        <sz val="9"/>
        <rFont val="Calibri"/>
        <family val="2"/>
        <scheme val="minor"/>
      </rPr>
      <t xml:space="preserve"> 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</si>
  <si>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Johnston City Community Unit School District provided federal awards to subrecipients as follows:</t>
  </si>
  <si>
    <t>Fixed assets are not being properly safeguarded or accounted for in accordance with gererally accepted accounting principles and good internal controls.</t>
  </si>
  <si>
    <t xml:space="preserve">   Subtotal U.S. Dept of Health and Human Services (Foster Grandparent/Sr. Comp Cluster)</t>
  </si>
  <si>
    <t xml:space="preserve">   Subtotal CFDA# 10.555</t>
  </si>
  <si>
    <t xml:space="preserve">   Subtotal CFDA# 10.553</t>
  </si>
  <si>
    <t>ED - Food Service - Contractual Service</t>
  </si>
  <si>
    <t>ED - Community Service - Latchkey Supplies</t>
  </si>
  <si>
    <t>Trans - Transport Services - Contract Services</t>
  </si>
  <si>
    <t>Trans - Transport Services - Field Trips</t>
  </si>
  <si>
    <t>Trans - Other Support Services - Sports Travel</t>
  </si>
  <si>
    <t>10-2560-300</t>
  </si>
  <si>
    <t>10-3000-400</t>
  </si>
  <si>
    <t>40-2550-300</t>
  </si>
  <si>
    <t>40-2550-600</t>
  </si>
  <si>
    <t>40-2900-300</t>
  </si>
  <si>
    <t>Johnston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</si>
</sst>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83" t="s">
        <v>405</v>
      </c>
      <c r="J1" s="1984"/>
      <c r="K1" s="1984"/>
      <c r="L1" s="1984"/>
      <c r="M1" s="1984"/>
      <c r="N1" s="1984"/>
      <c r="O1" s="1984"/>
      <c r="P1" s="1984"/>
      <c r="Q1" s="1984"/>
      <c r="R1" s="1984"/>
      <c r="S1" s="1984"/>
    </row>
    <row r="2" spans="1:28" ht="12" customHeight="1" x14ac:dyDescent="0.2">
      <c r="A2" s="47" t="s">
        <v>1988</v>
      </c>
      <c r="D2" s="48"/>
      <c r="I2" s="1985" t="s">
        <v>979</v>
      </c>
      <c r="J2" s="1984"/>
      <c r="K2" s="1984"/>
      <c r="L2" s="1984"/>
      <c r="M2" s="1984"/>
      <c r="N2" s="1984"/>
      <c r="O2" s="1984"/>
      <c r="P2" s="1984"/>
      <c r="Q2" s="1984"/>
      <c r="R2" s="1984"/>
      <c r="S2" s="1984"/>
    </row>
    <row r="3" spans="1:28" ht="12" customHeight="1" x14ac:dyDescent="0.2">
      <c r="A3" s="155" t="s">
        <v>1940</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2061</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2061</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21100001026</v>
      </c>
      <c r="B13" s="2019"/>
      <c r="C13" s="2019"/>
      <c r="D13" s="2019"/>
      <c r="E13" s="2019"/>
      <c r="F13" s="2019"/>
      <c r="G13" s="2019"/>
      <c r="H13" s="2020"/>
      <c r="I13" s="31"/>
      <c r="J13" s="30"/>
      <c r="K13" s="28"/>
      <c r="L13" s="30"/>
      <c r="M13" s="30"/>
      <c r="N13" s="30"/>
      <c r="O13" s="30"/>
      <c r="P13" s="30"/>
      <c r="Q13" s="30"/>
      <c r="R13" s="30"/>
      <c r="S13" s="30"/>
      <c r="T13" s="2023" t="s">
        <v>2068</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2062</v>
      </c>
      <c r="B15" s="2021"/>
      <c r="C15" s="2021"/>
      <c r="D15" s="2021"/>
      <c r="E15" s="2021"/>
      <c r="F15" s="2021"/>
      <c r="G15" s="2021"/>
      <c r="H15" s="2022"/>
      <c r="T15" s="2027" t="s">
        <v>2068</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2149</v>
      </c>
      <c r="B17" s="1978"/>
      <c r="C17" s="1978"/>
      <c r="D17" s="1978"/>
      <c r="E17" s="1978"/>
      <c r="F17" s="1978"/>
      <c r="G17" s="1978"/>
      <c r="H17" s="2003"/>
      <c r="T17" s="2034" t="s">
        <v>2069</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2063</v>
      </c>
      <c r="B19" s="1963"/>
      <c r="C19" s="1963"/>
      <c r="D19" s="1963"/>
      <c r="E19" s="1963"/>
      <c r="F19" s="1963"/>
      <c r="G19" s="1963"/>
      <c r="H19" s="1943"/>
      <c r="I19" s="30"/>
      <c r="J19" s="99"/>
      <c r="K19" s="40"/>
      <c r="L19" s="38"/>
      <c r="M19" s="112" t="s">
        <v>315</v>
      </c>
      <c r="P19" s="27"/>
      <c r="Q19" s="27"/>
      <c r="R19" s="27"/>
      <c r="S19" s="31"/>
      <c r="T19" s="2017" t="s">
        <v>2070</v>
      </c>
      <c r="U19" s="1942"/>
      <c r="V19" s="1942"/>
      <c r="W19" s="1943"/>
      <c r="X19" s="2032" t="s">
        <v>2071</v>
      </c>
      <c r="Y19" s="2033"/>
      <c r="Z19" s="2030">
        <v>62959</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2064</v>
      </c>
      <c r="B21" s="1942"/>
      <c r="C21" s="1942"/>
      <c r="D21" s="1942"/>
      <c r="E21" s="1942"/>
      <c r="F21" s="1942"/>
      <c r="G21" s="1942"/>
      <c r="H21" s="1943"/>
      <c r="I21" s="1997" t="s">
        <v>678</v>
      </c>
      <c r="J21" s="1992"/>
      <c r="K21" s="1992"/>
      <c r="L21" s="1992"/>
      <c r="M21" s="1992"/>
      <c r="N21" s="1992"/>
      <c r="O21" s="1992"/>
      <c r="P21" s="1992"/>
      <c r="Q21" s="1992"/>
      <c r="R21" s="1992"/>
      <c r="S21" s="1998"/>
      <c r="T21" s="2041" t="s">
        <v>2072</v>
      </c>
      <c r="U21" s="2042"/>
      <c r="V21" s="2042"/>
      <c r="W21" s="2042"/>
      <c r="X21" s="2047" t="s">
        <v>2073</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2074</v>
      </c>
      <c r="U23" s="2040"/>
      <c r="V23" s="2040"/>
      <c r="W23" s="2040"/>
      <c r="X23" s="2044">
        <v>44469</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62951</v>
      </c>
      <c r="B25" s="1942"/>
      <c r="C25" s="1942"/>
      <c r="D25" s="1942"/>
      <c r="E25" s="1942"/>
      <c r="F25" s="1942"/>
      <c r="G25" s="1942"/>
      <c r="H25" s="1943"/>
      <c r="I25" s="113"/>
      <c r="J25" s="1966"/>
      <c r="K25" s="1966"/>
      <c r="L25" s="1966"/>
      <c r="M25" s="1966"/>
      <c r="N25" s="1966"/>
      <c r="O25" s="1966"/>
      <c r="P25" s="1966"/>
      <c r="Q25" s="1966"/>
      <c r="R25" s="1966"/>
      <c r="S25" s="1967"/>
      <c r="T25" s="2037" t="s">
        <v>2075</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2061</v>
      </c>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2065</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2066</v>
      </c>
      <c r="B42" s="1961"/>
      <c r="C42" s="1962"/>
      <c r="D42" s="1960" t="s">
        <v>2067</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 xml:space="preserve">&amp;L&amp;8Printed: &amp;D
&amp;F&amp;R
B - i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1799</v>
      </c>
      <c r="B2" s="1528" t="s">
        <v>1946</v>
      </c>
      <c r="C2" s="714" t="s">
        <v>1947</v>
      </c>
      <c r="D2" s="714" t="s">
        <v>1948</v>
      </c>
      <c r="E2" s="714" t="s">
        <v>1949</v>
      </c>
      <c r="F2" s="714" t="s">
        <v>1950</v>
      </c>
    </row>
    <row r="3" spans="1:6" ht="12" customHeight="1" x14ac:dyDescent="0.2">
      <c r="A3" s="2184"/>
      <c r="B3" s="1525"/>
      <c r="C3" s="1526"/>
      <c r="D3" s="1527" t="s">
        <v>256</v>
      </c>
      <c r="E3" s="1526"/>
      <c r="F3" s="1527" t="s">
        <v>257</v>
      </c>
    </row>
    <row r="4" spans="1:6" ht="13.7" customHeight="1" x14ac:dyDescent="0.2">
      <c r="A4" s="715" t="s">
        <v>1155</v>
      </c>
      <c r="B4" s="1749">
        <f>'Revenues 9-14'!C5</f>
        <v>1886740</v>
      </c>
      <c r="C4" s="1524"/>
      <c r="D4" s="1752">
        <f>B4-C4</f>
        <v>1886740</v>
      </c>
      <c r="E4" s="1524"/>
      <c r="F4" s="1752">
        <f>E4-C4</f>
        <v>0</v>
      </c>
    </row>
    <row r="5" spans="1:6" ht="13.7" customHeight="1" x14ac:dyDescent="0.2">
      <c r="A5" s="715" t="s">
        <v>870</v>
      </c>
      <c r="B5" s="1750">
        <f>'Revenues 9-14'!D5</f>
        <v>332929</v>
      </c>
      <c r="C5" s="585"/>
      <c r="D5" s="1753">
        <f t="shared" ref="D5:D18" si="0">B5-C5</f>
        <v>332929</v>
      </c>
      <c r="E5" s="585"/>
      <c r="F5" s="1753">
        <f>E5-C5</f>
        <v>0</v>
      </c>
    </row>
    <row r="6" spans="1:6" ht="13.7" customHeight="1" x14ac:dyDescent="0.2">
      <c r="A6" s="715" t="s">
        <v>411</v>
      </c>
      <c r="B6" s="1750">
        <f>'Revenues 9-14'!E5</f>
        <v>688402</v>
      </c>
      <c r="C6" s="585"/>
      <c r="D6" s="1753">
        <f t="shared" si="0"/>
        <v>688402</v>
      </c>
      <c r="E6" s="585"/>
      <c r="F6" s="1753">
        <f t="shared" ref="F6:F18" si="1">E6-C6</f>
        <v>0</v>
      </c>
    </row>
    <row r="7" spans="1:6" ht="13.7" customHeight="1" x14ac:dyDescent="0.2">
      <c r="A7" s="715" t="s">
        <v>155</v>
      </c>
      <c r="B7" s="1750">
        <f>'Revenues 9-14'!F5</f>
        <v>171753</v>
      </c>
      <c r="C7" s="585"/>
      <c r="D7" s="1753">
        <f t="shared" si="0"/>
        <v>171753</v>
      </c>
      <c r="E7" s="585"/>
      <c r="F7" s="1753">
        <f t="shared" si="1"/>
        <v>0</v>
      </c>
    </row>
    <row r="8" spans="1:6" ht="13.7" customHeight="1" x14ac:dyDescent="0.2">
      <c r="A8" s="715" t="s">
        <v>1179</v>
      </c>
      <c r="B8" s="1750">
        <f>'Revenues 9-14'!G5</f>
        <v>195253</v>
      </c>
      <c r="C8" s="585"/>
      <c r="D8" s="1753">
        <f t="shared" si="0"/>
        <v>195253</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30872</v>
      </c>
      <c r="C10" s="585"/>
      <c r="D10" s="1753">
        <f t="shared" si="0"/>
        <v>30872</v>
      </c>
      <c r="E10" s="585"/>
      <c r="F10" s="1753">
        <f t="shared" si="1"/>
        <v>0</v>
      </c>
    </row>
    <row r="11" spans="1:6" x14ac:dyDescent="0.2">
      <c r="A11" s="715" t="s">
        <v>409</v>
      </c>
      <c r="B11" s="1750">
        <f>'Revenues 9-14'!J5</f>
        <v>154370</v>
      </c>
      <c r="C11" s="585"/>
      <c r="D11" s="1753">
        <f t="shared" si="0"/>
        <v>154370</v>
      </c>
      <c r="E11" s="585"/>
      <c r="F11" s="1753">
        <f t="shared" si="1"/>
        <v>0</v>
      </c>
    </row>
    <row r="12" spans="1:6" ht="13.7" customHeight="1" x14ac:dyDescent="0.2">
      <c r="A12" s="715" t="s">
        <v>157</v>
      </c>
      <c r="B12" s="1750">
        <f>'Revenues 9-14'!K5</f>
        <v>30872</v>
      </c>
      <c r="C12" s="585"/>
      <c r="D12" s="1753">
        <f t="shared" si="0"/>
        <v>30872</v>
      </c>
      <c r="E12" s="585"/>
      <c r="F12" s="1753">
        <f t="shared" si="1"/>
        <v>0</v>
      </c>
    </row>
    <row r="13" spans="1:6" ht="13.7" customHeight="1" x14ac:dyDescent="0.2">
      <c r="A13" s="715" t="s">
        <v>936</v>
      </c>
      <c r="B13" s="1750">
        <f>SUM('Revenues 9-14'!C6:D6)</f>
        <v>7678</v>
      </c>
      <c r="C13" s="585"/>
      <c r="D13" s="1753">
        <f t="shared" si="0"/>
        <v>7678</v>
      </c>
      <c r="E13" s="585"/>
      <c r="F13" s="1753">
        <f t="shared" si="1"/>
        <v>0</v>
      </c>
    </row>
    <row r="14" spans="1:6" ht="13.7" customHeight="1" x14ac:dyDescent="0.2">
      <c r="A14" s="715" t="s">
        <v>410</v>
      </c>
      <c r="B14" s="1750">
        <f>SUM('Revenues 9-14'!C7:D7,'Revenues 9-14'!F7:H7)</f>
        <v>30872</v>
      </c>
      <c r="C14" s="585"/>
      <c r="D14" s="1753">
        <f t="shared" si="0"/>
        <v>30872</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3529741</v>
      </c>
      <c r="C19" s="1751">
        <f>SUM(C4:C18)</f>
        <v>0</v>
      </c>
      <c r="D19" s="1751">
        <f>SUM(D4:D18)</f>
        <v>3529741</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3"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1799</v>
      </c>
      <c r="B2" s="2211"/>
      <c r="C2" s="1884" t="s">
        <v>1951</v>
      </c>
      <c r="D2" s="723" t="s">
        <v>1952</v>
      </c>
      <c r="E2" s="723" t="s">
        <v>1953</v>
      </c>
      <c r="F2" s="1884" t="s">
        <v>1954</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t="s">
        <v>2077</v>
      </c>
      <c r="B31" s="733">
        <v>40197</v>
      </c>
      <c r="C31" s="734">
        <v>5696960</v>
      </c>
      <c r="D31" s="735">
        <v>8</v>
      </c>
      <c r="E31" s="734">
        <v>3674301</v>
      </c>
      <c r="F31" s="734"/>
      <c r="G31" s="734"/>
      <c r="H31" s="734">
        <v>415961</v>
      </c>
      <c r="I31" s="1756">
        <f>((E31+F31)-H31)+G31</f>
        <v>3258340</v>
      </c>
      <c r="J31" s="734">
        <v>2969827</v>
      </c>
      <c r="K31" s="736"/>
    </row>
    <row r="32" spans="1:11" ht="12" customHeight="1" x14ac:dyDescent="0.2">
      <c r="A32" s="732" t="s">
        <v>2078</v>
      </c>
      <c r="B32" s="733">
        <v>41244</v>
      </c>
      <c r="C32" s="734">
        <v>5500000</v>
      </c>
      <c r="D32" s="735">
        <v>7</v>
      </c>
      <c r="E32" s="734">
        <v>3230000</v>
      </c>
      <c r="F32" s="734"/>
      <c r="G32" s="734"/>
      <c r="H32" s="734">
        <v>605000</v>
      </c>
      <c r="I32" s="1756">
        <f>((E32+F32)-H32)+G32</f>
        <v>2625000</v>
      </c>
      <c r="J32" s="734">
        <v>2625000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11196960</v>
      </c>
      <c r="D49" s="745"/>
      <c r="E49" s="1756">
        <f t="shared" ref="E49:J49" si="2">SUM(E31:E48)</f>
        <v>6904301</v>
      </c>
      <c r="F49" s="1756">
        <f t="shared" si="2"/>
        <v>0</v>
      </c>
      <c r="G49" s="1756">
        <f t="shared" si="2"/>
        <v>0</v>
      </c>
      <c r="H49" s="1756">
        <f t="shared" si="2"/>
        <v>1020961</v>
      </c>
      <c r="I49" s="1756">
        <f t="shared" si="2"/>
        <v>5883340</v>
      </c>
      <c r="J49" s="1756">
        <f t="shared" si="2"/>
        <v>5594827</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t="s">
        <v>2079</v>
      </c>
      <c r="G52" s="2188"/>
      <c r="H52" s="736"/>
      <c r="I52" s="736"/>
      <c r="J52" s="746"/>
    </row>
    <row r="53" spans="1:11" ht="11.25" customHeight="1" x14ac:dyDescent="0.2">
      <c r="A53" s="750" t="s">
        <v>913</v>
      </c>
      <c r="B53" s="751" t="s">
        <v>951</v>
      </c>
      <c r="C53" s="746"/>
      <c r="D53" s="737"/>
      <c r="E53" s="749" t="s">
        <v>497</v>
      </c>
      <c r="F53" s="2189" t="s">
        <v>2080</v>
      </c>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1809</v>
      </c>
      <c r="K2" s="762" t="s">
        <v>138</v>
      </c>
    </row>
    <row r="3" spans="1:11" x14ac:dyDescent="0.2">
      <c r="A3" s="2236" t="s">
        <v>1959</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30872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f>31269+730018</f>
        <v>761287</v>
      </c>
      <c r="K8" s="769"/>
    </row>
    <row r="9" spans="1:11" x14ac:dyDescent="0.2">
      <c r="A9" s="778" t="s">
        <v>138</v>
      </c>
      <c r="B9" s="779"/>
      <c r="C9" s="779"/>
      <c r="D9" s="779"/>
      <c r="E9" s="780"/>
      <c r="F9" s="777" t="s">
        <v>853</v>
      </c>
      <c r="G9" s="782"/>
      <c r="H9" s="771"/>
      <c r="I9" s="771"/>
      <c r="J9" s="781"/>
      <c r="K9" s="765">
        <v>13035</v>
      </c>
    </row>
    <row r="10" spans="1:11" x14ac:dyDescent="0.2">
      <c r="A10" s="2217" t="s">
        <v>1810</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30872</v>
      </c>
      <c r="I12" s="1758">
        <f>SUM(I5:I11)</f>
        <v>0</v>
      </c>
      <c r="J12" s="1758">
        <f>SUM(J5:J11)</f>
        <v>761287</v>
      </c>
      <c r="K12" s="1758">
        <f>SUM(K5:K11)</f>
        <v>13035</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c r="I14" s="771"/>
      <c r="J14" s="773"/>
      <c r="K14" s="765">
        <v>13035</v>
      </c>
    </row>
    <row r="15" spans="1:11" x14ac:dyDescent="0.2">
      <c r="A15" s="2218" t="s">
        <v>4</v>
      </c>
      <c r="B15" s="2218"/>
      <c r="C15" s="2218"/>
      <c r="D15" s="2218"/>
      <c r="E15" s="2219"/>
      <c r="F15" s="789" t="s">
        <v>855</v>
      </c>
      <c r="G15" s="771"/>
      <c r="H15" s="764"/>
      <c r="I15" s="764"/>
      <c r="J15" s="765">
        <v>730018</v>
      </c>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1806</v>
      </c>
      <c r="B19" s="2226"/>
      <c r="C19" s="2226"/>
      <c r="D19" s="2226"/>
      <c r="E19" s="2227"/>
      <c r="F19" s="789" t="s">
        <v>933</v>
      </c>
      <c r="G19" s="782"/>
      <c r="H19" s="782"/>
      <c r="I19" s="782"/>
      <c r="J19" s="765">
        <v>31269</v>
      </c>
      <c r="K19" s="795"/>
    </row>
    <row r="20" spans="1:11" x14ac:dyDescent="0.2">
      <c r="A20" s="2228" t="s">
        <v>1811</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31269</v>
      </c>
      <c r="K21" s="793"/>
    </row>
    <row r="22" spans="1:11" ht="13.5" thickTop="1" x14ac:dyDescent="0.2">
      <c r="A22" s="2218" t="s">
        <v>1812</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0</v>
      </c>
      <c r="I23" s="1758">
        <f>SUM(I14:I16,I21,I22)</f>
        <v>0</v>
      </c>
      <c r="J23" s="1758">
        <f>SUM(J14:J16,J21,J22)</f>
        <v>761287</v>
      </c>
      <c r="K23" s="1758">
        <f>SUM(K14:K16,K21,K22)</f>
        <v>13035</v>
      </c>
    </row>
    <row r="24" spans="1:11" ht="14.25" thickTop="1" thickBot="1" x14ac:dyDescent="0.25">
      <c r="A24" s="2248" t="s">
        <v>1960</v>
      </c>
      <c r="B24" s="2247"/>
      <c r="C24" s="2247"/>
      <c r="D24" s="2247"/>
      <c r="E24" s="2247"/>
      <c r="F24" s="1762"/>
      <c r="G24" s="1763">
        <f>SUM(G3,G12)-G23</f>
        <v>0</v>
      </c>
      <c r="H24" s="1763">
        <f>SUM(H3,H12)-H23</f>
        <v>30872</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30872</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2" sqref="H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1905</v>
      </c>
      <c r="B1" s="2254"/>
      <c r="C1" s="2255"/>
      <c r="D1" s="826"/>
      <c r="E1" s="827"/>
      <c r="F1" s="827"/>
      <c r="G1" s="828"/>
      <c r="H1" s="829"/>
      <c r="I1" s="830"/>
      <c r="J1" s="2251"/>
      <c r="K1" s="2252"/>
      <c r="L1" s="2252"/>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81746</v>
      </c>
      <c r="D5" s="841"/>
      <c r="E5" s="841"/>
      <c r="F5" s="1760">
        <f>(C5+D5)-E5</f>
        <v>81746</v>
      </c>
      <c r="G5" s="837"/>
      <c r="H5" s="842"/>
      <c r="I5" s="842"/>
      <c r="J5" s="842"/>
      <c r="K5" s="793"/>
      <c r="L5" s="1769">
        <f>F5-K5</f>
        <v>81746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12684081</v>
      </c>
      <c r="D8" s="844"/>
      <c r="E8" s="844"/>
      <c r="F8" s="1760">
        <f>(C8+D8)-E8</f>
        <v>12684081</v>
      </c>
      <c r="G8" s="843">
        <v>50</v>
      </c>
      <c r="H8" s="765">
        <v>6459690</v>
      </c>
      <c r="I8" s="765">
        <v>269277</v>
      </c>
      <c r="J8" s="765"/>
      <c r="K8" s="1769">
        <f>(H8+I8)-J8</f>
        <v>6728967</v>
      </c>
      <c r="L8" s="1769">
        <f>F8-K8</f>
        <v>5955114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11417574</v>
      </c>
      <c r="D10" s="846">
        <v>383772</v>
      </c>
      <c r="E10" s="846"/>
      <c r="F10" s="1764">
        <f>(C10+D10)-E10</f>
        <v>11801346</v>
      </c>
      <c r="G10" s="843">
        <v>20</v>
      </c>
      <c r="H10" s="847">
        <v>3327220</v>
      </c>
      <c r="I10" s="847">
        <v>555575</v>
      </c>
      <c r="J10" s="847"/>
      <c r="K10" s="1769">
        <f>(H10+I10)-J10</f>
        <v>3882795</v>
      </c>
      <c r="L10" s="1769">
        <f>F10-K10</f>
        <v>7918551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2548095</v>
      </c>
      <c r="D12" s="844">
        <v>114401</v>
      </c>
      <c r="E12" s="844"/>
      <c r="F12" s="1760">
        <f>(C12+D12)-E12</f>
        <v>2662496</v>
      </c>
      <c r="G12" s="843">
        <v>10</v>
      </c>
      <c r="H12" s="765">
        <v>2316084</v>
      </c>
      <c r="I12" s="765">
        <v>88345</v>
      </c>
      <c r="J12" s="765"/>
      <c r="K12" s="1769">
        <f>(H12+I12)-J12</f>
        <v>2404429</v>
      </c>
      <c r="L12" s="1769">
        <f>F12-K12</f>
        <v>258067</v>
      </c>
    </row>
    <row r="13" spans="1:14" ht="14.25" thickTop="1" thickBot="1" x14ac:dyDescent="0.25">
      <c r="A13" s="848" t="s">
        <v>1122</v>
      </c>
      <c r="B13" s="840">
        <v>252</v>
      </c>
      <c r="C13" s="844">
        <v>89626</v>
      </c>
      <c r="D13" s="844"/>
      <c r="E13" s="844"/>
      <c r="F13" s="1760">
        <f>(C13+D13)-E13</f>
        <v>89626</v>
      </c>
      <c r="G13" s="843">
        <v>5</v>
      </c>
      <c r="H13" s="765">
        <v>89626</v>
      </c>
      <c r="I13" s="765"/>
      <c r="J13" s="765"/>
      <c r="K13" s="1769">
        <f>(H13+I13)-J13</f>
        <v>89626</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48951</v>
      </c>
      <c r="E15" s="844"/>
      <c r="F15" s="1760">
        <f>(C15+D15)-E15</f>
        <v>48951</v>
      </c>
      <c r="G15" s="849" t="s">
        <v>862</v>
      </c>
      <c r="H15" s="781"/>
      <c r="I15" s="781"/>
      <c r="J15" s="781"/>
      <c r="K15" s="781"/>
      <c r="L15" s="1769">
        <f>F15-K15</f>
        <v>48951</v>
      </c>
    </row>
    <row r="16" spans="1:14" ht="15" customHeight="1" thickTop="1" thickBot="1" x14ac:dyDescent="0.25">
      <c r="A16" s="1765" t="s">
        <v>643</v>
      </c>
      <c r="B16" s="1766">
        <v>200</v>
      </c>
      <c r="C16" s="1760">
        <f>SUM(C3,C5:C6,C8:C10,C12:C15)</f>
        <v>26821122</v>
      </c>
      <c r="D16" s="1760">
        <f>SUM(D3,D5:D6,D8:D10,D12:D15)</f>
        <v>547124</v>
      </c>
      <c r="E16" s="1760">
        <f>SUM(E3,E5:E6,E8:E10,E12:E15)</f>
        <v>0</v>
      </c>
      <c r="F16" s="1760">
        <f>SUM(F3,F5:F6,F8:F10,F12:F15)</f>
        <v>27368246</v>
      </c>
      <c r="G16" s="843"/>
      <c r="H16" s="1760">
        <f>SUM(H3,H6,H8:H10,H12:H14,)</f>
        <v>12192620</v>
      </c>
      <c r="I16" s="1760">
        <f>SUM(I3,I6,I8:I10,I12:I14,)</f>
        <v>913197</v>
      </c>
      <c r="J16" s="1760">
        <f>SUM(J3,J6,J8:J10,J12:J14,)</f>
        <v>0</v>
      </c>
      <c r="K16" s="1760">
        <f>(H16+I16)-J16</f>
        <v>13105817</v>
      </c>
      <c r="L16" s="1760">
        <f>F16-K16</f>
        <v>14262429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913197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8"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1970</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9190841</v>
      </c>
      <c r="G8" s="865"/>
    </row>
    <row r="9" spans="1:7" x14ac:dyDescent="0.2">
      <c r="A9" s="869" t="s">
        <v>460</v>
      </c>
      <c r="B9" s="870" t="s">
        <v>1873</v>
      </c>
      <c r="C9" s="871"/>
      <c r="D9" s="869" t="s">
        <v>501</v>
      </c>
      <c r="E9" s="868"/>
      <c r="F9" s="1909">
        <f>'Expenditures 15-22'!K151</f>
        <v>963845</v>
      </c>
      <c r="G9" s="872"/>
    </row>
    <row r="10" spans="1:7" x14ac:dyDescent="0.2">
      <c r="A10" s="869" t="s">
        <v>499</v>
      </c>
      <c r="B10" s="870" t="s">
        <v>1874</v>
      </c>
      <c r="C10" s="871"/>
      <c r="D10" s="869" t="s">
        <v>501</v>
      </c>
      <c r="E10" s="868"/>
      <c r="F10" s="1909">
        <f>'Expenditures 15-22'!K174</f>
        <v>1280858</v>
      </c>
      <c r="G10" s="872"/>
    </row>
    <row r="11" spans="1:7" x14ac:dyDescent="0.2">
      <c r="A11" s="869" t="s">
        <v>461</v>
      </c>
      <c r="B11" s="870" t="s">
        <v>1875</v>
      </c>
      <c r="C11" s="871"/>
      <c r="D11" s="869" t="s">
        <v>501</v>
      </c>
      <c r="E11" s="868"/>
      <c r="F11" s="1909">
        <f>'Expenditures 15-22'!K210</f>
        <v>456970</v>
      </c>
      <c r="G11" s="872"/>
    </row>
    <row r="12" spans="1:7" x14ac:dyDescent="0.2">
      <c r="A12" s="869" t="s">
        <v>462</v>
      </c>
      <c r="B12" s="870" t="s">
        <v>1876</v>
      </c>
      <c r="C12" s="871"/>
      <c r="D12" s="869" t="s">
        <v>501</v>
      </c>
      <c r="E12" s="868"/>
      <c r="F12" s="1909">
        <f>'Expenditures 15-22'!K295</f>
        <v>222230</v>
      </c>
      <c r="G12" s="872"/>
    </row>
    <row r="13" spans="1:7" x14ac:dyDescent="0.2">
      <c r="A13" s="869" t="s">
        <v>106</v>
      </c>
      <c r="B13" s="870" t="s">
        <v>1877</v>
      </c>
      <c r="C13" s="871"/>
      <c r="D13" s="869" t="s">
        <v>501</v>
      </c>
      <c r="E13" s="868"/>
      <c r="F13" s="1909">
        <f>'Expenditures 15-22'!K342</f>
        <v>166890</v>
      </c>
      <c r="G13" s="873"/>
    </row>
    <row r="14" spans="1:7" ht="12" customHeight="1" thickBot="1" x14ac:dyDescent="0.25">
      <c r="A14" s="1770"/>
      <c r="B14" s="1771"/>
      <c r="C14" s="1772"/>
      <c r="D14" s="1773" t="s">
        <v>501</v>
      </c>
      <c r="E14" s="1774" t="s">
        <v>958</v>
      </c>
      <c r="F14" s="1775">
        <f>SUM(F8:F13)</f>
        <v>12281634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37743</v>
      </c>
      <c r="G52" s="865"/>
    </row>
    <row r="53" spans="1:7" x14ac:dyDescent="0.2">
      <c r="A53" s="869" t="s">
        <v>459</v>
      </c>
      <c r="B53" s="869" t="s">
        <v>1475</v>
      </c>
      <c r="C53" s="889">
        <f>'Expenditures 15-22'!B102</f>
        <v>4000</v>
      </c>
      <c r="D53" s="888" t="str">
        <f>'Expenditures 15-22'!A102</f>
        <v>Total Payments to Other Govt Units</v>
      </c>
      <c r="E53" s="868"/>
      <c r="F53" s="1913">
        <f>'Expenditures 15-22'!K102</f>
        <v>1210313</v>
      </c>
      <c r="G53" s="865"/>
    </row>
    <row r="54" spans="1:7" x14ac:dyDescent="0.2">
      <c r="A54" s="869" t="s">
        <v>459</v>
      </c>
      <c r="B54" s="869" t="s">
        <v>1476</v>
      </c>
      <c r="C54" s="889" t="s">
        <v>982</v>
      </c>
      <c r="D54" s="885" t="s">
        <v>1095</v>
      </c>
      <c r="E54" s="868"/>
      <c r="F54" s="1913">
        <f>'Expenditures 15-22'!G114</f>
        <v>71045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11493</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1020961</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63040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5035</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2419630</v>
      </c>
      <c r="G76" s="865"/>
    </row>
    <row r="77" spans="1:8" s="893" customFormat="1" ht="12" customHeight="1" thickTop="1" thickBot="1" x14ac:dyDescent="0.25">
      <c r="A77" s="1779"/>
      <c r="B77" s="1776"/>
      <c r="C77" s="1772"/>
      <c r="D77" s="1777" t="s">
        <v>1896</v>
      </c>
      <c r="E77" s="1774"/>
      <c r="F77" s="1780">
        <f>(F14-F76)</f>
        <v>9862004</v>
      </c>
      <c r="G77" s="869"/>
    </row>
    <row r="78" spans="1:8" s="893" customFormat="1" ht="12" customHeight="1" thickTop="1" x14ac:dyDescent="0.2">
      <c r="A78" s="1781"/>
      <c r="B78" s="1776"/>
      <c r="C78" s="1772"/>
      <c r="D78" s="1777" t="s">
        <v>2057</v>
      </c>
      <c r="E78" s="1774"/>
      <c r="F78" s="898">
        <v>1014.8</v>
      </c>
      <c r="G78" s="899"/>
      <c r="H78" s="869"/>
    </row>
    <row r="79" spans="1:8" s="893" customFormat="1" ht="12" customHeight="1" thickBot="1" x14ac:dyDescent="0.25">
      <c r="A79" s="1782"/>
      <c r="B79" s="1776"/>
      <c r="C79" s="1772"/>
      <c r="D79" s="1777" t="s">
        <v>1897</v>
      </c>
      <c r="E79" s="1774" t="s">
        <v>958</v>
      </c>
      <c r="F79" s="1783">
        <f>IF(F78&gt;0,F77/F78," Complete Line 78")</f>
        <v>9718.1750098541597</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7253</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176446</v>
      </c>
      <c r="G94" s="912"/>
    </row>
    <row r="95" spans="1:7" x14ac:dyDescent="0.2">
      <c r="A95" s="908" t="s">
        <v>140</v>
      </c>
      <c r="B95" s="908" t="s">
        <v>175</v>
      </c>
      <c r="C95" s="910">
        <v>1700</v>
      </c>
      <c r="D95" s="918" t="str">
        <f>'Revenues 9-14'!A82</f>
        <v>Total District/School Activity Income</v>
      </c>
      <c r="E95" s="906"/>
      <c r="F95" s="1789">
        <f>SUM('Revenues 9-14'!C82,'Revenues 9-14'!D82)</f>
        <v>37695</v>
      </c>
      <c r="G95" s="912"/>
    </row>
    <row r="96" spans="1:7" x14ac:dyDescent="0.2">
      <c r="A96" s="908" t="s">
        <v>459</v>
      </c>
      <c r="B96" s="908" t="s">
        <v>176</v>
      </c>
      <c r="C96" s="910">
        <f>'Revenues 9-14'!B84</f>
        <v>1811</v>
      </c>
      <c r="D96" s="911" t="str">
        <f>'Revenues 9-14'!A84</f>
        <v>Rentals - Regular Textbooks</v>
      </c>
      <c r="E96" s="906"/>
      <c r="F96" s="1789">
        <f>'Revenues 9-14'!C84</f>
        <v>21057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34653</v>
      </c>
      <c r="G104" s="912"/>
    </row>
    <row r="105" spans="1:7" x14ac:dyDescent="0.2">
      <c r="A105" s="908" t="s">
        <v>503</v>
      </c>
      <c r="B105" s="908" t="s">
        <v>1998</v>
      </c>
      <c r="C105" s="913">
        <v>3100</v>
      </c>
      <c r="D105" s="919" t="str">
        <f>'Revenues 9-14'!A132</f>
        <v>Total Special Education</v>
      </c>
      <c r="E105" s="906"/>
      <c r="F105" s="1789">
        <f>SUM('Revenues 9-14'!C132:D132,'Revenues 9-14'!F132)</f>
        <v>94472</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60761</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6952</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15533</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192965</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63296</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393892</v>
      </c>
      <c r="G125" s="930"/>
    </row>
    <row r="126" spans="1:7" x14ac:dyDescent="0.2">
      <c r="A126" s="927" t="s">
        <v>668</v>
      </c>
      <c r="B126" s="927" t="s">
        <v>2019</v>
      </c>
      <c r="C126" s="932">
        <v>4300</v>
      </c>
      <c r="D126" s="933" t="str">
        <f>'Revenues 9-14'!A204</f>
        <v>Total Title I</v>
      </c>
      <c r="E126" s="906"/>
      <c r="F126" s="1789">
        <f>SUM('Revenues 9-14'!C204,'Revenues 9-14'!D204,'Revenues 9-14'!F204,'Revenues 9-14'!G204)</f>
        <v>472800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4951</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7465</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213234</v>
      </c>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1803425</v>
      </c>
    </row>
    <row r="175" spans="1:7" ht="12" customHeight="1" x14ac:dyDescent="0.2">
      <c r="A175" s="1770"/>
      <c r="B175" s="1784"/>
      <c r="C175" s="1785"/>
      <c r="D175" s="1786" t="s">
        <v>2052</v>
      </c>
      <c r="E175" s="1787"/>
      <c r="F175" s="1789">
        <f>'PCTC-OEPP 27-28'!F77-F174</f>
        <v>8058579</v>
      </c>
    </row>
    <row r="176" spans="1:7" ht="12" customHeight="1" x14ac:dyDescent="0.2">
      <c r="A176" s="1770"/>
      <c r="B176" s="1784"/>
      <c r="C176" s="1785"/>
      <c r="D176" s="1786" t="s">
        <v>1814</v>
      </c>
      <c r="E176" s="1787"/>
      <c r="F176" s="1789">
        <f>'Cap Outlay Deprec 26'!I18</f>
        <v>913197</v>
      </c>
    </row>
    <row r="177" spans="1:7" ht="12" customHeight="1" x14ac:dyDescent="0.2">
      <c r="A177" s="1770"/>
      <c r="B177" s="1784"/>
      <c r="C177" s="1785"/>
      <c r="D177" s="1786" t="s">
        <v>2053</v>
      </c>
      <c r="E177" s="1787"/>
      <c r="F177" s="1789">
        <f>F175+F176</f>
        <v>8971776</v>
      </c>
    </row>
    <row r="178" spans="1:7" ht="12" customHeight="1" x14ac:dyDescent="0.2">
      <c r="A178" s="1770"/>
      <c r="B178" s="1790"/>
      <c r="C178" s="1785"/>
      <c r="D178" s="1786" t="str">
        <f>D78</f>
        <v>9 Month ADA from District Average Daily Attendance/Prior General State Aid Inquiry 2018-2019</v>
      </c>
      <c r="E178" s="1787"/>
      <c r="F178" s="1791">
        <f>'PCTC-OEPP 27-28'!F78</f>
        <v>1014.8</v>
      </c>
      <c r="G178" s="930"/>
    </row>
    <row r="179" spans="1:7" ht="12" customHeight="1" thickBot="1" x14ac:dyDescent="0.25">
      <c r="A179" s="1770"/>
      <c r="B179" s="1790"/>
      <c r="C179" s="1785"/>
      <c r="D179" s="1786" t="s">
        <v>2054</v>
      </c>
      <c r="E179" s="1787" t="s">
        <v>1545</v>
      </c>
      <c r="F179" s="1792">
        <f>F177/F178</f>
        <v>8840.9302325581393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22" sqref="B2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1815</v>
      </c>
      <c r="B4" s="2271"/>
      <c r="C4" s="2271"/>
      <c r="D4" s="2271"/>
      <c r="E4" s="2271"/>
      <c r="F4" s="2271"/>
      <c r="G4" s="2272"/>
    </row>
    <row r="5" spans="1:7" x14ac:dyDescent="0.25">
      <c r="A5" s="2273"/>
      <c r="B5" s="2274"/>
      <c r="C5" s="2274"/>
      <c r="D5" s="2274"/>
      <c r="E5" s="2274"/>
      <c r="F5" s="2274"/>
      <c r="G5" s="2275"/>
    </row>
    <row r="6" spans="1:7" ht="18.75" x14ac:dyDescent="0.25">
      <c r="A6" s="1534" t="s">
        <v>1816</v>
      </c>
      <c r="B6" s="1535"/>
      <c r="C6" s="1535"/>
      <c r="D6" s="1535"/>
      <c r="E6" s="1535"/>
      <c r="F6" s="1535"/>
      <c r="G6" s="1536"/>
    </row>
    <row r="7" spans="1:7" ht="30.75" customHeight="1" x14ac:dyDescent="0.25">
      <c r="A7" s="2276" t="s">
        <v>1928</v>
      </c>
      <c r="B7" s="2277"/>
      <c r="C7" s="2277"/>
      <c r="D7" s="2277"/>
      <c r="E7" s="2277"/>
      <c r="F7" s="2277"/>
      <c r="G7" s="2278"/>
    </row>
    <row r="8" spans="1:7" ht="15.75" customHeight="1" x14ac:dyDescent="0.25">
      <c r="A8" s="2279" t="s">
        <v>1903</v>
      </c>
      <c r="B8" s="2280"/>
      <c r="C8" s="2280"/>
      <c r="D8" s="2280"/>
      <c r="E8" s="2280"/>
      <c r="F8" s="2280"/>
      <c r="G8" s="2281"/>
    </row>
    <row r="9" spans="1:7" ht="35.25" customHeight="1" x14ac:dyDescent="0.25">
      <c r="A9" s="2276" t="s">
        <v>2060</v>
      </c>
      <c r="B9" s="2277"/>
      <c r="C9" s="2277"/>
      <c r="D9" s="2277"/>
      <c r="E9" s="2277"/>
      <c r="F9" s="2277"/>
      <c r="G9" s="2278"/>
    </row>
    <row r="10" spans="1:7" ht="15" customHeight="1" x14ac:dyDescent="0.25">
      <c r="A10" s="1537" t="s">
        <v>1817</v>
      </c>
      <c r="B10" s="1538"/>
      <c r="C10" s="1538"/>
      <c r="D10" s="1538"/>
      <c r="E10" s="1538"/>
      <c r="F10" s="1538"/>
      <c r="G10" s="1539"/>
    </row>
    <row r="11" spans="1:7" ht="17.25" customHeight="1" x14ac:dyDescent="0.25">
      <c r="A11" s="2276" t="s">
        <v>1930</v>
      </c>
      <c r="B11" s="2277"/>
      <c r="C11" s="2277"/>
      <c r="D11" s="2277"/>
      <c r="E11" s="2277"/>
      <c r="F11" s="2277"/>
      <c r="G11" s="2278"/>
    </row>
    <row r="12" spans="1:7" ht="15" customHeight="1" x14ac:dyDescent="0.25">
      <c r="A12" s="1537" t="s">
        <v>1822</v>
      </c>
      <c r="B12" s="1538"/>
      <c r="C12" s="1538"/>
      <c r="D12" s="1538"/>
      <c r="E12" s="1538"/>
      <c r="F12" s="1538"/>
      <c r="G12" s="1539"/>
    </row>
    <row r="13" spans="1:7" ht="32.25" customHeight="1" x14ac:dyDescent="0.25">
      <c r="A13" s="2267" t="s">
        <v>1971</v>
      </c>
      <c r="B13" s="2268"/>
      <c r="C13" s="2268"/>
      <c r="D13" s="2268"/>
      <c r="E13" s="2268"/>
      <c r="F13" s="2268"/>
      <c r="G13" s="2269"/>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2139</v>
      </c>
      <c r="B17" s="1940" t="s">
        <v>2144</v>
      </c>
      <c r="C17" s="1937" t="s">
        <v>2081</v>
      </c>
      <c r="D17" s="1844">
        <v>459693</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434693</v>
      </c>
      <c r="H17" s="1647"/>
    </row>
    <row r="18" spans="1:8" x14ac:dyDescent="0.25">
      <c r="A18" s="1939" t="s">
        <v>2140</v>
      </c>
      <c r="B18" s="1940" t="s">
        <v>2145</v>
      </c>
      <c r="C18" s="1937" t="s">
        <v>2081</v>
      </c>
      <c r="D18" s="1844">
        <v>2680</v>
      </c>
      <c r="E18" s="1540">
        <f t="shared" ref="E18:E140" si="2">IF(D18&lt;=25000,D18,IF(D18&gt;25000,25000,0))</f>
        <v>2680</v>
      </c>
      <c r="F18" s="1932">
        <f t="shared" si="1"/>
        <v>2680</v>
      </c>
      <c r="G18" s="1793">
        <f t="shared" ref="G18:G140" si="3">IF(F18=0,0,D18-F18)</f>
        <v>0</v>
      </c>
    </row>
    <row r="19" spans="1:8" x14ac:dyDescent="0.25">
      <c r="A19" s="1939" t="s">
        <v>2141</v>
      </c>
      <c r="B19" s="1940" t="s">
        <v>2146</v>
      </c>
      <c r="C19" s="1937" t="s">
        <v>2082</v>
      </c>
      <c r="D19" s="1844">
        <v>347100</v>
      </c>
      <c r="E19" s="1540">
        <f t="shared" si="2"/>
        <v>25000</v>
      </c>
      <c r="F19" s="1932">
        <f t="shared" si="1"/>
        <v>25000</v>
      </c>
      <c r="G19" s="1793">
        <f t="shared" si="3"/>
        <v>322100</v>
      </c>
    </row>
    <row r="20" spans="1:8" x14ac:dyDescent="0.25">
      <c r="A20" s="1939" t="s">
        <v>2142</v>
      </c>
      <c r="B20" s="1940" t="s">
        <v>2147</v>
      </c>
      <c r="C20" s="1937" t="s">
        <v>2082</v>
      </c>
      <c r="D20" s="1844">
        <v>12056</v>
      </c>
      <c r="E20" s="1540">
        <f t="shared" si="2"/>
        <v>12056</v>
      </c>
      <c r="F20" s="1932">
        <f t="shared" si="1"/>
        <v>12056</v>
      </c>
      <c r="G20" s="1793">
        <f t="shared" si="3"/>
        <v>0</v>
      </c>
    </row>
    <row r="21" spans="1:8" x14ac:dyDescent="0.25">
      <c r="A21" s="1939" t="s">
        <v>2143</v>
      </c>
      <c r="B21" s="1940" t="s">
        <v>2148</v>
      </c>
      <c r="C21" s="1937" t="s">
        <v>2082</v>
      </c>
      <c r="D21" s="1844">
        <v>29127</v>
      </c>
      <c r="E21" s="1540">
        <f t="shared" si="2"/>
        <v>25000</v>
      </c>
      <c r="F21" s="1932">
        <f t="shared" si="1"/>
        <v>25000</v>
      </c>
      <c r="G21" s="1793">
        <f t="shared" si="3"/>
        <v>4127</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938" t="s">
        <v>2132</v>
      </c>
      <c r="B24" s="1934"/>
      <c r="C24" s="1656"/>
      <c r="D24" s="1844">
        <v>850656</v>
      </c>
      <c r="E24" s="1540">
        <f t="shared" si="2"/>
        <v>25000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1701312</v>
      </c>
      <c r="E141" s="1541">
        <f t="shared" si="0"/>
        <v>25000</v>
      </c>
      <c r="F141" s="1933">
        <f>SUM(F17:F140)</f>
        <v>89736</v>
      </c>
      <c r="G141" s="1795">
        <f>SUM(G17:G140)</f>
        <v>760920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387017</v>
      </c>
      <c r="F10" s="974"/>
      <c r="G10" s="975"/>
      <c r="H10" s="162"/>
      <c r="I10" s="162"/>
    </row>
    <row r="11" spans="1:9" s="668" customFormat="1" ht="22.5" customHeight="1" x14ac:dyDescent="0.2">
      <c r="A11" s="2287" t="s">
        <v>1972</v>
      </c>
      <c r="B11" s="2288"/>
      <c r="C11" s="2288"/>
      <c r="D11" s="2289"/>
      <c r="E11" s="977">
        <v>34913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5236600</v>
      </c>
      <c r="F19" s="1799"/>
      <c r="G19" s="1801">
        <f>'Expenditures 15-22'!K33-SUM('Expenditures 15-22'!G33,'Expenditures 15-22'!I33)+'Expenditures 15-22'!D229</f>
        <v>5236600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293118</v>
      </c>
      <c r="F21" s="1802"/>
      <c r="G21" s="1805">
        <f>'Expenditures 15-22'!K42-SUM('Expenditures 15-22'!G42,'Expenditures 15-22'!I42)+'Expenditures 15-22'!K120-SUM('Expenditures 15-22'!G120,'Expenditures 15-22'!I120)+'Expenditures 15-22'!K180-SUM('Expenditures 15-22'!G180,'Expenditures 15-22'!I180)+'Expenditures 15-22'!D238</f>
        <v>293118</v>
      </c>
      <c r="H21" s="987"/>
      <c r="I21" s="162"/>
    </row>
    <row r="22" spans="1:9" s="668" customFormat="1" ht="12" customHeight="1" x14ac:dyDescent="0.2">
      <c r="A22" s="994" t="s">
        <v>564</v>
      </c>
      <c r="B22" s="995"/>
      <c r="C22" s="993">
        <v>2200</v>
      </c>
      <c r="D22" s="1802"/>
      <c r="E22" s="1804">
        <f>'Expenditures 15-22'!K47-SUM('Expenditures 15-22'!G47,'Expenditures 15-22'!I47)+'Expenditures 15-22'!D243</f>
        <v>247556</v>
      </c>
      <c r="F22" s="1802"/>
      <c r="G22" s="1805">
        <f>'Expenditures 15-22'!K47-SUM('Expenditures 15-22'!G47,'Expenditures 15-22'!I47)+'Expenditures 15-22'!D243</f>
        <v>247556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433966</v>
      </c>
      <c r="F23" s="1802"/>
      <c r="G23" s="1804">
        <f>'Expenditures 15-22'!K53-SUM('Expenditures 15-22'!G53,'Expenditures 15-22'!I53)+'Expenditures 15-22'!D257+'Expenditures 15-22'!K330-SUM('Expenditures 15-22'!G330,'Expenditures 15-22'!I330)</f>
        <v>433966</v>
      </c>
      <c r="H23" s="987"/>
      <c r="I23" s="162"/>
    </row>
    <row r="24" spans="1:9" s="668" customFormat="1" ht="12" customHeight="1" x14ac:dyDescent="0.2">
      <c r="A24" s="994" t="s">
        <v>566</v>
      </c>
      <c r="B24" s="995"/>
      <c r="C24" s="993">
        <v>2400</v>
      </c>
      <c r="D24" s="1802"/>
      <c r="E24" s="1804">
        <f>'Expenditures 15-22'!K57-SUM('Expenditures 15-22'!G57,'Expenditures 15-22'!I57)+'Expenditures 15-22'!D261</f>
        <v>681636</v>
      </c>
      <c r="F24" s="1802"/>
      <c r="G24" s="1805">
        <f>'Expenditures 15-22'!K57-SUM('Expenditures 15-22'!G57,'Expenditures 15-22'!I57)+'Expenditures 15-22'!D261</f>
        <v>681636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205859</v>
      </c>
      <c r="E27" s="1804">
        <f>E8</f>
        <v>0</v>
      </c>
      <c r="F27" s="1804">
        <f>'Expenditures 15-22'!K60-SUM('Expenditures 15-22'!G60,'Expenditures 15-22'!I60)+'Expenditures 15-22'!D264-E8</f>
        <v>205859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1597367</v>
      </c>
      <c r="F28" s="1806">
        <f>'Expenditures 15-22'!K61-SUM('Expenditures 15-22'!G61,'Expenditures 15-22'!I61)+'Expenditures 15-22'!K124-SUM('Expenditures 15-22'!G124,'Expenditures 15-22'!I124)+'Expenditures 15-22'!D266-E9</f>
        <v>1597367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379003</v>
      </c>
      <c r="F29" s="1802"/>
      <c r="G29" s="1805">
        <f>'Expenditures 15-22'!K62-SUM('Expenditures 15-22'!G62,'Expenditures 15-22'!I62)+'Expenditures 15-22'!K125-SUM('Expenditures 15-22'!G125,'Expenditures 15-22'!I125)+'Expenditures 15-22'!K182-SUM('Expenditures 15-22'!G182,'Expenditures 15-22'!I182)+'Expenditures 15-22'!D267</f>
        <v>379003</v>
      </c>
      <c r="H29" s="985"/>
    </row>
    <row r="30" spans="1:9" ht="12" customHeight="1" x14ac:dyDescent="0.2">
      <c r="A30" s="994" t="s">
        <v>100</v>
      </c>
      <c r="B30" s="997"/>
      <c r="C30" s="993">
        <v>2560</v>
      </c>
      <c r="D30" s="1802"/>
      <c r="E30" s="1804">
        <f>'Expenditures 15-22'!K63-SUM('Expenditures 15-22'!G63,'Expenditures 15-22'!I63)+'Expenditures 15-22'!D268-E10</f>
        <v>107851</v>
      </c>
      <c r="F30" s="1802"/>
      <c r="G30" s="1804">
        <f>'Expenditures 15-22'!K63-SUM('Expenditures 15-22'!G63,'Expenditures 15-22'!I63)+'Expenditures 15-22'!D268-E10</f>
        <v>107851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3007</v>
      </c>
      <c r="E37" s="1804">
        <f>E14</f>
        <v>0</v>
      </c>
      <c r="F37" s="1804">
        <f>'Expenditures 15-22'!K71-SUM('Expenditures 15-22'!G71,'Expenditures 15-22'!I71)+'Expenditures 15-22'!D276-E14</f>
        <v>3007</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29127</v>
      </c>
      <c r="F38" s="1802"/>
      <c r="G38" s="1804">
        <f>'Expenditures 15-22'!K73-SUM('Expenditures 15-22'!G73,'Expenditures 15-22'!I73)+'Expenditures 15-22'!K128-SUM('Expenditures 15-22'!G128,'Expenditures 15-22'!I128)+'Expenditures 15-22'!K183-SUM('Expenditures 15-22'!G183,'Expenditures 15-22'!I183)+'Expenditures 15-22'!D278</f>
        <v>29127</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42778</v>
      </c>
      <c r="F39" s="1802"/>
      <c r="G39" s="1804">
        <f>'Expenditures 15-22'!K75-SUM('Expenditures 15-22'!G75,'Expenditures 15-22'!I75)+'Expenditures 15-22'!K130-SUM('Expenditures 15-22'!G130,'Expenditures 15-22'!I130)+'Expenditures 15-22'!K185-SUM('Expenditures 15-22'!G185,'Expenditures 15-22'!I185)+'Expenditures 15-22'!D280</f>
        <v>42778</v>
      </c>
    </row>
    <row r="40" spans="1:7" ht="12" customHeight="1" x14ac:dyDescent="0.2">
      <c r="A40" s="990" t="s">
        <v>1820</v>
      </c>
      <c r="B40" s="991"/>
      <c r="C40" s="993"/>
      <c r="D40" s="1802"/>
      <c r="E40" s="1806">
        <f>-'Contracts Paid in CY 29'!G141</f>
        <v>-760920</v>
      </c>
      <c r="F40" s="1802"/>
      <c r="G40" s="1806">
        <f>-'Contracts Paid in CY 29'!G141</f>
        <v>-760920</v>
      </c>
    </row>
    <row r="41" spans="1:7" ht="12" customHeight="1" x14ac:dyDescent="0.2">
      <c r="A41" s="998" t="s">
        <v>156</v>
      </c>
      <c r="B41" s="999"/>
      <c r="C41" s="1000"/>
      <c r="D41" s="1806">
        <f>SUM(D19:D39)</f>
        <v>208866</v>
      </c>
      <c r="E41" s="1806">
        <f>SUM(E19:E40)</f>
        <v>8288082</v>
      </c>
      <c r="F41" s="1806">
        <f>SUM(F19:F39)</f>
        <v>1806233</v>
      </c>
      <c r="G41" s="1806">
        <f>SUM(G19:G40)</f>
        <v>6690715</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208866</v>
      </c>
      <c r="F43" s="1807" t="s">
        <v>473</v>
      </c>
      <c r="G43" s="1808">
        <f>F41</f>
        <v>1806233</v>
      </c>
    </row>
    <row r="44" spans="1:7" ht="12" customHeight="1" x14ac:dyDescent="0.2">
      <c r="A44" s="987"/>
      <c r="B44" s="162"/>
      <c r="C44" s="1001"/>
      <c r="D44" s="1807" t="s">
        <v>474</v>
      </c>
      <c r="E44" s="1808">
        <f>E41</f>
        <v>8288082</v>
      </c>
      <c r="F44" s="1807" t="s">
        <v>474</v>
      </c>
      <c r="G44" s="1808">
        <f>G41</f>
        <v>6690715</v>
      </c>
    </row>
    <row r="45" spans="1:7" ht="12" customHeight="1" x14ac:dyDescent="0.2">
      <c r="A45" s="987"/>
      <c r="B45" s="162"/>
      <c r="C45" s="162"/>
      <c r="D45" s="1809" t="s">
        <v>1006</v>
      </c>
      <c r="E45" s="1810">
        <f>(E43/E44)</f>
        <v>2.5200764181628511E-2</v>
      </c>
      <c r="F45" s="1809" t="s">
        <v>1006</v>
      </c>
      <c r="G45" s="1810">
        <f>(G43/G44)</f>
        <v>0.26996113270405331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Johnston CUSD 1</v>
      </c>
      <c r="D6" s="2308"/>
      <c r="E6" s="2308"/>
      <c r="F6" s="1852"/>
    </row>
    <row r="7" spans="1:10" ht="11.25" customHeight="1" thickBot="1" x14ac:dyDescent="0.3">
      <c r="A7" s="1850"/>
      <c r="B7" s="1851"/>
      <c r="C7" s="2309">
        <f>COVER!A13</f>
        <v>21100001026</v>
      </c>
      <c r="D7" s="2309"/>
      <c r="E7" s="2309"/>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c r="F26" s="1867" t="s">
        <v>2083</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2061</v>
      </c>
      <c r="D31" s="1865" t="s">
        <v>2061</v>
      </c>
      <c r="E31" s="1868"/>
      <c r="F31" s="1867" t="s">
        <v>2083</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Johnston CUSD 1</v>
      </c>
      <c r="J6" s="2318"/>
      <c r="Q6" s="1664"/>
    </row>
    <row r="7" spans="1:17" x14ac:dyDescent="0.2">
      <c r="A7" s="2319" t="s">
        <v>869</v>
      </c>
      <c r="B7" s="2320"/>
      <c r="C7" s="2320"/>
      <c r="D7" s="2320"/>
      <c r="E7" s="2321"/>
      <c r="F7" s="1017"/>
      <c r="G7" s="1009"/>
      <c r="H7" s="1016" t="s">
        <v>372</v>
      </c>
      <c r="I7" s="2322">
        <f>COVER!A13</f>
        <v>21100001026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140966</v>
      </c>
      <c r="F12" s="1039"/>
      <c r="G12" s="1811">
        <f t="shared" ref="G12:G18" si="0">SUM(E12:F12)</f>
        <v>140966</v>
      </c>
      <c r="H12" s="1040">
        <v>145500</v>
      </c>
      <c r="I12" s="1039"/>
      <c r="J12" s="1811">
        <f t="shared" ref="J12:J18" si="1">SUM(H12:I12)</f>
        <v>145500</v>
      </c>
    </row>
    <row r="13" spans="1:17" ht="15" customHeight="1" x14ac:dyDescent="0.2">
      <c r="A13" s="1035">
        <v>2</v>
      </c>
      <c r="B13" s="1036" t="s">
        <v>42</v>
      </c>
      <c r="C13" s="1037"/>
      <c r="D13" s="1038">
        <v>2330</v>
      </c>
      <c r="E13" s="1811">
        <f>'Expenditures 15-22'!K51</f>
        <v>1000</v>
      </c>
      <c r="F13" s="1039"/>
      <c r="G13" s="1811">
        <f t="shared" si="0"/>
        <v>1000</v>
      </c>
      <c r="H13" s="1040">
        <v>1000</v>
      </c>
      <c r="I13" s="1039"/>
      <c r="J13" s="1811">
        <f t="shared" si="1"/>
        <v>1000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141966</v>
      </c>
      <c r="F19" s="1813">
        <f t="shared" si="2"/>
        <v>0</v>
      </c>
      <c r="G19" s="1813">
        <f t="shared" si="2"/>
        <v>141966</v>
      </c>
      <c r="H19" s="1813">
        <f t="shared" si="2"/>
        <v>146500</v>
      </c>
      <c r="I19" s="1813">
        <f t="shared" si="2"/>
        <v>0</v>
      </c>
      <c r="J19" s="1813">
        <f t="shared" si="2"/>
        <v>146500</v>
      </c>
    </row>
    <row r="20" spans="1:10" ht="13.5" thickTop="1" x14ac:dyDescent="0.2">
      <c r="A20" s="1035">
        <v>9</v>
      </c>
      <c r="B20" s="2329" t="s">
        <v>1976</v>
      </c>
      <c r="C20" s="2329"/>
      <c r="D20" s="2330"/>
      <c r="E20" s="1046"/>
      <c r="F20" s="1046"/>
      <c r="G20" s="1046"/>
      <c r="H20" s="1046"/>
      <c r="I20" s="1046"/>
      <c r="J20" s="1814">
        <f>IF(AND(G19&gt;0,J19&gt;0),(((J19-G19)/G19)),"Enter Budget Data")</f>
        <v>3.1937224405843651E-2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1978</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2084</v>
      </c>
    </row>
    <row r="6" spans="1:2" x14ac:dyDescent="0.2">
      <c r="A6" s="1068">
        <v>2</v>
      </c>
      <c r="B6" s="329" t="s">
        <v>2085</v>
      </c>
    </row>
    <row r="7" spans="1:2" x14ac:dyDescent="0.2">
      <c r="A7" s="1068">
        <v>3</v>
      </c>
      <c r="B7" s="329" t="s">
        <v>2086</v>
      </c>
    </row>
    <row r="8" spans="1:2" x14ac:dyDescent="0.2">
      <c r="A8" s="1068">
        <v>4</v>
      </c>
      <c r="B8" s="329" t="s">
        <v>2087</v>
      </c>
    </row>
    <row r="9" spans="1:2" ht="12" customHeight="1" x14ac:dyDescent="0.2">
      <c r="A9" s="1069">
        <v>5</v>
      </c>
      <c r="B9" s="329" t="s">
        <v>2088</v>
      </c>
    </row>
    <row r="10" spans="1:2" x14ac:dyDescent="0.2">
      <c r="A10" s="1069">
        <v>6</v>
      </c>
      <c r="B10" s="329" t="s">
        <v>2089</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Johnston CUSD 1</v>
      </c>
    </row>
    <row r="65" spans="2:2" x14ac:dyDescent="0.2">
      <c r="B65" s="1070">
        <f>COVER!A13</f>
        <v>21100001026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7"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Footer>&amp;R
B - 1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6"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1982</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1983</v>
      </c>
      <c r="B4" s="2357"/>
      <c r="C4" s="2357"/>
      <c r="D4" s="2357"/>
      <c r="E4" s="2357"/>
      <c r="F4" s="2358"/>
      <c r="G4" s="1074"/>
      <c r="H4" s="1074"/>
    </row>
    <row r="5" spans="1:8" ht="14.25" customHeight="1" x14ac:dyDescent="0.2">
      <c r="A5" s="2359" t="s">
        <v>1979</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9184354</v>
      </c>
      <c r="C8" s="1815">
        <f>'Acct Summary 7-8'!D8</f>
        <v>656947</v>
      </c>
      <c r="D8" s="1815">
        <f>'Acct Summary 7-8'!F8</f>
        <v>649514</v>
      </c>
      <c r="E8" s="1815">
        <f>'Acct Summary 7-8'!I8</f>
        <v>45652</v>
      </c>
      <c r="F8" s="1815">
        <f>SUM(B8:E8)</f>
        <v>10536467</v>
      </c>
    </row>
    <row r="9" spans="1:8" s="1079" customFormat="1" ht="14.25" customHeight="1" thickBot="1" x14ac:dyDescent="0.25">
      <c r="A9" s="1078" t="s">
        <v>1369</v>
      </c>
      <c r="B9" s="1816">
        <f>'Acct Summary 7-8'!C17</f>
        <v>9190841</v>
      </c>
      <c r="C9" s="1816">
        <f>'Acct Summary 7-8'!D17</f>
        <v>963845</v>
      </c>
      <c r="D9" s="1816">
        <f>'Acct Summary 7-8'!F17</f>
        <v>456970</v>
      </c>
      <c r="E9" s="1815"/>
      <c r="F9" s="1815">
        <f>SUM(B9:E9)</f>
        <v>10611656</v>
      </c>
    </row>
    <row r="10" spans="1:8" s="1079" customFormat="1" ht="14.25" thickTop="1" thickBot="1" x14ac:dyDescent="0.25">
      <c r="A10" s="1080" t="s">
        <v>1370</v>
      </c>
      <c r="B10" s="1817">
        <f>(B8-B9)</f>
        <v>-6487</v>
      </c>
      <c r="C10" s="1817">
        <f>(C8-C9)</f>
        <v>-306898</v>
      </c>
      <c r="D10" s="1817">
        <f>(D8-D9)</f>
        <v>192544</v>
      </c>
      <c r="E10" s="1816">
        <f>(E8-E9)</f>
        <v>45652</v>
      </c>
      <c r="F10" s="1818">
        <f>SUM(F8-F9)</f>
        <v>-75189</v>
      </c>
    </row>
    <row r="11" spans="1:8" s="1079" customFormat="1" ht="14.25" thickTop="1" thickBot="1" x14ac:dyDescent="0.25">
      <c r="A11" s="1081" t="s">
        <v>1980</v>
      </c>
      <c r="B11" s="1819">
        <f>'Acct Summary 7-8'!C81</f>
        <v>1541506</v>
      </c>
      <c r="C11" s="1819">
        <f>'Acct Summary 7-8'!D81</f>
        <v>320011</v>
      </c>
      <c r="D11" s="1819">
        <f>'Acct Summary 7-8'!F81</f>
        <v>243441</v>
      </c>
      <c r="E11" s="1819">
        <f>'Acct Summary 7-8'!I81</f>
        <v>1094596</v>
      </c>
      <c r="F11" s="1820">
        <f>SUM(B11:E11)</f>
        <v>3199554</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9"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21100001026</v>
      </c>
    </row>
    <row r="3" spans="1:2" x14ac:dyDescent="0.2">
      <c r="A3" t="s">
        <v>956</v>
      </c>
      <c r="B3" s="138" t="str">
        <f>COVER!A15</f>
        <v>Williamson</v>
      </c>
    </row>
    <row r="4" spans="1:2" x14ac:dyDescent="0.2">
      <c r="A4" t="s">
        <v>1007</v>
      </c>
      <c r="B4" s="138" t="str">
        <f>COVER!A17</f>
        <v>Johnston CUSD 1</v>
      </c>
    </row>
    <row r="5" spans="1:2" x14ac:dyDescent="0.2">
      <c r="A5" t="s">
        <v>704</v>
      </c>
      <c r="B5" s="138" t="str">
        <f>COVER!A38</f>
        <v>Mrs. Kathy Clark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065-022629</v>
      </c>
    </row>
    <row r="16" spans="1:2" x14ac:dyDescent="0.2">
      <c r="A16" t="s">
        <v>422</v>
      </c>
      <c r="B16" s="138" t="str">
        <f>COVER!T13</f>
        <v>Cindy A. Bobell, CPA</v>
      </c>
    </row>
    <row r="17" spans="1:2" x14ac:dyDescent="0.2">
      <c r="A17" t="s">
        <v>884</v>
      </c>
      <c r="B17" s="138" t="str">
        <f>COVER!T15</f>
        <v>Cindy A. Bobell, CPA</v>
      </c>
    </row>
    <row r="18" spans="1:2" x14ac:dyDescent="0.2">
      <c r="A18" t="s">
        <v>1150</v>
      </c>
      <c r="B18" s="138" t="str">
        <f>COVER!T17</f>
        <v xml:space="preserve">10653 Khoury League Road </v>
      </c>
    </row>
    <row r="19" spans="1:2" x14ac:dyDescent="0.2">
      <c r="A19" t="s">
        <v>886</v>
      </c>
      <c r="B19" s="138" t="str">
        <f>COVER!T25</f>
        <v>cabcpa@frontier.com</v>
      </c>
    </row>
    <row r="20" spans="1:2" x14ac:dyDescent="0.2">
      <c r="A20" t="s">
        <v>887</v>
      </c>
      <c r="B20" s="138" t="str">
        <f>COVER!T19</f>
        <v>Marion</v>
      </c>
    </row>
    <row r="21" spans="1:2" x14ac:dyDescent="0.2">
      <c r="A21" t="s">
        <v>479</v>
      </c>
      <c r="B21" s="138" t="str">
        <f>COVER!X19</f>
        <v>IL</v>
      </c>
    </row>
    <row r="22" spans="1:2" x14ac:dyDescent="0.2">
      <c r="A22" t="s">
        <v>888</v>
      </c>
      <c r="B22" s="138">
        <f>COVER!Z19</f>
        <v>62959</v>
      </c>
    </row>
    <row r="23" spans="1:2" x14ac:dyDescent="0.2">
      <c r="A23" t="s">
        <v>1152</v>
      </c>
      <c r="B23" s="138" t="str">
        <f>COVER!T21</f>
        <v>618-997-9711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1558668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15828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17162</v>
      </c>
      <c r="C91" s="2" t="s">
        <v>573</v>
      </c>
      <c r="D91" s="2" t="str">
        <f t="shared" si="0"/>
        <v>Error?</v>
      </c>
    </row>
    <row r="92" spans="1:4" x14ac:dyDescent="0.2">
      <c r="A92" s="5">
        <v>31</v>
      </c>
      <c r="B92" s="138">
        <f>'Assets-Liab 5-6'!C39</f>
        <v>1541506</v>
      </c>
      <c r="D92" s="2" t="str">
        <f t="shared" si="0"/>
        <v>Error?</v>
      </c>
    </row>
    <row r="93" spans="1:4" x14ac:dyDescent="0.2">
      <c r="A93" s="5">
        <v>32</v>
      </c>
      <c r="B93" s="138">
        <f>'Assets-Liab 5-6'!C41</f>
        <v>1558668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320011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320011</v>
      </c>
      <c r="D123" s="2" t="str">
        <f t="shared" si="0"/>
        <v>Error?</v>
      </c>
    </row>
    <row r="124" spans="1:4" x14ac:dyDescent="0.2">
      <c r="A124" s="5">
        <v>63</v>
      </c>
      <c r="B124" s="138">
        <f>'Assets-Liab 5-6'!D41</f>
        <v>320011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288513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288513</v>
      </c>
      <c r="D140" s="2" t="str">
        <f t="shared" si="1"/>
        <v>Error?</v>
      </c>
    </row>
    <row r="141" spans="1:4" x14ac:dyDescent="0.2">
      <c r="A141" s="5">
        <v>80</v>
      </c>
      <c r="B141" s="138">
        <f>'Assets-Liab 5-6'!E41</f>
        <v>288513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243441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243441</v>
      </c>
      <c r="D170" s="2" t="str">
        <f t="shared" si="1"/>
        <v>Error?</v>
      </c>
    </row>
    <row r="171" spans="1:4" x14ac:dyDescent="0.2">
      <c r="A171" s="5">
        <v>110</v>
      </c>
      <c r="B171" s="138">
        <f>'Assets-Liab 5-6'!F41</f>
        <v>243441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462000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462000</v>
      </c>
      <c r="D189" s="2" t="str">
        <f t="shared" si="1"/>
        <v>Error?</v>
      </c>
    </row>
    <row r="190" spans="1:4" x14ac:dyDescent="0.2">
      <c r="A190" s="5">
        <v>129</v>
      </c>
      <c r="B190" s="138">
        <f>'Assets-Liab 5-6'!G41</f>
        <v>462000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764861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2317142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2317142</v>
      </c>
      <c r="D212" s="2" t="str">
        <f t="shared" si="2"/>
        <v>Error?</v>
      </c>
    </row>
    <row r="213" spans="1:4" x14ac:dyDescent="0.2">
      <c r="A213" s="12">
        <v>152</v>
      </c>
      <c r="B213" s="138">
        <f>'Assets-Liab 5-6'!H41</f>
        <v>2317142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81746</v>
      </c>
      <c r="D273" s="2" t="str">
        <f t="shared" si="3"/>
        <v>Error?</v>
      </c>
    </row>
    <row r="274" spans="1:4" x14ac:dyDescent="0.2">
      <c r="A274" s="5">
        <v>213</v>
      </c>
      <c r="B274" s="138">
        <f>'Assets-Liab 5-6'!M17</f>
        <v>12684081</v>
      </c>
      <c r="D274" s="2" t="str">
        <f t="shared" si="3"/>
        <v>Error?</v>
      </c>
    </row>
    <row r="275" spans="1:4" x14ac:dyDescent="0.2">
      <c r="A275" s="5">
        <v>214</v>
      </c>
      <c r="B275" s="138">
        <f>'Assets-Liab 5-6'!M18</f>
        <v>11801346</v>
      </c>
      <c r="D275" s="2" t="str">
        <f t="shared" si="3"/>
        <v>Error?</v>
      </c>
    </row>
    <row r="276" spans="1:4" x14ac:dyDescent="0.2">
      <c r="A276" s="5">
        <v>215</v>
      </c>
      <c r="B276" s="138">
        <f>'Assets-Liab 5-6'!M19</f>
        <v>2752122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27368246</v>
      </c>
      <c r="C279" s="2" t="s">
        <v>573</v>
      </c>
      <c r="D279" s="2" t="str">
        <f t="shared" si="3"/>
        <v>Error?</v>
      </c>
    </row>
    <row r="280" spans="1:4" x14ac:dyDescent="0.2">
      <c r="A280" s="5">
        <v>219</v>
      </c>
      <c r="B280" s="138">
        <f>'Assets-Liab 5-6'!M40</f>
        <v>27368246</v>
      </c>
      <c r="D280" s="2" t="str">
        <f t="shared" si="3"/>
        <v>Error?</v>
      </c>
    </row>
    <row r="281" spans="1:4" x14ac:dyDescent="0.2">
      <c r="A281" s="5">
        <v>220</v>
      </c>
      <c r="B281" s="138">
        <f>'Assets-Liab 5-6'!M41</f>
        <v>27368246</v>
      </c>
      <c r="C281" s="2" t="s">
        <v>573</v>
      </c>
      <c r="D281" s="2" t="str">
        <f t="shared" si="3"/>
        <v>Error?</v>
      </c>
    </row>
    <row r="282" spans="1:4" x14ac:dyDescent="0.2">
      <c r="A282" s="5">
        <v>221</v>
      </c>
      <c r="B282" s="138">
        <f>'Assets-Liab 5-6'!N21</f>
        <v>288513</v>
      </c>
      <c r="D282" s="2" t="str">
        <f t="shared" si="3"/>
        <v>Error?</v>
      </c>
    </row>
    <row r="283" spans="1:4" x14ac:dyDescent="0.2">
      <c r="A283" s="5">
        <v>222</v>
      </c>
      <c r="B283" s="138">
        <f>'Assets-Liab 5-6'!N22</f>
        <v>5594827</v>
      </c>
      <c r="D283" s="2" t="str">
        <f t="shared" si="3"/>
        <v>Error?</v>
      </c>
    </row>
    <row r="284" spans="1:4" x14ac:dyDescent="0.2">
      <c r="A284" s="5">
        <v>223</v>
      </c>
      <c r="B284" s="138">
        <f>'Assets-Liab 5-6'!N23</f>
        <v>5883340</v>
      </c>
      <c r="C284" s="2" t="s">
        <v>573</v>
      </c>
      <c r="D284" s="2" t="str">
        <f t="shared" si="3"/>
        <v>Error?</v>
      </c>
    </row>
    <row r="285" spans="1:4" x14ac:dyDescent="0.2">
      <c r="A285" s="5">
        <v>224</v>
      </c>
      <c r="B285" s="138">
        <f>'Assets-Liab 5-6'!N36</f>
        <v>5883340</v>
      </c>
      <c r="D285" s="2" t="str">
        <f t="shared" si="3"/>
        <v>Error?</v>
      </c>
    </row>
    <row r="286" spans="1:4" x14ac:dyDescent="0.2">
      <c r="A286" s="10">
        <v>225</v>
      </c>
      <c r="D286" s="2" t="str">
        <f t="shared" si="3"/>
        <v>OK</v>
      </c>
    </row>
    <row r="287" spans="1:4" x14ac:dyDescent="0.2">
      <c r="A287" s="5">
        <v>226</v>
      </c>
      <c r="B287" s="138">
        <f>'Assets-Liab 5-6'!N37</f>
        <v>5883340</v>
      </c>
      <c r="C287" s="2" t="s">
        <v>573</v>
      </c>
      <c r="D287" s="2" t="str">
        <f t="shared" si="3"/>
        <v>Error?</v>
      </c>
    </row>
    <row r="288" spans="1:4" x14ac:dyDescent="0.2">
      <c r="A288" s="5">
        <v>227</v>
      </c>
      <c r="B288" s="138">
        <f>'Assets-Liab 5-6'!N41</f>
        <v>5883340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2887988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207124</v>
      </c>
      <c r="D717" s="2" t="str">
        <f t="shared" si="10"/>
        <v>Error?</v>
      </c>
    </row>
    <row r="718" spans="1:4" x14ac:dyDescent="0.2">
      <c r="A718" s="5">
        <v>657</v>
      </c>
      <c r="B718" s="138">
        <f>'Expenditures 15-22'!C14</f>
        <v>146599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3503764</v>
      </c>
      <c r="C720" s="2" t="s">
        <v>573</v>
      </c>
      <c r="D720" s="2" t="str">
        <f t="shared" si="10"/>
        <v>Error?</v>
      </c>
    </row>
    <row r="721" spans="1:4" x14ac:dyDescent="0.2">
      <c r="A721" s="5">
        <v>660</v>
      </c>
      <c r="B721" s="138">
        <f>'Expenditures 15-22'!C36</f>
        <v>42980</v>
      </c>
      <c r="D721" s="2" t="str">
        <f t="shared" si="10"/>
        <v>Error?</v>
      </c>
    </row>
    <row r="722" spans="1:4" x14ac:dyDescent="0.2">
      <c r="A722" s="5">
        <v>661</v>
      </c>
      <c r="B722" s="138">
        <f>'Expenditures 15-22'!C37</f>
        <v>69335</v>
      </c>
      <c r="D722" s="2" t="str">
        <f t="shared" si="10"/>
        <v>Error?</v>
      </c>
    </row>
    <row r="723" spans="1:4" x14ac:dyDescent="0.2">
      <c r="A723" s="5">
        <v>662</v>
      </c>
      <c r="B723" s="138">
        <f>'Expenditures 15-22'!C38</f>
        <v>53664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60422</v>
      </c>
      <c r="D726" s="2" t="str">
        <f t="shared" si="10"/>
        <v>Error?</v>
      </c>
    </row>
    <row r="727" spans="1:4" x14ac:dyDescent="0.2">
      <c r="A727" s="5">
        <v>666</v>
      </c>
      <c r="B727" s="138">
        <f>'Expenditures 15-22'!C42</f>
        <v>226401</v>
      </c>
      <c r="C727" s="2" t="s">
        <v>573</v>
      </c>
      <c r="D727" s="2" t="str">
        <f t="shared" si="10"/>
        <v>Error?</v>
      </c>
    </row>
    <row r="728" spans="1:4" x14ac:dyDescent="0.2">
      <c r="A728" s="5">
        <v>667</v>
      </c>
      <c r="B728" s="138">
        <f>'Expenditures 15-22'!C44</f>
        <v>109202</v>
      </c>
      <c r="D728" s="2" t="str">
        <f t="shared" si="10"/>
        <v>Error?</v>
      </c>
    </row>
    <row r="729" spans="1:4" x14ac:dyDescent="0.2">
      <c r="A729" s="5">
        <v>668</v>
      </c>
      <c r="B729" s="138">
        <f>'Expenditures 15-22'!C45</f>
        <v>26061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135263</v>
      </c>
      <c r="C731" s="2" t="s">
        <v>573</v>
      </c>
      <c r="D731" s="2" t="str">
        <f t="shared" si="10"/>
        <v>Error?</v>
      </c>
    </row>
    <row r="732" spans="1:4" x14ac:dyDescent="0.2">
      <c r="A732" s="5">
        <v>671</v>
      </c>
      <c r="B732" s="138">
        <f>'Expenditures 15-22'!C49</f>
        <v>11267</v>
      </c>
      <c r="D732" s="2" t="str">
        <f t="shared" si="10"/>
        <v>Error?</v>
      </c>
    </row>
    <row r="733" spans="1:4" x14ac:dyDescent="0.2">
      <c r="A733" s="5">
        <v>672</v>
      </c>
      <c r="B733" s="138">
        <f>'Expenditures 15-22'!C50</f>
        <v>107122</v>
      </c>
      <c r="D733" s="2" t="str">
        <f t="shared" si="10"/>
        <v>Error?</v>
      </c>
    </row>
    <row r="734" spans="1:4" x14ac:dyDescent="0.2">
      <c r="A734" s="5">
        <v>673</v>
      </c>
      <c r="B734" s="138">
        <f>'Expenditures 15-22'!C53</f>
        <v>118389</v>
      </c>
      <c r="C734" s="2" t="s">
        <v>573</v>
      </c>
      <c r="D734" s="2" t="str">
        <f t="shared" si="10"/>
        <v>Error?</v>
      </c>
    </row>
    <row r="735" spans="1:4" x14ac:dyDescent="0.2">
      <c r="A735" s="5">
        <v>674</v>
      </c>
      <c r="B735" s="138">
        <f>'Expenditures 15-22'!C55</f>
        <v>499497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499497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161913</v>
      </c>
      <c r="D739" s="2" t="str">
        <f t="shared" si="10"/>
        <v>Error?</v>
      </c>
    </row>
    <row r="740" spans="1:4" x14ac:dyDescent="0.2">
      <c r="A740" s="5">
        <v>679</v>
      </c>
      <c r="B740" s="138">
        <f>'Expenditures 15-22'!C61</f>
        <v>448260</v>
      </c>
      <c r="D740" s="2" t="str">
        <f t="shared" si="10"/>
        <v>Error?</v>
      </c>
    </row>
    <row r="741" spans="1:4" x14ac:dyDescent="0.2">
      <c r="A741" s="5">
        <v>680</v>
      </c>
      <c r="B741" s="138">
        <f>'Expenditures 15-22'!C62</f>
        <v>12304</v>
      </c>
      <c r="D741" s="2" t="str">
        <f t="shared" si="10"/>
        <v>Error?</v>
      </c>
    </row>
    <row r="742" spans="1:4" x14ac:dyDescent="0.2">
      <c r="A742" s="5">
        <v>681</v>
      </c>
      <c r="B742" s="138">
        <f>'Expenditures 15-22'!C63</f>
        <v>22491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644968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1624518</v>
      </c>
      <c r="C755" s="2" t="s">
        <v>573</v>
      </c>
      <c r="D755" s="2" t="str">
        <f t="shared" si="10"/>
        <v>Error?</v>
      </c>
    </row>
    <row r="756" spans="1:4" x14ac:dyDescent="0.2">
      <c r="A756" s="5">
        <v>695</v>
      </c>
      <c r="B756" s="138">
        <f>'Expenditures 15-22'!C75</f>
        <v>34603</v>
      </c>
      <c r="D756" s="2" t="str">
        <f t="shared" si="10"/>
        <v>Error?</v>
      </c>
    </row>
    <row r="757" spans="1:4" x14ac:dyDescent="0.2">
      <c r="A757" s="5">
        <v>696</v>
      </c>
      <c r="B757" s="138">
        <f>'Expenditures 15-22'!C114</f>
        <v>5162885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817369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65636</v>
      </c>
      <c r="D775" s="2" t="str">
        <f t="shared" si="11"/>
        <v>Error?</v>
      </c>
    </row>
    <row r="776" spans="1:4" x14ac:dyDescent="0.2">
      <c r="A776" s="5">
        <v>715</v>
      </c>
      <c r="B776" s="138">
        <f>'Expenditures 15-22'!D14</f>
        <v>24075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965345</v>
      </c>
      <c r="C778" s="2" t="s">
        <v>573</v>
      </c>
      <c r="D778" s="2" t="str">
        <f t="shared" si="11"/>
        <v>Error?</v>
      </c>
    </row>
    <row r="779" spans="1:4" x14ac:dyDescent="0.2">
      <c r="A779" s="5">
        <v>718</v>
      </c>
      <c r="B779" s="138">
        <f>'Expenditures 15-22'!D36</f>
        <v>17024</v>
      </c>
      <c r="D779" s="2" t="str">
        <f t="shared" si="11"/>
        <v>Error?</v>
      </c>
    </row>
    <row r="780" spans="1:4" x14ac:dyDescent="0.2">
      <c r="A780" s="5">
        <v>719</v>
      </c>
      <c r="B780" s="138">
        <f>'Expenditures 15-22'!D37</f>
        <v>17696</v>
      </c>
      <c r="D780" s="2" t="str">
        <f t="shared" si="11"/>
        <v>Error?</v>
      </c>
    </row>
    <row r="781" spans="1:4" x14ac:dyDescent="0.2">
      <c r="A781" s="5">
        <v>720</v>
      </c>
      <c r="B781" s="138">
        <f>'Expenditures 15-22'!D38</f>
        <v>8887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5128</v>
      </c>
      <c r="D784" s="2" t="str">
        <f t="shared" si="11"/>
        <v>Error?</v>
      </c>
    </row>
    <row r="785" spans="1:4" x14ac:dyDescent="0.2">
      <c r="A785" s="5">
        <v>724</v>
      </c>
      <c r="B785" s="138">
        <f>'Expenditures 15-22'!D42</f>
        <v>48735</v>
      </c>
      <c r="C785" s="2" t="s">
        <v>573</v>
      </c>
      <c r="D785" s="2" t="str">
        <f t="shared" si="11"/>
        <v>Error?</v>
      </c>
    </row>
    <row r="786" spans="1:4" x14ac:dyDescent="0.2">
      <c r="A786" s="5">
        <v>725</v>
      </c>
      <c r="B786" s="138">
        <f>'Expenditures 15-22'!D44</f>
        <v>22080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22080</v>
      </c>
      <c r="C789" s="2" t="s">
        <v>573</v>
      </c>
      <c r="D789" s="2" t="str">
        <f t="shared" si="11"/>
        <v>Error?</v>
      </c>
    </row>
    <row r="790" spans="1:4" x14ac:dyDescent="0.2">
      <c r="A790" s="5">
        <v>729</v>
      </c>
      <c r="B790" s="138">
        <f>'Expenditures 15-22'!D49</f>
        <v>75423</v>
      </c>
      <c r="D790" s="2" t="str">
        <f t="shared" si="11"/>
        <v>Error?</v>
      </c>
    </row>
    <row r="791" spans="1:4" x14ac:dyDescent="0.2">
      <c r="A791" s="5">
        <v>730</v>
      </c>
      <c r="B791" s="138">
        <f>'Expenditures 15-22'!D50</f>
        <v>19915</v>
      </c>
      <c r="D791" s="2" t="str">
        <f t="shared" si="11"/>
        <v>Error?</v>
      </c>
    </row>
    <row r="792" spans="1:4" x14ac:dyDescent="0.2">
      <c r="A792" s="5">
        <v>731</v>
      </c>
      <c r="B792" s="138">
        <f>'Expenditures 15-22'!D53</f>
        <v>95338</v>
      </c>
      <c r="C792" s="2" t="s">
        <v>573</v>
      </c>
      <c r="D792" s="2" t="str">
        <f t="shared" si="11"/>
        <v>Error?</v>
      </c>
    </row>
    <row r="793" spans="1:4" x14ac:dyDescent="0.2">
      <c r="A793" s="5">
        <v>732</v>
      </c>
      <c r="B793" s="138">
        <f>'Expenditures 15-22'!D55</f>
        <v>141302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141302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15123</v>
      </c>
      <c r="D797" s="2" t="str">
        <f t="shared" si="11"/>
        <v>Error?</v>
      </c>
    </row>
    <row r="798" spans="1:4" x14ac:dyDescent="0.2">
      <c r="A798" s="5">
        <v>737</v>
      </c>
      <c r="B798" s="138">
        <f>'Expenditures 15-22'!D61</f>
        <v>77864</v>
      </c>
      <c r="D798" s="2" t="str">
        <f t="shared" si="11"/>
        <v>Error?</v>
      </c>
    </row>
    <row r="799" spans="1:4" x14ac:dyDescent="0.2">
      <c r="A799" s="5">
        <v>738</v>
      </c>
      <c r="B799" s="138">
        <f>'Expenditures 15-22'!D62</f>
        <v>950</v>
      </c>
      <c r="D799" s="2" t="str">
        <f t="shared" si="11"/>
        <v>Error?</v>
      </c>
    </row>
    <row r="800" spans="1:4" x14ac:dyDescent="0.2">
      <c r="A800" s="5">
        <v>739</v>
      </c>
      <c r="B800" s="138">
        <f>'Expenditures 15-22'!D63</f>
        <v>8710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102647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410102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1375447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135148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1348</v>
      </c>
      <c r="D833" s="2" t="str">
        <f t="shared" si="12"/>
        <v>Error?</v>
      </c>
    </row>
    <row r="834" spans="1:4" x14ac:dyDescent="0.2">
      <c r="A834" s="5">
        <v>773</v>
      </c>
      <c r="B834" s="138">
        <f>'Expenditures 15-22'!E14</f>
        <v>41762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213382</v>
      </c>
      <c r="C836" s="2" t="s">
        <v>573</v>
      </c>
      <c r="D836" s="2" t="str">
        <f t="shared" si="12"/>
        <v>Error?</v>
      </c>
    </row>
    <row r="837" spans="1:4" x14ac:dyDescent="0.2">
      <c r="A837" s="5">
        <v>776</v>
      </c>
      <c r="B837" s="138">
        <f>'Expenditures 15-22'!E36</f>
        <v>235</v>
      </c>
      <c r="D837" s="2" t="str">
        <f t="shared" si="12"/>
        <v>Error?</v>
      </c>
    </row>
    <row r="838" spans="1:4" x14ac:dyDescent="0.2">
      <c r="A838" s="5">
        <v>777</v>
      </c>
      <c r="B838" s="138">
        <f>'Expenditures 15-22'!E37</f>
        <v>91</v>
      </c>
      <c r="D838" s="2" t="str">
        <f t="shared" si="12"/>
        <v>Error?</v>
      </c>
    </row>
    <row r="839" spans="1:4" x14ac:dyDescent="0.2">
      <c r="A839" s="5">
        <v>778</v>
      </c>
      <c r="B839" s="138">
        <f>'Expenditures 15-22'!E38</f>
        <v>2414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371</v>
      </c>
      <c r="D842" s="2" t="str">
        <f t="shared" si="12"/>
        <v>Error?</v>
      </c>
    </row>
    <row r="843" spans="1:4" x14ac:dyDescent="0.2">
      <c r="A843" s="5">
        <v>782</v>
      </c>
      <c r="B843" s="138">
        <f>'Expenditures 15-22'!E42</f>
        <v>3111</v>
      </c>
      <c r="C843" s="2" t="s">
        <v>573</v>
      </c>
      <c r="D843" s="2" t="str">
        <f t="shared" si="12"/>
        <v>Error?</v>
      </c>
    </row>
    <row r="844" spans="1:4" x14ac:dyDescent="0.2">
      <c r="A844" s="5">
        <v>783</v>
      </c>
      <c r="B844" s="138">
        <f>'Expenditures 15-22'!E44</f>
        <v>32298</v>
      </c>
      <c r="D844" s="2" t="str">
        <f t="shared" si="12"/>
        <v>Error?</v>
      </c>
    </row>
    <row r="845" spans="1:4" x14ac:dyDescent="0.2">
      <c r="A845" s="5">
        <v>784</v>
      </c>
      <c r="B845" s="138">
        <f>'Expenditures 15-22'!E45</f>
        <v>276</v>
      </c>
      <c r="D845" s="2" t="str">
        <f t="shared" si="12"/>
        <v>Error?</v>
      </c>
    </row>
    <row r="846" spans="1:4" x14ac:dyDescent="0.2">
      <c r="A846" s="5">
        <v>785</v>
      </c>
      <c r="B846" s="138">
        <f>'Expenditures 15-22'!E46</f>
        <v>43286</v>
      </c>
      <c r="D846" s="2" t="str">
        <f t="shared" si="12"/>
        <v>Error?</v>
      </c>
    </row>
    <row r="847" spans="1:4" x14ac:dyDescent="0.2">
      <c r="A847" s="5">
        <v>786</v>
      </c>
      <c r="B847" s="138">
        <f>'Expenditures 15-22'!E47</f>
        <v>75860</v>
      </c>
      <c r="C847" s="2" t="s">
        <v>573</v>
      </c>
      <c r="D847" s="2" t="str">
        <f t="shared" si="12"/>
        <v>Error?</v>
      </c>
    </row>
    <row r="848" spans="1:4" x14ac:dyDescent="0.2">
      <c r="A848" s="5">
        <v>787</v>
      </c>
      <c r="B848" s="138">
        <f>'Expenditures 15-22'!E49</f>
        <v>10147</v>
      </c>
      <c r="D848" s="2" t="str">
        <f t="shared" si="12"/>
        <v>Error?</v>
      </c>
    </row>
    <row r="849" spans="1:4" x14ac:dyDescent="0.2">
      <c r="A849" s="5">
        <v>788</v>
      </c>
      <c r="B849" s="138">
        <f>'Expenditures 15-22'!E50</f>
        <v>6197</v>
      </c>
      <c r="D849" s="2" t="str">
        <f t="shared" si="12"/>
        <v>Error?</v>
      </c>
    </row>
    <row r="850" spans="1:4" x14ac:dyDescent="0.2">
      <c r="A850" s="5">
        <v>789</v>
      </c>
      <c r="B850" s="138">
        <f>'Expenditures 15-22'!E53</f>
        <v>17344</v>
      </c>
      <c r="C850" s="2" t="s">
        <v>573</v>
      </c>
      <c r="D850" s="2" t="str">
        <f t="shared" si="12"/>
        <v>Error?</v>
      </c>
    </row>
    <row r="851" spans="1:4" x14ac:dyDescent="0.2">
      <c r="A851" s="5">
        <v>790</v>
      </c>
      <c r="B851" s="138">
        <f>'Expenditures 15-22'!E55</f>
        <v>4826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4826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6781</v>
      </c>
      <c r="D855" s="2" t="str">
        <f t="shared" si="12"/>
        <v>Error?</v>
      </c>
    </row>
    <row r="856" spans="1:4" x14ac:dyDescent="0.2">
      <c r="A856" s="5">
        <v>795</v>
      </c>
      <c r="B856" s="138">
        <f>'Expenditures 15-22'!E61</f>
        <v>13673</v>
      </c>
      <c r="D856" s="2" t="str">
        <f t="shared" si="12"/>
        <v>Error?</v>
      </c>
    </row>
    <row r="857" spans="1:4" x14ac:dyDescent="0.2">
      <c r="A857" s="5">
        <v>796</v>
      </c>
      <c r="B857" s="138">
        <f>'Expenditures 15-22'!E62</f>
        <v>51</v>
      </c>
      <c r="D857" s="2" t="str">
        <f t="shared" si="12"/>
        <v>Error?</v>
      </c>
    </row>
    <row r="858" spans="1:4" x14ac:dyDescent="0.2">
      <c r="A858" s="5">
        <v>797</v>
      </c>
      <c r="B858" s="138">
        <f>'Expenditures 15-22'!E63</f>
        <v>459805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480310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3007</v>
      </c>
      <c r="D867" s="2" t="str">
        <f t="shared" si="12"/>
        <v>Error?</v>
      </c>
    </row>
    <row r="868" spans="1:4" x14ac:dyDescent="0.2">
      <c r="A868" s="10">
        <v>807</v>
      </c>
      <c r="D868" s="2" t="str">
        <f t="shared" si="12"/>
        <v>OK</v>
      </c>
    </row>
    <row r="869" spans="1:4" x14ac:dyDescent="0.2">
      <c r="A869" s="5">
        <v>808</v>
      </c>
      <c r="B869" s="138">
        <f>'Expenditures 15-22'!E72</f>
        <v>3007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584458</v>
      </c>
      <c r="C871" s="2" t="s">
        <v>573</v>
      </c>
      <c r="D871" s="2" t="str">
        <f t="shared" si="12"/>
        <v>Error?</v>
      </c>
    </row>
    <row r="872" spans="1:4" x14ac:dyDescent="0.2">
      <c r="A872" s="5">
        <v>811</v>
      </c>
      <c r="B872" s="138">
        <f>'Expenditures 15-22'!E75</f>
        <v>360</v>
      </c>
      <c r="D872" s="2" t="str">
        <f t="shared" si="12"/>
        <v>Error?</v>
      </c>
    </row>
    <row r="873" spans="1:4" x14ac:dyDescent="0.2">
      <c r="A873" s="5">
        <v>812</v>
      </c>
      <c r="B873" s="138">
        <f>'Expenditures 15-22'!E114</f>
        <v>798200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279290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709</v>
      </c>
      <c r="D891" s="2" t="str">
        <f t="shared" si="12"/>
        <v>Error?</v>
      </c>
    </row>
    <row r="892" spans="1:4" x14ac:dyDescent="0.2">
      <c r="A892" s="5">
        <v>831</v>
      </c>
      <c r="B892" s="138">
        <f>'Expenditures 15-22'!F14</f>
        <v>28645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449906</v>
      </c>
      <c r="C894" s="2" t="s">
        <v>573</v>
      </c>
      <c r="D894" s="2" t="str">
        <f t="shared" si="12"/>
        <v>Error?</v>
      </c>
    </row>
    <row r="895" spans="1:4" x14ac:dyDescent="0.2">
      <c r="A895" s="5">
        <v>834</v>
      </c>
      <c r="B895" s="138">
        <f>'Expenditures 15-22'!F36</f>
        <v>599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2001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4746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4746</v>
      </c>
      <c r="C905" s="2" t="s">
        <v>573</v>
      </c>
      <c r="D905" s="2" t="str">
        <f t="shared" si="13"/>
        <v>Error?</v>
      </c>
    </row>
    <row r="906" spans="1:4" x14ac:dyDescent="0.2">
      <c r="A906" s="5">
        <v>845</v>
      </c>
      <c r="B906" s="138">
        <f>'Expenditures 15-22'!F49</f>
        <v>1177</v>
      </c>
      <c r="D906" s="2" t="str">
        <f t="shared" si="13"/>
        <v>Error?</v>
      </c>
    </row>
    <row r="907" spans="1:4" x14ac:dyDescent="0.2">
      <c r="A907" s="5">
        <v>846</v>
      </c>
      <c r="B907" s="138">
        <f>'Expenditures 15-22'!F50</f>
        <v>4938</v>
      </c>
      <c r="D907" s="2" t="str">
        <f t="shared" si="13"/>
        <v>Error?</v>
      </c>
    </row>
    <row r="908" spans="1:4" x14ac:dyDescent="0.2">
      <c r="A908" s="5">
        <v>847</v>
      </c>
      <c r="B908" s="138">
        <f>'Expenditures 15-22'!F53</f>
        <v>6115</v>
      </c>
      <c r="C908" s="2" t="s">
        <v>573</v>
      </c>
      <c r="D908" s="2" t="str">
        <f t="shared" si="13"/>
        <v>Error?</v>
      </c>
    </row>
    <row r="909" spans="1:4" x14ac:dyDescent="0.2">
      <c r="A909" s="5">
        <v>848</v>
      </c>
      <c r="B909" s="138">
        <f>'Expenditures 15-22'!F55</f>
        <v>6582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6582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1731</v>
      </c>
      <c r="D913" s="2" t="str">
        <f t="shared" si="13"/>
        <v>Error?</v>
      </c>
    </row>
    <row r="914" spans="1:4" x14ac:dyDescent="0.2">
      <c r="A914" s="5">
        <v>853</v>
      </c>
      <c r="B914" s="138">
        <f>'Expenditures 15-22'!F61</f>
        <v>31989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34074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53518</v>
      </c>
      <c r="C929" s="2" t="s">
        <v>573</v>
      </c>
      <c r="D929" s="2" t="str">
        <f t="shared" si="13"/>
        <v>Error?</v>
      </c>
    </row>
    <row r="930" spans="1:4" x14ac:dyDescent="0.2">
      <c r="A930" s="5">
        <v>869</v>
      </c>
      <c r="B930" s="138">
        <f>'Expenditures 15-22'!F75</f>
        <v>2780</v>
      </c>
      <c r="D930" s="2" t="str">
        <f t="shared" si="13"/>
        <v>Error?</v>
      </c>
    </row>
    <row r="931" spans="1:4" x14ac:dyDescent="0.2">
      <c r="A931" s="5">
        <v>870</v>
      </c>
      <c r="B931" s="138">
        <f>'Expenditures 15-22'!F114</f>
        <v>506204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26700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3481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49935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807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807</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1168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19135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20303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21110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71045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18028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5680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37503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70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3635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3635</v>
      </c>
      <c r="C1021" s="2" t="s">
        <v>573</v>
      </c>
      <c r="D1021" s="2" t="str">
        <f t="shared" si="14"/>
        <v>Error?</v>
      </c>
    </row>
    <row r="1022" spans="1:4" x14ac:dyDescent="0.2">
      <c r="A1022" s="5">
        <v>961</v>
      </c>
      <c r="B1022" s="138">
        <f>'Expenditures 15-22'!H49</f>
        <v>19969</v>
      </c>
      <c r="D1022" s="2" t="str">
        <f t="shared" si="14"/>
        <v>Error?</v>
      </c>
    </row>
    <row r="1023" spans="1:4" x14ac:dyDescent="0.2">
      <c r="A1023" s="5">
        <v>962</v>
      </c>
      <c r="B1023" s="138">
        <f>'Expenditures 15-22'!H50</f>
        <v>2794</v>
      </c>
      <c r="D1023" s="2" t="str">
        <f t="shared" ref="D1023:D1086" si="15">IF(ISBLANK(B1023),"OK",IF(A1023-B1023=0,"OK","Error?"))</f>
        <v>Error?</v>
      </c>
    </row>
    <row r="1024" spans="1:4" x14ac:dyDescent="0.2">
      <c r="A1024" s="5">
        <v>963</v>
      </c>
      <c r="B1024" s="138">
        <f>'Expenditures 15-22'!H53</f>
        <v>22763</v>
      </c>
      <c r="C1024" s="2" t="s">
        <v>573</v>
      </c>
      <c r="D1024" s="2" t="str">
        <f t="shared" si="15"/>
        <v>Error?</v>
      </c>
    </row>
    <row r="1025" spans="1:4" x14ac:dyDescent="0.2">
      <c r="A1025" s="5">
        <v>964</v>
      </c>
      <c r="B1025" s="138">
        <f>'Expenditures 15-22'!H55</f>
        <v>2475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2475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200</v>
      </c>
      <c r="D1029" s="2" t="str">
        <f t="shared" si="15"/>
        <v>Error?</v>
      </c>
    </row>
    <row r="1030" spans="1:4" x14ac:dyDescent="0.2">
      <c r="A1030" s="5">
        <v>969</v>
      </c>
      <c r="B1030" s="138">
        <f>'Expenditures 15-22'!H61</f>
        <v>101</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29244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1210313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1277060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4164523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275052</v>
      </c>
      <c r="C1105" s="2" t="s">
        <v>573</v>
      </c>
      <c r="D1105" s="2" t="str">
        <f t="shared" si="16"/>
        <v>Error?</v>
      </c>
    </row>
    <row r="1106" spans="1:4" x14ac:dyDescent="0.2">
      <c r="A1106" s="5">
        <v>1045</v>
      </c>
      <c r="B1106" s="138">
        <f>'Expenditures 15-22'!K14</f>
        <v>250242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5219835</v>
      </c>
      <c r="C1108" s="2" t="s">
        <v>573</v>
      </c>
      <c r="D1108" s="2" t="str">
        <f t="shared" si="16"/>
        <v>Error?</v>
      </c>
    </row>
    <row r="1109" spans="1:4" x14ac:dyDescent="0.2">
      <c r="A1109" s="5">
        <v>1048</v>
      </c>
      <c r="B1109" s="138">
        <f>'Expenditures 15-22'!K36</f>
        <v>60838</v>
      </c>
      <c r="C1109" s="2" t="s">
        <v>573</v>
      </c>
      <c r="D1109" s="2" t="str">
        <f t="shared" si="16"/>
        <v>Error?</v>
      </c>
    </row>
    <row r="1110" spans="1:4" x14ac:dyDescent="0.2">
      <c r="A1110" s="5">
        <v>1049</v>
      </c>
      <c r="B1110" s="138">
        <f>'Expenditures 15-22'!K37</f>
        <v>87122</v>
      </c>
      <c r="C1110" s="2" t="s">
        <v>573</v>
      </c>
      <c r="D1110" s="2" t="str">
        <f t="shared" si="16"/>
        <v>Error?</v>
      </c>
    </row>
    <row r="1111" spans="1:4" x14ac:dyDescent="0.2">
      <c r="A1111" s="5">
        <v>1050</v>
      </c>
      <c r="B1111" s="138">
        <f>'Expenditures 15-22'!K38</f>
        <v>66437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65921</v>
      </c>
      <c r="C1114" s="2" t="s">
        <v>573</v>
      </c>
      <c r="D1114" s="2" t="str">
        <f t="shared" si="16"/>
        <v>Error?</v>
      </c>
    </row>
    <row r="1115" spans="1:4" x14ac:dyDescent="0.2">
      <c r="A1115" s="5">
        <v>1054</v>
      </c>
      <c r="B1115" s="138">
        <f>'Expenditures 15-22'!K42</f>
        <v>280318</v>
      </c>
      <c r="C1115" s="2" t="s">
        <v>573</v>
      </c>
      <c r="D1115" s="2" t="str">
        <f t="shared" si="16"/>
        <v>Error?</v>
      </c>
    </row>
    <row r="1116" spans="1:4" x14ac:dyDescent="0.2">
      <c r="A1116" s="5">
        <v>1055</v>
      </c>
      <c r="B1116" s="138">
        <f>'Expenditures 15-22'!K44</f>
        <v>163580</v>
      </c>
      <c r="C1116" s="2" t="s">
        <v>573</v>
      </c>
      <c r="D1116" s="2" t="str">
        <f t="shared" si="16"/>
        <v>Error?</v>
      </c>
    </row>
    <row r="1117" spans="1:4" x14ac:dyDescent="0.2">
      <c r="A1117" s="5">
        <v>1056</v>
      </c>
      <c r="B1117" s="138">
        <f>'Expenditures 15-22'!K45</f>
        <v>34718</v>
      </c>
      <c r="C1117" s="2" t="s">
        <v>573</v>
      </c>
      <c r="D1117" s="2" t="str">
        <f t="shared" si="16"/>
        <v>Error?</v>
      </c>
    </row>
    <row r="1118" spans="1:4" x14ac:dyDescent="0.2">
      <c r="A1118" s="5">
        <v>1057</v>
      </c>
      <c r="B1118" s="138">
        <f>'Expenditures 15-22'!K46</f>
        <v>43286</v>
      </c>
      <c r="C1118" s="2" t="s">
        <v>573</v>
      </c>
      <c r="D1118" s="2" t="str">
        <f t="shared" si="16"/>
        <v>Error?</v>
      </c>
    </row>
    <row r="1119" spans="1:4" x14ac:dyDescent="0.2">
      <c r="A1119" s="5">
        <v>1058</v>
      </c>
      <c r="B1119" s="138">
        <f>'Expenditures 15-22'!K47</f>
        <v>241584</v>
      </c>
      <c r="C1119" s="2" t="s">
        <v>573</v>
      </c>
      <c r="D1119" s="2" t="str">
        <f t="shared" si="16"/>
        <v>Error?</v>
      </c>
    </row>
    <row r="1120" spans="1:4" x14ac:dyDescent="0.2">
      <c r="A1120" s="5">
        <v>1059</v>
      </c>
      <c r="B1120" s="138">
        <f>'Expenditures 15-22'!K49</f>
        <v>117983</v>
      </c>
      <c r="C1120" s="2" t="s">
        <v>573</v>
      </c>
      <c r="D1120" s="2" t="str">
        <f t="shared" si="16"/>
        <v>Error?</v>
      </c>
    </row>
    <row r="1121" spans="1:4" x14ac:dyDescent="0.2">
      <c r="A1121" s="5">
        <v>1060</v>
      </c>
      <c r="B1121" s="138">
        <f>'Expenditures 15-22'!K50</f>
        <v>140966</v>
      </c>
      <c r="C1121" s="2" t="s">
        <v>573</v>
      </c>
      <c r="D1121" s="2" t="str">
        <f t="shared" si="16"/>
        <v>Error?</v>
      </c>
    </row>
    <row r="1122" spans="1:4" x14ac:dyDescent="0.2">
      <c r="A1122" s="5">
        <v>1061</v>
      </c>
      <c r="B1122" s="138">
        <f>'Expenditures 15-22'!K53</f>
        <v>259949</v>
      </c>
      <c r="C1122" s="2" t="s">
        <v>573</v>
      </c>
      <c r="D1122" s="2" t="str">
        <f t="shared" si="16"/>
        <v>Error?</v>
      </c>
    </row>
    <row r="1123" spans="1:4" x14ac:dyDescent="0.2">
      <c r="A1123" s="5">
        <v>1062</v>
      </c>
      <c r="B1123" s="138">
        <f>'Expenditures 15-22'!K55</f>
        <v>655489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655489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185748</v>
      </c>
      <c r="C1127" s="2" t="s">
        <v>573</v>
      </c>
      <c r="D1127" s="2" t="str">
        <f t="shared" si="16"/>
        <v>Error?</v>
      </c>
    </row>
    <row r="1128" spans="1:4" x14ac:dyDescent="0.2">
      <c r="A1128" s="5">
        <v>1067</v>
      </c>
      <c r="B1128" s="138">
        <f>'Expenditures 15-22'!K61</f>
        <v>573055</v>
      </c>
      <c r="C1128" s="2" t="s">
        <v>573</v>
      </c>
      <c r="D1128" s="2" t="str">
        <f t="shared" si="16"/>
        <v>Error?</v>
      </c>
    </row>
    <row r="1129" spans="1:4" x14ac:dyDescent="0.2">
      <c r="A1129" s="5">
        <v>1068</v>
      </c>
      <c r="B1129" s="138">
        <f>'Expenditures 15-22'!K62</f>
        <v>13305</v>
      </c>
      <c r="C1129" s="2" t="s">
        <v>573</v>
      </c>
      <c r="D1129" s="2" t="str">
        <f t="shared" si="16"/>
        <v>Error?</v>
      </c>
    </row>
    <row r="1130" spans="1:4" x14ac:dyDescent="0.2">
      <c r="A1130" s="5">
        <v>1069</v>
      </c>
      <c r="B1130" s="138">
        <f>'Expenditures 15-22'!K63</f>
        <v>510495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1282603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3007</v>
      </c>
      <c r="C1139" s="2" t="s">
        <v>573</v>
      </c>
      <c r="D1139" s="2" t="str">
        <f t="shared" si="16"/>
        <v>Error?</v>
      </c>
    </row>
    <row r="1140" spans="1:4" x14ac:dyDescent="0.2">
      <c r="A1140" s="10">
        <v>1079</v>
      </c>
      <c r="D1140" s="2" t="str">
        <f t="shared" si="16"/>
        <v>OK</v>
      </c>
    </row>
    <row r="1141" spans="1:4" x14ac:dyDescent="0.2">
      <c r="A1141" s="5">
        <v>1080</v>
      </c>
      <c r="B1141" s="138">
        <f>'Expenditures 15-22'!K72</f>
        <v>3007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2722950</v>
      </c>
      <c r="C1143" s="2" t="s">
        <v>573</v>
      </c>
      <c r="D1143" s="2" t="str">
        <f t="shared" si="16"/>
        <v>Error?</v>
      </c>
    </row>
    <row r="1144" spans="1:4" x14ac:dyDescent="0.2">
      <c r="A1144" s="5">
        <v>1083</v>
      </c>
      <c r="B1144" s="138">
        <f>'Expenditures 15-22'!K75</f>
        <v>37743</v>
      </c>
      <c r="C1144" s="2" t="s">
        <v>573</v>
      </c>
      <c r="D1144" s="2" t="str">
        <f t="shared" si="16"/>
        <v>Error?</v>
      </c>
    </row>
    <row r="1145" spans="1:4" x14ac:dyDescent="0.2">
      <c r="A1145" s="5">
        <v>1084</v>
      </c>
      <c r="B1145" s="138">
        <f>'Expenditures 15-22'!K102</f>
        <v>1210313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9190841</v>
      </c>
      <c r="C1152" s="2" t="s">
        <v>573</v>
      </c>
      <c r="D1152" s="2" t="str">
        <f t="shared" si="17"/>
        <v>Error?</v>
      </c>
    </row>
    <row r="1153" spans="1:4" x14ac:dyDescent="0.2">
      <c r="A1153" s="5">
        <v>1092</v>
      </c>
      <c r="B1153" s="138">
        <f>'Expenditures 15-22'!K115</f>
        <v>-6487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728862</v>
      </c>
      <c r="D1237" s="2" t="str">
        <f t="shared" si="18"/>
        <v>Error?</v>
      </c>
    </row>
    <row r="1238" spans="1:4" x14ac:dyDescent="0.2">
      <c r="A1238" s="10">
        <v>1177</v>
      </c>
      <c r="D1238" s="2" t="str">
        <f t="shared" si="18"/>
        <v>OK</v>
      </c>
    </row>
    <row r="1239" spans="1:4" x14ac:dyDescent="0.2">
      <c r="A1239" s="5">
        <v>1178</v>
      </c>
      <c r="B1239" s="138">
        <f>'Expenditures 15-22'!E127</f>
        <v>728862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728862</v>
      </c>
      <c r="C1241" s="2" t="s">
        <v>573</v>
      </c>
      <c r="D1241" s="2" t="str">
        <f t="shared" si="18"/>
        <v>Error?</v>
      </c>
    </row>
    <row r="1242" spans="1:4" x14ac:dyDescent="0.2">
      <c r="A1242" s="5">
        <v>1181</v>
      </c>
      <c r="B1242" s="138">
        <f>'Expenditures 15-22'!E151</f>
        <v>728862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223490</v>
      </c>
      <c r="D1245" s="2" t="str">
        <f t="shared" si="18"/>
        <v>Error?</v>
      </c>
    </row>
    <row r="1246" spans="1:4" x14ac:dyDescent="0.2">
      <c r="A1246" s="10">
        <v>1185</v>
      </c>
      <c r="D1246" s="2" t="str">
        <f t="shared" si="18"/>
        <v>OK</v>
      </c>
    </row>
    <row r="1247" spans="1:4" x14ac:dyDescent="0.2">
      <c r="A1247" s="5">
        <v>1186</v>
      </c>
      <c r="B1247" s="138">
        <f>'Expenditures 15-22'!F127</f>
        <v>223490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223490</v>
      </c>
      <c r="C1249" s="2" t="s">
        <v>573</v>
      </c>
      <c r="D1249" s="2" t="str">
        <f t="shared" si="18"/>
        <v>Error?</v>
      </c>
    </row>
    <row r="1250" spans="1:4" x14ac:dyDescent="0.2">
      <c r="A1250" s="5">
        <v>1189</v>
      </c>
      <c r="B1250" s="138">
        <f>'Expenditures 15-22'!F151</f>
        <v>223490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11493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11493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11493</v>
      </c>
      <c r="C1258" s="2" t="s">
        <v>573</v>
      </c>
      <c r="D1258" s="2" t="str">
        <f t="shared" si="18"/>
        <v>Error?</v>
      </c>
    </row>
    <row r="1259" spans="1:4" x14ac:dyDescent="0.2">
      <c r="A1259" s="5">
        <v>1198</v>
      </c>
      <c r="B1259" s="138">
        <f>'Expenditures 15-22'!G151</f>
        <v>11493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963845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963845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963845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963845</v>
      </c>
      <c r="C1288" s="2" t="s">
        <v>573</v>
      </c>
      <c r="D1288" s="2" t="str">
        <f t="shared" si="19"/>
        <v>Error?</v>
      </c>
    </row>
    <row r="1289" spans="1:4" x14ac:dyDescent="0.2">
      <c r="A1289" s="5">
        <v>1228</v>
      </c>
      <c r="B1289" s="138">
        <f>'Expenditures 15-22'!K152</f>
        <v>-306898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259897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1020961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1280858</v>
      </c>
      <c r="C1317" s="2" t="s">
        <v>573</v>
      </c>
      <c r="D1317" s="2" t="str">
        <f t="shared" si="19"/>
        <v>Error?</v>
      </c>
    </row>
    <row r="1318" spans="1:4" x14ac:dyDescent="0.2">
      <c r="A1318" s="5">
        <v>1257</v>
      </c>
      <c r="B1318" s="138">
        <f>'Expenditures 15-22'!H174</f>
        <v>1280858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259897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1020961</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1280858</v>
      </c>
      <c r="C1331" s="2" t="s">
        <v>573</v>
      </c>
      <c r="D1331" s="2" t="str">
        <f t="shared" si="19"/>
        <v>Error?</v>
      </c>
    </row>
    <row r="1332" spans="1:4" x14ac:dyDescent="0.2">
      <c r="A1332" s="5">
        <v>1271</v>
      </c>
      <c r="B1332" s="138">
        <f>'Expenditures 15-22'!K174</f>
        <v>1280858</v>
      </c>
      <c r="C1332" s="2" t="s">
        <v>573</v>
      </c>
      <c r="D1332" s="2" t="str">
        <f t="shared" si="19"/>
        <v>Error?</v>
      </c>
    </row>
    <row r="1333" spans="1:4" x14ac:dyDescent="0.2">
      <c r="A1333" s="5">
        <v>1272</v>
      </c>
      <c r="B1333" s="138">
        <f>'Expenditures 15-22'!K175</f>
        <v>-548512</v>
      </c>
      <c r="C1333" s="2" t="s">
        <v>573</v>
      </c>
      <c r="D1333" s="2" t="str">
        <f t="shared" si="19"/>
        <v>Error?</v>
      </c>
    </row>
    <row r="1334" spans="1:4" x14ac:dyDescent="0.2">
      <c r="A1334" s="10">
        <v>1273</v>
      </c>
      <c r="D1334" s="2" t="str">
        <f t="shared" si="19"/>
        <v>OK</v>
      </c>
    </row>
    <row r="1335" spans="1:4" x14ac:dyDescent="0.2">
      <c r="A1335" s="5">
        <v>1274</v>
      </c>
      <c r="B1335" s="138">
        <f>'Expenditures 15-22'!C182</f>
        <v>4940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4940</v>
      </c>
      <c r="C1339" s="2" t="s">
        <v>573</v>
      </c>
      <c r="D1339" s="2" t="str">
        <f t="shared" si="19"/>
        <v>Error?</v>
      </c>
    </row>
    <row r="1340" spans="1:4" x14ac:dyDescent="0.2">
      <c r="A1340" s="5">
        <v>1279</v>
      </c>
      <c r="B1340" s="138">
        <f>'Expenditures 15-22'!C210</f>
        <v>4940</v>
      </c>
      <c r="C1340" s="2" t="s">
        <v>573</v>
      </c>
      <c r="D1340" s="2" t="str">
        <f t="shared" si="19"/>
        <v>Error?</v>
      </c>
    </row>
    <row r="1341" spans="1:4" x14ac:dyDescent="0.2">
      <c r="A1341" s="5">
        <v>1280</v>
      </c>
      <c r="B1341" s="138">
        <f>'Expenditures 15-22'!D182</f>
        <v>707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707</v>
      </c>
      <c r="C1345" s="2" t="s">
        <v>573</v>
      </c>
      <c r="D1345" s="2" t="str">
        <f t="shared" si="20"/>
        <v>Error?</v>
      </c>
    </row>
    <row r="1346" spans="1:4" x14ac:dyDescent="0.2">
      <c r="A1346" s="5">
        <v>1285</v>
      </c>
      <c r="B1346" s="138">
        <f>'Expenditures 15-22'!D210</f>
        <v>707</v>
      </c>
      <c r="C1346" s="2" t="s">
        <v>573</v>
      </c>
      <c r="D1346" s="2" t="str">
        <f t="shared" si="20"/>
        <v>Error?</v>
      </c>
    </row>
    <row r="1347" spans="1:4" x14ac:dyDescent="0.2">
      <c r="A1347" s="5">
        <v>1286</v>
      </c>
      <c r="B1347" s="138">
        <f>'Expenditures 15-22'!E182</f>
        <v>347100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29127</v>
      </c>
      <c r="D1350" s="2" t="str">
        <f t="shared" si="20"/>
        <v>Error?</v>
      </c>
    </row>
    <row r="1351" spans="1:4" x14ac:dyDescent="0.2">
      <c r="A1351" s="5">
        <v>1290</v>
      </c>
      <c r="B1351" s="138">
        <f>'Expenditures 15-22'!E184</f>
        <v>376227</v>
      </c>
      <c r="C1351" s="2" t="s">
        <v>573</v>
      </c>
      <c r="D1351" s="2" t="str">
        <f t="shared" si="20"/>
        <v>Error?</v>
      </c>
    </row>
    <row r="1352" spans="1:4" x14ac:dyDescent="0.2">
      <c r="A1352" s="5">
        <v>1291</v>
      </c>
      <c r="B1352" s="138">
        <f>'Expenditures 15-22'!E196</f>
        <v>63040</v>
      </c>
      <c r="C1352" s="2" t="s">
        <v>573</v>
      </c>
      <c r="D1352" s="2" t="str">
        <f t="shared" si="20"/>
        <v>Error?</v>
      </c>
    </row>
    <row r="1353" spans="1:4" x14ac:dyDescent="0.2">
      <c r="A1353" s="5">
        <v>1292</v>
      </c>
      <c r="B1353" s="138">
        <f>'Expenditures 15-22'!E210</f>
        <v>439267</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12056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12056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12056</v>
      </c>
      <c r="C1376" s="2" t="s">
        <v>573</v>
      </c>
      <c r="D1376" s="2" t="str">
        <f t="shared" si="20"/>
        <v>Error?</v>
      </c>
    </row>
    <row r="1377" spans="1:4" x14ac:dyDescent="0.2">
      <c r="A1377" s="5">
        <v>1316</v>
      </c>
      <c r="B1377" s="138">
        <f>'Expenditures 15-22'!K182</f>
        <v>364803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29127</v>
      </c>
      <c r="C1380" s="2" t="s">
        <v>573</v>
      </c>
      <c r="D1380" s="2" t="str">
        <f t="shared" si="20"/>
        <v>Error?</v>
      </c>
    </row>
    <row r="1381" spans="1:4" x14ac:dyDescent="0.2">
      <c r="A1381" s="5">
        <v>1320</v>
      </c>
      <c r="B1381" s="138">
        <f>'Expenditures 15-22'!K184</f>
        <v>393930</v>
      </c>
      <c r="C1381" s="2" t="s">
        <v>573</v>
      </c>
      <c r="D1381" s="2" t="str">
        <f t="shared" si="20"/>
        <v>Error?</v>
      </c>
    </row>
    <row r="1382" spans="1:4" x14ac:dyDescent="0.2">
      <c r="A1382" s="5">
        <v>1321</v>
      </c>
      <c r="B1382" s="138">
        <f>'Expenditures 15-22'!K196</f>
        <v>63040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456970</v>
      </c>
      <c r="C1388" s="2" t="s">
        <v>573</v>
      </c>
      <c r="D1388" s="2" t="str">
        <f t="shared" si="20"/>
        <v>Error?</v>
      </c>
    </row>
    <row r="1389" spans="1:4" x14ac:dyDescent="0.2">
      <c r="A1389" s="5">
        <v>1328</v>
      </c>
      <c r="B1389" s="138">
        <f>'Expenditures 15-22'!K211</f>
        <v>192544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2816</v>
      </c>
      <c r="D1407" s="2" t="str">
        <f t="shared" ref="D1407:D1470" si="21">IF(ISBLANK(B1407),"OK",IF(A1407-B1407=0,"OK","Error?"))</f>
        <v>Error?</v>
      </c>
    </row>
    <row r="1408" spans="1:4" x14ac:dyDescent="0.2">
      <c r="A1408" s="5">
        <v>1347</v>
      </c>
      <c r="B1408" s="138">
        <f>'Expenditures 15-22'!D223</f>
        <v>5336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66700</v>
      </c>
      <c r="C1410" s="2" t="s">
        <v>573</v>
      </c>
      <c r="D1410" s="2" t="str">
        <f t="shared" si="21"/>
        <v>Error?</v>
      </c>
    </row>
    <row r="1411" spans="1:4" x14ac:dyDescent="0.2">
      <c r="A1411" s="5">
        <v>1350</v>
      </c>
      <c r="B1411" s="138">
        <f>'Expenditures 15-22'!D232</f>
        <v>644</v>
      </c>
      <c r="D1411" s="2" t="str">
        <f t="shared" si="21"/>
        <v>Error?</v>
      </c>
    </row>
    <row r="1412" spans="1:4" x14ac:dyDescent="0.2">
      <c r="A1412" s="5">
        <v>1351</v>
      </c>
      <c r="B1412" s="138">
        <f>'Expenditures 15-22'!D233</f>
        <v>1000</v>
      </c>
      <c r="D1412" s="2" t="str">
        <f t="shared" si="21"/>
        <v>Error?</v>
      </c>
    </row>
    <row r="1413" spans="1:4" x14ac:dyDescent="0.2">
      <c r="A1413" s="5">
        <v>1352</v>
      </c>
      <c r="B1413" s="138">
        <f>'Expenditures 15-22'!D234</f>
        <v>8356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2800</v>
      </c>
      <c r="D1416" s="2" t="str">
        <f t="shared" si="21"/>
        <v>Error?</v>
      </c>
    </row>
    <row r="1417" spans="1:4" x14ac:dyDescent="0.2">
      <c r="A1417" s="5">
        <v>1356</v>
      </c>
      <c r="B1417" s="138">
        <f>'Expenditures 15-22'!D238</f>
        <v>12800</v>
      </c>
      <c r="C1417" s="2" t="s">
        <v>573</v>
      </c>
      <c r="D1417" s="2" t="str">
        <f t="shared" si="21"/>
        <v>Error?</v>
      </c>
    </row>
    <row r="1418" spans="1:4" x14ac:dyDescent="0.2">
      <c r="A1418" s="5">
        <v>1357</v>
      </c>
      <c r="B1418" s="138">
        <f>'Expenditures 15-22'!D240</f>
        <v>1819</v>
      </c>
      <c r="D1418" s="2" t="str">
        <f t="shared" si="21"/>
        <v>Error?</v>
      </c>
    </row>
    <row r="1419" spans="1:4" x14ac:dyDescent="0.2">
      <c r="A1419" s="5">
        <v>1358</v>
      </c>
      <c r="B1419" s="138">
        <f>'Expenditures 15-22'!D241</f>
        <v>4153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5972</v>
      </c>
      <c r="C1421" s="2" t="s">
        <v>573</v>
      </c>
      <c r="D1421" s="2" t="str">
        <f t="shared" si="21"/>
        <v>Error?</v>
      </c>
    </row>
    <row r="1422" spans="1:4" x14ac:dyDescent="0.2">
      <c r="A1422" s="5">
        <v>1361</v>
      </c>
      <c r="B1422" s="138">
        <f>'Expenditures 15-22'!D245</f>
        <v>991</v>
      </c>
      <c r="D1422" s="2" t="str">
        <f t="shared" si="21"/>
        <v>Error?</v>
      </c>
    </row>
    <row r="1423" spans="1:4" x14ac:dyDescent="0.2">
      <c r="A1423" s="5">
        <v>1362</v>
      </c>
      <c r="B1423" s="138">
        <f>'Expenditures 15-22'!D246</f>
        <v>6136</v>
      </c>
      <c r="D1423" s="2" t="str">
        <f t="shared" si="21"/>
        <v>Error?</v>
      </c>
    </row>
    <row r="1424" spans="1:4" x14ac:dyDescent="0.2">
      <c r="A1424" s="5">
        <v>1363</v>
      </c>
      <c r="B1424" s="138">
        <f>'Expenditures 15-22'!D257</f>
        <v>7127</v>
      </c>
      <c r="C1424" s="2" t="s">
        <v>573</v>
      </c>
      <c r="D1424" s="2" t="str">
        <f t="shared" si="21"/>
        <v>Error?</v>
      </c>
    </row>
    <row r="1425" spans="1:4" x14ac:dyDescent="0.2">
      <c r="A1425" s="5">
        <v>1364</v>
      </c>
      <c r="B1425" s="138">
        <f>'Expenditures 15-22'!D259</f>
        <v>26954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26954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20111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73128</v>
      </c>
      <c r="D1431" s="2" t="str">
        <f t="shared" si="21"/>
        <v>Error?</v>
      </c>
    </row>
    <row r="1432" spans="1:4" x14ac:dyDescent="0.2">
      <c r="A1432" s="5">
        <v>1371</v>
      </c>
      <c r="B1432" s="138">
        <f>'Expenditures 15-22'!D267</f>
        <v>895</v>
      </c>
      <c r="D1432" s="2" t="str">
        <f t="shared" si="21"/>
        <v>Error?</v>
      </c>
    </row>
    <row r="1433" spans="1:4" x14ac:dyDescent="0.2">
      <c r="A1433" s="5">
        <v>1372</v>
      </c>
      <c r="B1433" s="138">
        <f>'Expenditures 15-22'!D268</f>
        <v>3508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97642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150495</v>
      </c>
      <c r="C1446" s="2" t="s">
        <v>573</v>
      </c>
      <c r="D1446" s="2" t="str">
        <f t="shared" si="21"/>
        <v>Error?</v>
      </c>
    </row>
    <row r="1447" spans="1:4" x14ac:dyDescent="0.2">
      <c r="A1447" s="5">
        <v>1386</v>
      </c>
      <c r="B1447" s="138">
        <f>'Expenditures 15-22'!D280</f>
        <v>5035</v>
      </c>
      <c r="D1447" s="2" t="str">
        <f t="shared" si="21"/>
        <v>Error?</v>
      </c>
    </row>
    <row r="1448" spans="1:4" x14ac:dyDescent="0.2">
      <c r="A1448" s="5">
        <v>1387</v>
      </c>
      <c r="B1448" s="138">
        <f>'Expenditures 15-22'!D295</f>
        <v>222230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2816</v>
      </c>
      <c r="C1471" s="2" t="s">
        <v>573</v>
      </c>
      <c r="D1471" s="2" t="str">
        <f t="shared" ref="D1471:D1534" si="22">IF(ISBLANK(B1471),"OK",IF(A1471-B1471=0,"OK","Error?"))</f>
        <v>Error?</v>
      </c>
    </row>
    <row r="1472" spans="1:4" x14ac:dyDescent="0.2">
      <c r="A1472" s="5">
        <v>1411</v>
      </c>
      <c r="B1472" s="138">
        <f>'Expenditures 15-22'!K223</f>
        <v>5336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66700</v>
      </c>
      <c r="C1474" s="2" t="s">
        <v>573</v>
      </c>
      <c r="D1474" s="2" t="str">
        <f t="shared" si="22"/>
        <v>Error?</v>
      </c>
    </row>
    <row r="1475" spans="1:4" x14ac:dyDescent="0.2">
      <c r="A1475" s="5">
        <v>1414</v>
      </c>
      <c r="B1475" s="138">
        <f>'Expenditures 15-22'!K232</f>
        <v>644</v>
      </c>
      <c r="C1475" s="2" t="s">
        <v>573</v>
      </c>
      <c r="D1475" s="2" t="str">
        <f t="shared" si="22"/>
        <v>Error?</v>
      </c>
    </row>
    <row r="1476" spans="1:4" x14ac:dyDescent="0.2">
      <c r="A1476" s="5">
        <v>1415</v>
      </c>
      <c r="B1476" s="138">
        <f>'Expenditures 15-22'!K233</f>
        <v>1000</v>
      </c>
      <c r="C1476" s="2" t="s">
        <v>573</v>
      </c>
      <c r="D1476" s="2" t="str">
        <f t="shared" si="22"/>
        <v>Error?</v>
      </c>
    </row>
    <row r="1477" spans="1:4" x14ac:dyDescent="0.2">
      <c r="A1477" s="5">
        <v>1416</v>
      </c>
      <c r="B1477" s="138">
        <f>'Expenditures 15-22'!K234</f>
        <v>8356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2800</v>
      </c>
      <c r="C1480" s="2" t="s">
        <v>573</v>
      </c>
      <c r="D1480" s="2" t="str">
        <f t="shared" si="22"/>
        <v>Error?</v>
      </c>
    </row>
    <row r="1481" spans="1:4" x14ac:dyDescent="0.2">
      <c r="A1481" s="5">
        <v>1420</v>
      </c>
      <c r="B1481" s="138">
        <f>'Expenditures 15-22'!K238</f>
        <v>12800</v>
      </c>
      <c r="C1481" s="2" t="s">
        <v>573</v>
      </c>
      <c r="D1481" s="2" t="str">
        <f t="shared" si="22"/>
        <v>Error?</v>
      </c>
    </row>
    <row r="1482" spans="1:4" x14ac:dyDescent="0.2">
      <c r="A1482" s="5">
        <v>1421</v>
      </c>
      <c r="B1482" s="138">
        <f>'Expenditures 15-22'!K240</f>
        <v>1819</v>
      </c>
      <c r="C1482" s="2" t="s">
        <v>573</v>
      </c>
      <c r="D1482" s="2" t="str">
        <f t="shared" si="22"/>
        <v>Error?</v>
      </c>
    </row>
    <row r="1483" spans="1:4" x14ac:dyDescent="0.2">
      <c r="A1483" s="5">
        <v>1422</v>
      </c>
      <c r="B1483" s="138">
        <f>'Expenditures 15-22'!K241</f>
        <v>4153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5972</v>
      </c>
      <c r="C1485" s="2" t="s">
        <v>573</v>
      </c>
      <c r="D1485" s="2" t="str">
        <f t="shared" si="22"/>
        <v>Error?</v>
      </c>
    </row>
    <row r="1486" spans="1:4" x14ac:dyDescent="0.2">
      <c r="A1486" s="5">
        <v>1425</v>
      </c>
      <c r="B1486" s="138">
        <f>'Expenditures 15-22'!K245</f>
        <v>991</v>
      </c>
      <c r="C1486" s="2" t="s">
        <v>573</v>
      </c>
      <c r="D1486" s="2" t="str">
        <f t="shared" si="22"/>
        <v>Error?</v>
      </c>
    </row>
    <row r="1487" spans="1:4" x14ac:dyDescent="0.2">
      <c r="A1487" s="5">
        <v>1426</v>
      </c>
      <c r="B1487" s="138">
        <f>'Expenditures 15-22'!K246</f>
        <v>6136</v>
      </c>
      <c r="C1487" s="2" t="s">
        <v>573</v>
      </c>
      <c r="D1487" s="2" t="str">
        <f t="shared" si="22"/>
        <v>Error?</v>
      </c>
    </row>
    <row r="1488" spans="1:4" x14ac:dyDescent="0.2">
      <c r="A1488" s="5">
        <v>1427</v>
      </c>
      <c r="B1488" s="138">
        <f>'Expenditures 15-22'!K257</f>
        <v>7127</v>
      </c>
      <c r="C1488" s="2" t="s">
        <v>573</v>
      </c>
      <c r="D1488" s="2" t="str">
        <f t="shared" si="22"/>
        <v>Error?</v>
      </c>
    </row>
    <row r="1489" spans="1:4" x14ac:dyDescent="0.2">
      <c r="A1489" s="5">
        <v>1428</v>
      </c>
      <c r="B1489" s="138">
        <f>'Expenditures 15-22'!K259</f>
        <v>26954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26954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20111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73128</v>
      </c>
      <c r="C1495" s="2" t="s">
        <v>573</v>
      </c>
      <c r="D1495" s="2" t="str">
        <f t="shared" si="22"/>
        <v>Error?</v>
      </c>
    </row>
    <row r="1496" spans="1:4" x14ac:dyDescent="0.2">
      <c r="A1496" s="5">
        <v>1435</v>
      </c>
      <c r="B1496" s="138">
        <f>'Expenditures 15-22'!K267</f>
        <v>895</v>
      </c>
      <c r="C1496" s="2" t="s">
        <v>573</v>
      </c>
      <c r="D1496" s="2" t="str">
        <f t="shared" si="22"/>
        <v>Error?</v>
      </c>
    </row>
    <row r="1497" spans="1:4" x14ac:dyDescent="0.2">
      <c r="A1497" s="5">
        <v>1436</v>
      </c>
      <c r="B1497" s="138">
        <f>'Expenditures 15-22'!K268</f>
        <v>3508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97642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150495</v>
      </c>
      <c r="C1510" s="2" t="s">
        <v>573</v>
      </c>
      <c r="D1510" s="2" t="str">
        <f t="shared" si="22"/>
        <v>Error?</v>
      </c>
    </row>
    <row r="1511" spans="1:4" x14ac:dyDescent="0.2">
      <c r="A1511" s="5">
        <v>1450</v>
      </c>
      <c r="B1511" s="138">
        <f>'Expenditures 15-22'!K280</f>
        <v>5035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222230</v>
      </c>
      <c r="C1517" s="2" t="s">
        <v>573</v>
      </c>
      <c r="D1517" s="2" t="str">
        <f t="shared" si="22"/>
        <v>Error?</v>
      </c>
    </row>
    <row r="1518" spans="1:4" x14ac:dyDescent="0.2">
      <c r="A1518" s="5">
        <v>1457</v>
      </c>
      <c r="B1518" s="138">
        <f>'Expenditures 15-22'!K296</f>
        <v>18395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70801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70801</v>
      </c>
      <c r="C1535" s="2" t="s">
        <v>573</v>
      </c>
      <c r="D1535" s="2" t="str">
        <f t="shared" ref="D1535:D1598" si="23">IF(ISBLANK(B1535),"OK",IF(A1535-B1535=0,"OK","Error?"))</f>
        <v>Error?</v>
      </c>
    </row>
    <row r="1536" spans="1:4" x14ac:dyDescent="0.2">
      <c r="A1536" s="5">
        <v>1475</v>
      </c>
      <c r="B1536" s="138">
        <f>'Expenditures 15-22'!E312</f>
        <v>70801</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417123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417123</v>
      </c>
      <c r="C1547" s="2" t="s">
        <v>573</v>
      </c>
      <c r="D1547" s="2" t="str">
        <f t="shared" si="23"/>
        <v>Error?</v>
      </c>
    </row>
    <row r="1548" spans="1:4" x14ac:dyDescent="0.2">
      <c r="A1548" s="5">
        <v>1487</v>
      </c>
      <c r="B1548" s="138">
        <f>'Expenditures 15-22'!G312</f>
        <v>417123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487924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487924</v>
      </c>
      <c r="C1559" s="2" t="s">
        <v>573</v>
      </c>
      <c r="D1559" s="2" t="str">
        <f t="shared" si="23"/>
        <v>Error?</v>
      </c>
    </row>
    <row r="1560" spans="1:4" x14ac:dyDescent="0.2">
      <c r="A1560" s="5">
        <v>1499</v>
      </c>
      <c r="B1560" s="138">
        <f>'Expenditures 15-22'!K312</f>
        <v>487924</v>
      </c>
      <c r="C1560" s="2" t="s">
        <v>573</v>
      </c>
      <c r="D1560" s="2" t="str">
        <f t="shared" si="23"/>
        <v>Error?</v>
      </c>
    </row>
    <row r="1561" spans="1:4" x14ac:dyDescent="0.2">
      <c r="A1561" s="5">
        <v>1500</v>
      </c>
      <c r="B1561" s="138">
        <f>'Expenditures 15-22'!K313</f>
        <v>524864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1547993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1541506</v>
      </c>
      <c r="C1630" s="2" t="s">
        <v>573</v>
      </c>
      <c r="D1630" s="2" t="str">
        <f t="shared" si="24"/>
        <v>Error?</v>
      </c>
    </row>
    <row r="1631" spans="1:4" x14ac:dyDescent="0.2">
      <c r="A1631" s="5">
        <v>1570</v>
      </c>
      <c r="B1631" s="138">
        <f>'Acct Summary 7-8'!D79</f>
        <v>626909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320011</v>
      </c>
      <c r="C1644" s="2" t="s">
        <v>573</v>
      </c>
      <c r="D1644" s="2" t="str">
        <f t="shared" si="24"/>
        <v>Error?</v>
      </c>
    </row>
    <row r="1645" spans="1:4" x14ac:dyDescent="0.2">
      <c r="A1645" s="5">
        <v>1584</v>
      </c>
      <c r="B1645" s="138">
        <f>'Acct Summary 7-8'!E79</f>
        <v>837025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288513</v>
      </c>
      <c r="C1658" s="2" t="s">
        <v>573</v>
      </c>
      <c r="D1658" s="2" t="str">
        <f t="shared" si="24"/>
        <v>Error?</v>
      </c>
    </row>
    <row r="1659" spans="1:4" x14ac:dyDescent="0.2">
      <c r="A1659" s="5">
        <v>1598</v>
      </c>
      <c r="B1659" s="138">
        <f>'Acct Summary 7-8'!F79</f>
        <v>50897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243441</v>
      </c>
      <c r="C1672" s="2" t="s">
        <v>573</v>
      </c>
      <c r="D1672" s="2" t="str">
        <f t="shared" si="25"/>
        <v>Error?</v>
      </c>
    </row>
    <row r="1673" spans="1:4" x14ac:dyDescent="0.2">
      <c r="A1673" s="5">
        <v>1612</v>
      </c>
      <c r="B1673" s="138">
        <f>'Acct Summary 7-8'!G79</f>
        <v>443605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462000</v>
      </c>
      <c r="C1686" s="2" t="s">
        <v>573</v>
      </c>
      <c r="D1686" s="2" t="str">
        <f t="shared" si="25"/>
        <v>Error?</v>
      </c>
    </row>
    <row r="1687" spans="1:4" x14ac:dyDescent="0.2">
      <c r="A1687" s="5">
        <v>1626</v>
      </c>
      <c r="B1687" s="138">
        <f>'Acct Summary 7-8'!H79</f>
        <v>1792278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2317142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1886740</v>
      </c>
      <c r="C1744" s="2" t="s">
        <v>573</v>
      </c>
      <c r="D1744" s="2" t="str">
        <f t="shared" si="26"/>
        <v>Error?</v>
      </c>
    </row>
    <row r="1745" spans="1:5" x14ac:dyDescent="0.2">
      <c r="A1745" s="5">
        <v>1684</v>
      </c>
      <c r="B1745" s="138">
        <f>'Tax Sched 23'!B5</f>
        <v>332929</v>
      </c>
      <c r="C1745" s="2" t="s">
        <v>573</v>
      </c>
      <c r="D1745" s="2" t="str">
        <f t="shared" si="26"/>
        <v>Error?</v>
      </c>
    </row>
    <row r="1746" spans="1:5" x14ac:dyDescent="0.2">
      <c r="A1746" s="5">
        <v>1685</v>
      </c>
      <c r="B1746" s="138">
        <f>'Tax Sched 23'!B6</f>
        <v>688402</v>
      </c>
      <c r="C1746" s="2" t="s">
        <v>573</v>
      </c>
      <c r="D1746" s="2" t="str">
        <f t="shared" si="26"/>
        <v>Error?</v>
      </c>
    </row>
    <row r="1747" spans="1:5" x14ac:dyDescent="0.2">
      <c r="A1747" s="5">
        <v>1686</v>
      </c>
      <c r="B1747" s="138">
        <f>'Tax Sched 23'!B7</f>
        <v>171753</v>
      </c>
      <c r="C1747" s="2" t="s">
        <v>573</v>
      </c>
      <c r="D1747" s="2" t="str">
        <f t="shared" si="26"/>
        <v>Error?</v>
      </c>
    </row>
    <row r="1748" spans="1:5" x14ac:dyDescent="0.2">
      <c r="A1748" s="5">
        <v>1687</v>
      </c>
      <c r="B1748" s="138">
        <f>'Tax Sched 23'!B8</f>
        <v>195253</v>
      </c>
      <c r="C1748" s="2" t="s">
        <v>573</v>
      </c>
      <c r="D1748" s="2" t="str">
        <f t="shared" si="26"/>
        <v>Error?</v>
      </c>
    </row>
    <row r="1749" spans="1:5" x14ac:dyDescent="0.2">
      <c r="A1749" s="5">
        <v>1688</v>
      </c>
      <c r="B1749" s="138">
        <f>'Tax Sched 23'!B10</f>
        <v>30872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154370</v>
      </c>
      <c r="C1752" s="2" t="s">
        <v>573</v>
      </c>
      <c r="D1752" s="2" t="str">
        <f t="shared" si="26"/>
        <v>Error?</v>
      </c>
    </row>
    <row r="1753" spans="1:5" x14ac:dyDescent="0.2">
      <c r="A1753" s="5">
        <v>1692</v>
      </c>
      <c r="B1753" s="138">
        <f>'Tax Sched 23'!B12</f>
        <v>30872</v>
      </c>
      <c r="C1753" s="2" t="s">
        <v>573</v>
      </c>
      <c r="D1753" s="2" t="str">
        <f t="shared" si="26"/>
        <v>Error?</v>
      </c>
    </row>
    <row r="1754" spans="1:5" x14ac:dyDescent="0.2">
      <c r="A1754" s="5">
        <v>1693</v>
      </c>
      <c r="B1754" s="138">
        <f>'Tax Sched 23'!B14</f>
        <v>30872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3529741</v>
      </c>
      <c r="C1759" s="2" t="s">
        <v>573</v>
      </c>
      <c r="D1759" s="2" t="str">
        <f t="shared" si="26"/>
        <v>Error?</v>
      </c>
    </row>
    <row r="1760" spans="1:5" x14ac:dyDescent="0.2">
      <c r="A1760" s="5">
        <v>1699</v>
      </c>
      <c r="B1760" s="138">
        <f>'Tax Sched 23'!D4</f>
        <v>1886740</v>
      </c>
      <c r="C1760" s="2" t="s">
        <v>573</v>
      </c>
      <c r="D1760" s="2" t="str">
        <f t="shared" si="26"/>
        <v>Error?</v>
      </c>
    </row>
    <row r="1761" spans="1:5" x14ac:dyDescent="0.2">
      <c r="A1761" s="5">
        <v>1700</v>
      </c>
      <c r="B1761" s="138">
        <f>'Tax Sched 23'!D5</f>
        <v>332929</v>
      </c>
      <c r="C1761" s="2" t="s">
        <v>573</v>
      </c>
      <c r="D1761" s="2" t="str">
        <f t="shared" si="26"/>
        <v>Error?</v>
      </c>
    </row>
    <row r="1762" spans="1:5" s="8" customFormat="1" x14ac:dyDescent="0.2">
      <c r="A1762" s="5">
        <v>1701</v>
      </c>
      <c r="B1762" s="138">
        <f>'Tax Sched 23'!D6</f>
        <v>688402</v>
      </c>
      <c r="C1762" s="2" t="s">
        <v>573</v>
      </c>
      <c r="D1762" s="2" t="str">
        <f t="shared" si="26"/>
        <v>Error?</v>
      </c>
      <c r="E1762" s="9"/>
    </row>
    <row r="1763" spans="1:5" x14ac:dyDescent="0.2">
      <c r="A1763" s="5">
        <v>1702</v>
      </c>
      <c r="B1763" s="138">
        <f>'Tax Sched 23'!D7</f>
        <v>171753</v>
      </c>
      <c r="C1763" s="2" t="s">
        <v>573</v>
      </c>
      <c r="D1763" s="2" t="str">
        <f t="shared" si="26"/>
        <v>Error?</v>
      </c>
    </row>
    <row r="1764" spans="1:5" x14ac:dyDescent="0.2">
      <c r="A1764" s="5">
        <v>1703</v>
      </c>
      <c r="B1764" s="138">
        <f>'Tax Sched 23'!D8</f>
        <v>195253</v>
      </c>
      <c r="C1764" s="2" t="s">
        <v>573</v>
      </c>
      <c r="D1764" s="2" t="str">
        <f t="shared" si="26"/>
        <v>Error?</v>
      </c>
    </row>
    <row r="1765" spans="1:5" x14ac:dyDescent="0.2">
      <c r="A1765" s="5">
        <v>1704</v>
      </c>
      <c r="B1765" s="138">
        <f>'Tax Sched 23'!D10</f>
        <v>30872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154370</v>
      </c>
      <c r="C1768" s="2" t="s">
        <v>573</v>
      </c>
      <c r="D1768" s="2" t="str">
        <f t="shared" si="26"/>
        <v>Error?</v>
      </c>
    </row>
    <row r="1769" spans="1:5" x14ac:dyDescent="0.2">
      <c r="A1769" s="5">
        <v>1708</v>
      </c>
      <c r="B1769" s="138">
        <f>'Tax Sched 23'!D12</f>
        <v>30872</v>
      </c>
      <c r="C1769" s="2" t="s">
        <v>573</v>
      </c>
      <c r="D1769" s="2" t="str">
        <f t="shared" si="26"/>
        <v>Error?</v>
      </c>
    </row>
    <row r="1770" spans="1:5" x14ac:dyDescent="0.2">
      <c r="A1770" s="5">
        <v>1709</v>
      </c>
      <c r="B1770" s="138">
        <f>'Tax Sched 23'!D14</f>
        <v>30872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3529741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6904301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30872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30872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30872</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81746</v>
      </c>
      <c r="D2008" s="2" t="str">
        <f t="shared" si="30"/>
        <v>Error?</v>
      </c>
    </row>
    <row r="2009" spans="1:4" x14ac:dyDescent="0.2">
      <c r="A2009" s="5">
        <v>1948</v>
      </c>
      <c r="B2009" s="138">
        <f>'Cap Outlay Deprec 26'!C8</f>
        <v>12684081</v>
      </c>
      <c r="D2009" s="2" t="str">
        <f t="shared" si="30"/>
        <v>Error?</v>
      </c>
    </row>
    <row r="2010" spans="1:4" x14ac:dyDescent="0.2">
      <c r="A2010" s="5">
        <v>1949</v>
      </c>
      <c r="B2010" s="138">
        <f>'Cap Outlay Deprec 26'!C10</f>
        <v>11417574</v>
      </c>
      <c r="D2010" s="2" t="str">
        <f t="shared" si="30"/>
        <v>Error?</v>
      </c>
    </row>
    <row r="2011" spans="1:4" x14ac:dyDescent="0.2">
      <c r="A2011" s="5">
        <v>1950</v>
      </c>
      <c r="B2011" s="138">
        <f>'Cap Outlay Deprec 26'!C12</f>
        <v>2548095</v>
      </c>
      <c r="D2011" s="2" t="str">
        <f t="shared" si="30"/>
        <v>Error?</v>
      </c>
    </row>
    <row r="2012" spans="1:4" x14ac:dyDescent="0.2">
      <c r="A2012" s="5">
        <v>1951</v>
      </c>
      <c r="B2012" s="138">
        <f>'Cap Outlay Deprec 26'!C13</f>
        <v>89626</v>
      </c>
      <c r="D2012" s="2" t="str">
        <f t="shared" si="30"/>
        <v>Error?</v>
      </c>
    </row>
    <row r="2013" spans="1:4" x14ac:dyDescent="0.2">
      <c r="A2013" s="5">
        <v>1952</v>
      </c>
      <c r="B2013" s="138">
        <f>'Cap Outlay Deprec 26'!C16</f>
        <v>26821122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383772</v>
      </c>
      <c r="D2016" s="2" t="str">
        <f t="shared" si="30"/>
        <v>Error?</v>
      </c>
    </row>
    <row r="2017" spans="1:4" x14ac:dyDescent="0.2">
      <c r="A2017" s="5">
        <v>1956</v>
      </c>
      <c r="B2017" s="138">
        <f>'Cap Outlay Deprec 26'!D12</f>
        <v>114401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547124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81746</v>
      </c>
      <c r="C2026" s="2" t="s">
        <v>573</v>
      </c>
      <c r="D2026" s="2" t="str">
        <f t="shared" si="30"/>
        <v>Error?</v>
      </c>
    </row>
    <row r="2027" spans="1:4" x14ac:dyDescent="0.2">
      <c r="A2027" s="5">
        <v>1966</v>
      </c>
      <c r="B2027" s="138">
        <f>'Cap Outlay Deprec 26'!F8</f>
        <v>12684081</v>
      </c>
      <c r="C2027" s="2" t="s">
        <v>573</v>
      </c>
      <c r="D2027" s="2" t="str">
        <f t="shared" si="30"/>
        <v>Error?</v>
      </c>
    </row>
    <row r="2028" spans="1:4" x14ac:dyDescent="0.2">
      <c r="A2028" s="5">
        <v>1967</v>
      </c>
      <c r="B2028" s="138">
        <f>'Cap Outlay Deprec 26'!F10</f>
        <v>11801346</v>
      </c>
      <c r="C2028" s="2" t="s">
        <v>573</v>
      </c>
      <c r="D2028" s="2" t="str">
        <f t="shared" si="30"/>
        <v>Error?</v>
      </c>
    </row>
    <row r="2029" spans="1:4" x14ac:dyDescent="0.2">
      <c r="A2029" s="5">
        <v>1968</v>
      </c>
      <c r="B2029" s="138">
        <f>'Cap Outlay Deprec 26'!F12</f>
        <v>2662496</v>
      </c>
      <c r="C2029" s="2" t="s">
        <v>573</v>
      </c>
      <c r="D2029" s="2" t="str">
        <f t="shared" si="30"/>
        <v>Error?</v>
      </c>
    </row>
    <row r="2030" spans="1:4" x14ac:dyDescent="0.2">
      <c r="A2030" s="5">
        <v>1969</v>
      </c>
      <c r="B2030" s="138">
        <f>'Cap Outlay Deprec 26'!F13</f>
        <v>89626</v>
      </c>
      <c r="C2030" s="2" t="s">
        <v>573</v>
      </c>
      <c r="D2030" s="2" t="str">
        <f t="shared" si="30"/>
        <v>Error?</v>
      </c>
    </row>
    <row r="2031" spans="1:4" x14ac:dyDescent="0.2">
      <c r="A2031" s="5">
        <v>1970</v>
      </c>
      <c r="B2031" s="138">
        <f>'Cap Outlay Deprec 26'!F16</f>
        <v>27368246</v>
      </c>
      <c r="C2031" s="2" t="s">
        <v>573</v>
      </c>
      <c r="D2031" s="2" t="str">
        <f t="shared" si="30"/>
        <v>Error?</v>
      </c>
    </row>
    <row r="2032" spans="1:4" x14ac:dyDescent="0.2">
      <c r="A2032" s="10">
        <v>1971</v>
      </c>
      <c r="D2032" s="2" t="str">
        <f t="shared" si="30"/>
        <v>OK</v>
      </c>
    </row>
    <row r="2033" spans="1:4" x14ac:dyDescent="0.2">
      <c r="A2033" s="5">
        <v>1972</v>
      </c>
      <c r="B2033" s="138">
        <f>'Cap Outlay Deprec 26'!H8</f>
        <v>6459690</v>
      </c>
      <c r="D2033" s="2" t="str">
        <f t="shared" si="30"/>
        <v>Error?</v>
      </c>
    </row>
    <row r="2034" spans="1:4" x14ac:dyDescent="0.2">
      <c r="A2034" s="5">
        <v>1973</v>
      </c>
      <c r="B2034" s="138">
        <f>'Cap Outlay Deprec 26'!H10</f>
        <v>3327220</v>
      </c>
      <c r="D2034" s="2" t="str">
        <f t="shared" si="30"/>
        <v>Error?</v>
      </c>
    </row>
    <row r="2035" spans="1:4" x14ac:dyDescent="0.2">
      <c r="A2035" s="5">
        <v>1974</v>
      </c>
      <c r="B2035" s="138">
        <f>'Cap Outlay Deprec 26'!H12</f>
        <v>2316084</v>
      </c>
      <c r="D2035" s="2" t="str">
        <f t="shared" si="30"/>
        <v>Error?</v>
      </c>
    </row>
    <row r="2036" spans="1:4" x14ac:dyDescent="0.2">
      <c r="A2036" s="5">
        <v>1975</v>
      </c>
      <c r="B2036" s="138">
        <f>'Cap Outlay Deprec 26'!H13</f>
        <v>89626</v>
      </c>
      <c r="D2036" s="2" t="str">
        <f t="shared" si="30"/>
        <v>Error?</v>
      </c>
    </row>
    <row r="2037" spans="1:4" x14ac:dyDescent="0.2">
      <c r="A2037" s="5">
        <v>1976</v>
      </c>
      <c r="B2037" s="138">
        <f>'Cap Outlay Deprec 26'!H16</f>
        <v>12192620</v>
      </c>
      <c r="C2037" s="2" t="s">
        <v>573</v>
      </c>
      <c r="D2037" s="2" t="str">
        <f t="shared" si="30"/>
        <v>Error?</v>
      </c>
    </row>
    <row r="2038" spans="1:4" x14ac:dyDescent="0.2">
      <c r="A2038" s="10">
        <v>1977</v>
      </c>
      <c r="D2038" s="2" t="str">
        <f t="shared" si="30"/>
        <v>OK</v>
      </c>
    </row>
    <row r="2039" spans="1:4" x14ac:dyDescent="0.2">
      <c r="A2039" s="5">
        <v>1978</v>
      </c>
      <c r="B2039" s="138">
        <f>'Cap Outlay Deprec 26'!I8</f>
        <v>269277</v>
      </c>
      <c r="D2039" s="2" t="str">
        <f t="shared" si="30"/>
        <v>Error?</v>
      </c>
    </row>
    <row r="2040" spans="1:4" x14ac:dyDescent="0.2">
      <c r="A2040" s="5">
        <v>1979</v>
      </c>
      <c r="B2040" s="138">
        <f>'Cap Outlay Deprec 26'!I10</f>
        <v>555575</v>
      </c>
      <c r="D2040" s="2" t="str">
        <f t="shared" si="30"/>
        <v>Error?</v>
      </c>
    </row>
    <row r="2041" spans="1:4" x14ac:dyDescent="0.2">
      <c r="A2041" s="5">
        <v>1980</v>
      </c>
      <c r="B2041" s="138">
        <f>'Cap Outlay Deprec 26'!I12</f>
        <v>88345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913197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6728967</v>
      </c>
      <c r="C2051" s="2" t="s">
        <v>573</v>
      </c>
      <c r="D2051" s="2" t="str">
        <f t="shared" si="31"/>
        <v>Error?</v>
      </c>
    </row>
    <row r="2052" spans="1:4" x14ac:dyDescent="0.2">
      <c r="A2052" s="5">
        <v>1991</v>
      </c>
      <c r="B2052" s="138">
        <f>'Cap Outlay Deprec 26'!K10</f>
        <v>3882795</v>
      </c>
      <c r="C2052" s="2" t="s">
        <v>573</v>
      </c>
      <c r="D2052" s="2" t="str">
        <f t="shared" si="31"/>
        <v>Error?</v>
      </c>
    </row>
    <row r="2053" spans="1:4" x14ac:dyDescent="0.2">
      <c r="A2053" s="5">
        <v>1992</v>
      </c>
      <c r="B2053" s="138">
        <f>'Cap Outlay Deprec 26'!K12</f>
        <v>2404429</v>
      </c>
      <c r="C2053" s="2" t="s">
        <v>573</v>
      </c>
      <c r="D2053" s="2" t="str">
        <f t="shared" si="31"/>
        <v>Error?</v>
      </c>
    </row>
    <row r="2054" spans="1:4" x14ac:dyDescent="0.2">
      <c r="A2054" s="5">
        <v>1993</v>
      </c>
      <c r="B2054" s="138">
        <f>'Cap Outlay Deprec 26'!K13</f>
        <v>89626</v>
      </c>
      <c r="C2054" s="2" t="s">
        <v>573</v>
      </c>
      <c r="D2054" s="2" t="str">
        <f t="shared" si="31"/>
        <v>Error?</v>
      </c>
    </row>
    <row r="2055" spans="1:4" x14ac:dyDescent="0.2">
      <c r="A2055" s="5">
        <v>1994</v>
      </c>
      <c r="B2055" s="138">
        <f>'Cap Outlay Deprec 26'!K16</f>
        <v>13105817</v>
      </c>
      <c r="C2055" s="2" t="s">
        <v>573</v>
      </c>
      <c r="D2055" s="2" t="str">
        <f t="shared" si="31"/>
        <v>Error?</v>
      </c>
    </row>
    <row r="2056" spans="1:4" x14ac:dyDescent="0.2">
      <c r="A2056" s="5">
        <v>1995</v>
      </c>
      <c r="B2056" s="138">
        <f>'Cap Outlay Deprec 26'!L5</f>
        <v>81746</v>
      </c>
      <c r="C2056" s="2" t="s">
        <v>573</v>
      </c>
      <c r="D2056" s="2" t="str">
        <f t="shared" si="31"/>
        <v>Error?</v>
      </c>
    </row>
    <row r="2057" spans="1:4" x14ac:dyDescent="0.2">
      <c r="A2057" s="5">
        <v>1996</v>
      </c>
      <c r="B2057" s="138">
        <f>'Cap Outlay Deprec 26'!L8</f>
        <v>5955114</v>
      </c>
      <c r="C2057" s="2" t="s">
        <v>573</v>
      </c>
      <c r="D2057" s="2" t="str">
        <f t="shared" si="31"/>
        <v>Error?</v>
      </c>
    </row>
    <row r="2058" spans="1:4" x14ac:dyDescent="0.2">
      <c r="A2058" s="5">
        <v>1997</v>
      </c>
      <c r="B2058" s="138">
        <f>'Cap Outlay Deprec 26'!L10</f>
        <v>7918551</v>
      </c>
      <c r="C2058" s="2" t="s">
        <v>573</v>
      </c>
      <c r="D2058" s="2" t="str">
        <f t="shared" si="31"/>
        <v>Error?</v>
      </c>
    </row>
    <row r="2059" spans="1:4" x14ac:dyDescent="0.2">
      <c r="A2059" s="5">
        <v>1998</v>
      </c>
      <c r="B2059" s="138">
        <f>'Cap Outlay Deprec 26'!L12</f>
        <v>258067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14262429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1202865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1202865</v>
      </c>
      <c r="C2088" s="2" t="s">
        <v>573</v>
      </c>
      <c r="D2088" s="2" t="str">
        <f t="shared" si="31"/>
        <v>Error?</v>
      </c>
    </row>
    <row r="2089" spans="1:4" x14ac:dyDescent="0.2">
      <c r="A2089" s="5">
        <v>2028</v>
      </c>
      <c r="B2089" s="138">
        <f>'Expenditures 15-22'!K92</f>
        <v>7448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2593540</v>
      </c>
      <c r="C2551" s="2" t="s">
        <v>573</v>
      </c>
      <c r="D2551" s="2" t="str">
        <f t="shared" si="38"/>
        <v>Error?</v>
      </c>
    </row>
    <row r="2552" spans="1:4" x14ac:dyDescent="0.2">
      <c r="A2552" s="10">
        <v>2491</v>
      </c>
      <c r="D2552" s="2" t="str">
        <f t="shared" si="38"/>
        <v>OK</v>
      </c>
    </row>
    <row r="2553" spans="1:4" x14ac:dyDescent="0.2">
      <c r="A2553" s="5">
        <v>2492</v>
      </c>
      <c r="B2553" s="138">
        <f>'Acct Summary 7-8'!C6</f>
        <v>5736331</v>
      </c>
      <c r="C2553" s="2" t="s">
        <v>573</v>
      </c>
      <c r="D2553" s="2" t="str">
        <f t="shared" si="38"/>
        <v>Error?</v>
      </c>
    </row>
    <row r="2554" spans="1:4" x14ac:dyDescent="0.2">
      <c r="A2554" s="5">
        <v>2493</v>
      </c>
      <c r="B2554" s="138">
        <f>'Acct Summary 7-8'!C7</f>
        <v>854483</v>
      </c>
      <c r="C2554" s="2" t="s">
        <v>573</v>
      </c>
      <c r="D2554" s="2" t="str">
        <f t="shared" si="38"/>
        <v>Error?</v>
      </c>
    </row>
    <row r="2555" spans="1:4" x14ac:dyDescent="0.2">
      <c r="A2555" s="5">
        <v>2494</v>
      </c>
      <c r="B2555" s="138">
        <f>'Acct Summary 7-8'!C8</f>
        <v>9184354</v>
      </c>
      <c r="C2555" s="2" t="s">
        <v>573</v>
      </c>
      <c r="D2555" s="2" t="str">
        <f t="shared" si="38"/>
        <v>Error?</v>
      </c>
    </row>
    <row r="2556" spans="1:4" x14ac:dyDescent="0.2">
      <c r="A2556" s="5">
        <v>2495</v>
      </c>
      <c r="B2556" s="138">
        <f>'Acct Summary 7-8'!C12</f>
        <v>5219835</v>
      </c>
      <c r="C2556" s="2" t="s">
        <v>573</v>
      </c>
      <c r="D2556" s="2" t="str">
        <f t="shared" si="38"/>
        <v>Error?</v>
      </c>
    </row>
    <row r="2557" spans="1:4" x14ac:dyDescent="0.2">
      <c r="A2557" s="5">
        <v>2496</v>
      </c>
      <c r="B2557" s="138">
        <f>'Acct Summary 7-8'!C13</f>
        <v>2722950</v>
      </c>
      <c r="C2557" s="2" t="s">
        <v>573</v>
      </c>
      <c r="D2557" s="2" t="str">
        <f t="shared" si="38"/>
        <v>Error?</v>
      </c>
    </row>
    <row r="2558" spans="1:4" x14ac:dyDescent="0.2">
      <c r="A2558" s="5">
        <v>2497</v>
      </c>
      <c r="B2558" s="138">
        <f>'Acct Summary 7-8'!C14</f>
        <v>37743</v>
      </c>
      <c r="C2558" s="2" t="s">
        <v>573</v>
      </c>
      <c r="D2558" s="2" t="str">
        <f t="shared" si="38"/>
        <v>Error?</v>
      </c>
    </row>
    <row r="2559" spans="1:4" x14ac:dyDescent="0.2">
      <c r="A2559" s="5">
        <v>2498</v>
      </c>
      <c r="B2559" s="138">
        <f>'Acct Summary 7-8'!C15</f>
        <v>1210313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9190841</v>
      </c>
      <c r="C2561" s="2" t="s">
        <v>573</v>
      </c>
      <c r="D2561" s="2" t="str">
        <f t="shared" si="39"/>
        <v>Error?</v>
      </c>
    </row>
    <row r="2562" spans="1:4" x14ac:dyDescent="0.2">
      <c r="A2562" s="5">
        <v>2501</v>
      </c>
      <c r="B2562" s="138">
        <f>'Acct Summary 7-8'!C20</f>
        <v>-6487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656947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656947</v>
      </c>
      <c r="C2568" s="2" t="s">
        <v>573</v>
      </c>
      <c r="D2568" s="2" t="str">
        <f t="shared" si="39"/>
        <v>Error?</v>
      </c>
    </row>
    <row r="2569" spans="1:4" x14ac:dyDescent="0.2">
      <c r="A2569" s="5">
        <v>2508</v>
      </c>
      <c r="B2569" s="138">
        <f>'Acct Summary 7-8'!D13</f>
        <v>963845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963845</v>
      </c>
      <c r="C2573" s="2" t="s">
        <v>573</v>
      </c>
      <c r="D2573" s="2" t="str">
        <f t="shared" si="39"/>
        <v>Error?</v>
      </c>
    </row>
    <row r="2574" spans="1:4" x14ac:dyDescent="0.2">
      <c r="A2574" s="5">
        <v>2513</v>
      </c>
      <c r="B2574" s="138">
        <f>'Acct Summary 7-8'!D20</f>
        <v>-306898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181783</v>
      </c>
      <c r="C2591" s="2" t="s">
        <v>573</v>
      </c>
      <c r="D2591" s="2" t="str">
        <f t="shared" si="39"/>
        <v>Error?</v>
      </c>
    </row>
    <row r="2592" spans="1:4" x14ac:dyDescent="0.2">
      <c r="A2592" s="10">
        <v>2531</v>
      </c>
      <c r="D2592" s="2" t="str">
        <f t="shared" si="39"/>
        <v>OK</v>
      </c>
    </row>
    <row r="2593" spans="1:4" x14ac:dyDescent="0.2">
      <c r="A2593" s="5">
        <v>2532</v>
      </c>
      <c r="B2593" s="138">
        <f>'Acct Summary 7-8'!F6</f>
        <v>467731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649514</v>
      </c>
      <c r="C2595" s="2" t="s">
        <v>573</v>
      </c>
      <c r="D2595" s="2" t="str">
        <f t="shared" si="39"/>
        <v>Error?</v>
      </c>
    </row>
    <row r="2596" spans="1:4" x14ac:dyDescent="0.2">
      <c r="A2596" s="5">
        <v>2535</v>
      </c>
      <c r="B2596" s="138">
        <f>'Acct Summary 7-8'!F13</f>
        <v>393930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63040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456970</v>
      </c>
      <c r="C2600" s="2" t="s">
        <v>573</v>
      </c>
      <c r="D2600" s="2" t="str">
        <f t="shared" si="39"/>
        <v>Error?</v>
      </c>
    </row>
    <row r="2601" spans="1:4" x14ac:dyDescent="0.2">
      <c r="A2601" s="5">
        <v>2540</v>
      </c>
      <c r="B2601" s="138">
        <f>'Acct Summary 7-8'!F20</f>
        <v>192544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216000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24625</v>
      </c>
      <c r="C2605" s="2" t="s">
        <v>573</v>
      </c>
      <c r="D2605" s="2" t="str">
        <f t="shared" si="39"/>
        <v>Error?</v>
      </c>
    </row>
    <row r="2606" spans="1:4" x14ac:dyDescent="0.2">
      <c r="A2606" s="5">
        <v>2545</v>
      </c>
      <c r="B2606" s="138">
        <f>'Acct Summary 7-8'!G8</f>
        <v>240625</v>
      </c>
      <c r="C2606" s="2" t="s">
        <v>573</v>
      </c>
      <c r="D2606" s="2" t="str">
        <f t="shared" si="39"/>
        <v>Error?</v>
      </c>
    </row>
    <row r="2607" spans="1:4" x14ac:dyDescent="0.2">
      <c r="A2607" s="5">
        <v>2546</v>
      </c>
      <c r="B2607" s="138">
        <f>'Acct Summary 7-8'!G12</f>
        <v>66700</v>
      </c>
      <c r="C2607" s="2" t="s">
        <v>573</v>
      </c>
      <c r="D2607" s="2" t="str">
        <f t="shared" si="39"/>
        <v>Error?</v>
      </c>
    </row>
    <row r="2608" spans="1:4" x14ac:dyDescent="0.2">
      <c r="A2608" s="5">
        <v>2547</v>
      </c>
      <c r="B2608" s="138">
        <f>'Acct Summary 7-8'!G13</f>
        <v>150495</v>
      </c>
      <c r="C2608" s="2" t="s">
        <v>573</v>
      </c>
      <c r="D2608" s="2" t="str">
        <f t="shared" si="39"/>
        <v>Error?</v>
      </c>
    </row>
    <row r="2609" spans="1:4" x14ac:dyDescent="0.2">
      <c r="A2609" s="5">
        <v>2548</v>
      </c>
      <c r="B2609" s="138">
        <f>'Acct Summary 7-8'!G14</f>
        <v>5035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222230</v>
      </c>
      <c r="C2612" s="2" t="s">
        <v>573</v>
      </c>
      <c r="D2612" s="2" t="str">
        <f t="shared" si="39"/>
        <v>Error?</v>
      </c>
    </row>
    <row r="2613" spans="1:4" x14ac:dyDescent="0.2">
      <c r="A2613" s="5">
        <v>2552</v>
      </c>
      <c r="B2613" s="138">
        <f>'Acct Summary 7-8'!G20</f>
        <v>18395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732346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732346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1280858</v>
      </c>
      <c r="C2634" s="2" t="s">
        <v>573</v>
      </c>
      <c r="D2634" s="2" t="str">
        <f t="shared" si="40"/>
        <v>Error?</v>
      </c>
    </row>
    <row r="2635" spans="1:4" x14ac:dyDescent="0.2">
      <c r="A2635" s="5">
        <v>2574</v>
      </c>
      <c r="B2635" s="138">
        <f>'Acct Summary 7-8'!E17</f>
        <v>1280858</v>
      </c>
      <c r="C2635" s="2" t="s">
        <v>573</v>
      </c>
      <c r="D2635" s="2" t="str">
        <f t="shared" si="40"/>
        <v>Error?</v>
      </c>
    </row>
    <row r="2636" spans="1:4" x14ac:dyDescent="0.2">
      <c r="A2636" s="5">
        <v>2575</v>
      </c>
      <c r="B2636" s="138">
        <f>'Acct Summary 7-8'!E20</f>
        <v>-548512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1012788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1012788</v>
      </c>
      <c r="C2658" s="2" t="s">
        <v>573</v>
      </c>
      <c r="D2658" s="2" t="str">
        <f t="shared" si="40"/>
        <v>Error?</v>
      </c>
    </row>
    <row r="2659" spans="1:4" x14ac:dyDescent="0.2">
      <c r="A2659" s="5">
        <v>2598</v>
      </c>
      <c r="B2659" s="138">
        <f>'Acct Summary 7-8'!H13</f>
        <v>487924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487924</v>
      </c>
      <c r="C2661" s="2" t="s">
        <v>573</v>
      </c>
      <c r="D2661" s="2" t="str">
        <f t="shared" si="40"/>
        <v>Error?</v>
      </c>
    </row>
    <row r="2662" spans="1:4" x14ac:dyDescent="0.2">
      <c r="A2662" s="5">
        <v>2601</v>
      </c>
      <c r="B2662" s="138">
        <f>'Acct Summary 7-8'!H20</f>
        <v>524864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1000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1000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63040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63040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48951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1094596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262531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1094596</v>
      </c>
      <c r="D2912" s="2" t="str">
        <f t="shared" si="44"/>
        <v>Error?</v>
      </c>
    </row>
    <row r="2913" spans="1:4" x14ac:dyDescent="0.2">
      <c r="A2913" s="5">
        <v>2852</v>
      </c>
      <c r="B2913" s="138">
        <f>'Assets-Liab 5-6'!I41</f>
        <v>1094596</v>
      </c>
      <c r="C2913" s="2" t="s">
        <v>573</v>
      </c>
      <c r="D2913" s="2" t="str">
        <f t="shared" si="44"/>
        <v>Error?</v>
      </c>
    </row>
    <row r="2914" spans="1:4" x14ac:dyDescent="0.2">
      <c r="A2914" s="5">
        <v>2853</v>
      </c>
      <c r="B2914" s="138">
        <f>'Assets-Liab 5-6'!L33</f>
        <v>262531</v>
      </c>
      <c r="D2914" s="2" t="str">
        <f t="shared" si="44"/>
        <v>Error?</v>
      </c>
    </row>
    <row r="2915" spans="1:4" x14ac:dyDescent="0.2">
      <c r="A2915" s="10">
        <v>2854</v>
      </c>
      <c r="D2915" s="2" t="str">
        <f t="shared" si="44"/>
        <v>OK</v>
      </c>
    </row>
    <row r="2916" spans="1:4" x14ac:dyDescent="0.2">
      <c r="A2916" s="5">
        <v>2855</v>
      </c>
      <c r="B2916" s="138">
        <f>'Assets-Liab 5-6'!L34</f>
        <v>262531</v>
      </c>
      <c r="C2916" s="2" t="s">
        <v>573</v>
      </c>
      <c r="D2916" s="2" t="str">
        <f t="shared" si="44"/>
        <v>Error?</v>
      </c>
    </row>
    <row r="2917" spans="1:4" x14ac:dyDescent="0.2">
      <c r="A2917" s="5">
        <v>2856</v>
      </c>
      <c r="B2917" s="138">
        <f>'Assets-Liab 5-6'!L41</f>
        <v>262531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1202865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1202865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63040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63040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200993</v>
      </c>
      <c r="D3055" s="2" t="str">
        <f t="shared" si="46"/>
        <v>Error?</v>
      </c>
    </row>
    <row r="3056" spans="1:4" x14ac:dyDescent="0.2">
      <c r="A3056" s="5">
        <v>2995</v>
      </c>
      <c r="B3056" s="138">
        <f>'Expenditures 15-22'!D10</f>
        <v>40839</v>
      </c>
      <c r="D3056" s="2" t="str">
        <f t="shared" si="46"/>
        <v>Error?</v>
      </c>
    </row>
    <row r="3057" spans="1:4" x14ac:dyDescent="0.2">
      <c r="A3057" s="5">
        <v>2996</v>
      </c>
      <c r="B3057" s="138">
        <f>'Expenditures 15-22'!E10</f>
        <v>29538</v>
      </c>
      <c r="D3057" s="2" t="str">
        <f t="shared" si="46"/>
        <v>Error?</v>
      </c>
    </row>
    <row r="3058" spans="1:4" x14ac:dyDescent="0.2">
      <c r="A3058" s="5">
        <v>2997</v>
      </c>
      <c r="B3058" s="138">
        <f>'Expenditures 15-22'!F10</f>
        <v>139872</v>
      </c>
      <c r="D3058" s="2" t="str">
        <f t="shared" si="46"/>
        <v>Error?</v>
      </c>
    </row>
    <row r="3059" spans="1:4" x14ac:dyDescent="0.2">
      <c r="A3059" s="5">
        <v>2998</v>
      </c>
      <c r="B3059" s="138">
        <f>'Expenditures 15-22'!G10</f>
        <v>19754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430996</v>
      </c>
      <c r="C3062" s="2" t="s">
        <v>573</v>
      </c>
      <c r="D3062" s="2" t="str">
        <f t="shared" si="46"/>
        <v>Error?</v>
      </c>
    </row>
    <row r="3063" spans="1:4" x14ac:dyDescent="0.2">
      <c r="A3063" s="10">
        <v>3002</v>
      </c>
      <c r="D3063" s="2" t="str">
        <f t="shared" si="46"/>
        <v>OK</v>
      </c>
    </row>
    <row r="3064" spans="1:4" x14ac:dyDescent="0.2">
      <c r="A3064" s="5">
        <v>3003</v>
      </c>
      <c r="B3064" s="138">
        <f>'Expenditures 15-22'!D219</f>
        <v>17654</v>
      </c>
      <c r="D3064" s="2" t="str">
        <f t="shared" si="46"/>
        <v>Error?</v>
      </c>
    </row>
    <row r="3065" spans="1:4" x14ac:dyDescent="0.2">
      <c r="A3065" s="5">
        <v>3004</v>
      </c>
      <c r="B3065" s="138">
        <f>'Expenditures 15-22'!K219</f>
        <v>17654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45652</v>
      </c>
      <c r="C3225" s="2" t="s">
        <v>573</v>
      </c>
      <c r="D3225" s="2" t="str">
        <f t="shared" si="49"/>
        <v>Error?</v>
      </c>
    </row>
    <row r="3226" spans="1:4" x14ac:dyDescent="0.2">
      <c r="A3226" s="5">
        <v>3165</v>
      </c>
      <c r="B3226" s="138">
        <f>'Acct Summary 7-8'!I8</f>
        <v>45652</v>
      </c>
      <c r="C3226" s="2" t="s">
        <v>573</v>
      </c>
      <c r="D3226" s="2" t="str">
        <f t="shared" si="49"/>
        <v>Error?</v>
      </c>
    </row>
    <row r="3227" spans="1:4" x14ac:dyDescent="0.2">
      <c r="A3227" s="5">
        <v>3166</v>
      </c>
      <c r="B3227" s="138">
        <f>'Acct Summary 7-8'!I20</f>
        <v>45652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-6487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-306898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192544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18395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-548512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524864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45652</v>
      </c>
      <c r="C3320" s="2" t="s">
        <v>573</v>
      </c>
      <c r="D3320" s="2" t="str">
        <f t="shared" si="50"/>
        <v>Error?</v>
      </c>
    </row>
    <row r="3321" spans="1:4" x14ac:dyDescent="0.2">
      <c r="A3321" s="5">
        <v>3260</v>
      </c>
      <c r="B3321" s="138">
        <f>'Acct Summary 7-8'!I79</f>
        <v>1048944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1094596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13560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13560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40014</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40014</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1558668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320011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288513</v>
      </c>
      <c r="D3417" s="2" t="str">
        <f t="shared" si="52"/>
        <v>Error?</v>
      </c>
    </row>
    <row r="3418" spans="1:4" x14ac:dyDescent="0.2">
      <c r="A3418" s="10">
        <v>3357</v>
      </c>
      <c r="D3418" s="2" t="str">
        <f t="shared" si="52"/>
        <v>OK</v>
      </c>
    </row>
    <row r="3419" spans="1:4" x14ac:dyDescent="0.2">
      <c r="A3419" s="5">
        <v>3358</v>
      </c>
      <c r="B3419" s="138">
        <f>'Assets-Liab 5-6'!F4</f>
        <v>243441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462000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1552281</v>
      </c>
      <c r="D3425" s="2" t="str">
        <f t="shared" si="52"/>
        <v>Error?</v>
      </c>
    </row>
    <row r="3426" spans="1:4" x14ac:dyDescent="0.2">
      <c r="A3426" s="10">
        <v>3365</v>
      </c>
      <c r="D3426" s="2" t="str">
        <f t="shared" si="52"/>
        <v>OK</v>
      </c>
    </row>
    <row r="3427" spans="1:4" x14ac:dyDescent="0.2">
      <c r="A3427" s="5">
        <v>3366</v>
      </c>
      <c r="B3427" s="138">
        <f>'Assets-Liab 5-6'!I4</f>
        <v>1094596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262531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48951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48951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48951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31710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31710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31710</v>
      </c>
      <c r="D3567" s="2" t="str">
        <f t="shared" si="54"/>
        <v>Error?</v>
      </c>
    </row>
    <row r="3568" spans="1:4" x14ac:dyDescent="0.2">
      <c r="A3568" s="5">
        <v>3507</v>
      </c>
      <c r="B3568" s="138">
        <f>'Assets-Liab 5-6'!K41</f>
        <v>31710</v>
      </c>
      <c r="C3568" s="2" t="s">
        <v>573</v>
      </c>
      <c r="D3568" s="2" t="str">
        <f t="shared" si="54"/>
        <v>Error?</v>
      </c>
    </row>
    <row r="3569" spans="1:4" x14ac:dyDescent="0.2">
      <c r="A3569" s="5">
        <v>3508</v>
      </c>
      <c r="B3569" s="138">
        <f>'Acct Summary 7-8'!K4</f>
        <v>32973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32973</v>
      </c>
      <c r="C3571" s="2" t="s">
        <v>573</v>
      </c>
      <c r="D3571" s="2" t="str">
        <f t="shared" si="54"/>
        <v>Error?</v>
      </c>
    </row>
    <row r="3572" spans="1:4" x14ac:dyDescent="0.2">
      <c r="A3572" s="5">
        <v>3511</v>
      </c>
      <c r="B3572" s="138">
        <f>'Acct Summary 7-8'!K13</f>
        <v>61630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61630</v>
      </c>
      <c r="C3575" s="2" t="s">
        <v>573</v>
      </c>
      <c r="D3575" s="2" t="str">
        <f t="shared" si="54"/>
        <v>Error?</v>
      </c>
    </row>
    <row r="3576" spans="1:4" x14ac:dyDescent="0.2">
      <c r="A3576" s="5">
        <v>3515</v>
      </c>
      <c r="B3576" s="138">
        <f>'Acct Summary 7-8'!K20</f>
        <v>-28657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-28657</v>
      </c>
      <c r="C3588" s="2" t="s">
        <v>573</v>
      </c>
      <c r="D3588" s="2" t="str">
        <f t="shared" si="55"/>
        <v>Error?</v>
      </c>
    </row>
    <row r="3589" spans="1:4" x14ac:dyDescent="0.2">
      <c r="A3589" s="5">
        <v>3528</v>
      </c>
      <c r="B3589" s="138">
        <f>'Acct Summary 7-8'!K79</f>
        <v>60367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31710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61630</v>
      </c>
      <c r="D3632" s="2" t="str">
        <f t="shared" si="55"/>
        <v>Error?</v>
      </c>
    </row>
    <row r="3633" spans="1:4" x14ac:dyDescent="0.2">
      <c r="A3633" s="5">
        <v>3572</v>
      </c>
      <c r="B3633" s="138">
        <f>'Expenditures 15-22'!E350</f>
        <v>61630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61630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61630</v>
      </c>
      <c r="C3669" s="2" t="s">
        <v>573</v>
      </c>
      <c r="D3669" s="2" t="str">
        <f t="shared" si="56"/>
        <v>Error?</v>
      </c>
    </row>
    <row r="3670" spans="1:4" x14ac:dyDescent="0.2">
      <c r="A3670" s="5">
        <v>3609</v>
      </c>
      <c r="B3670" s="138">
        <f>'Expenditures 15-22'!K350</f>
        <v>61630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61630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61630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-28657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7678</v>
      </c>
      <c r="C3725" s="2" t="s">
        <v>573</v>
      </c>
      <c r="D3725" s="2" t="str">
        <f t="shared" si="57"/>
        <v>Error?</v>
      </c>
    </row>
    <row r="3726" spans="1:4" x14ac:dyDescent="0.2">
      <c r="A3726" s="5">
        <v>3665</v>
      </c>
      <c r="B3726" s="138">
        <f>'Tax Sched 23'!D13</f>
        <v>7678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387017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2847308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12031662</v>
      </c>
      <c r="C4122" s="2" t="s">
        <v>573</v>
      </c>
      <c r="D4122" s="2" t="str">
        <f t="shared" si="63"/>
        <v>Error?</v>
      </c>
    </row>
    <row r="4123" spans="1:4" x14ac:dyDescent="0.2">
      <c r="A4123" s="5">
        <v>4062</v>
      </c>
      <c r="B4123" s="138">
        <f>'Acct Summary 7-8'!D10</f>
        <v>656947</v>
      </c>
      <c r="C4123" s="2" t="s">
        <v>573</v>
      </c>
      <c r="D4123" s="2" t="str">
        <f t="shared" si="63"/>
        <v>Error?</v>
      </c>
    </row>
    <row r="4124" spans="1:4" x14ac:dyDescent="0.2">
      <c r="A4124" s="5">
        <v>4063</v>
      </c>
      <c r="B4124" s="138">
        <f>'Acct Summary 7-8'!E10</f>
        <v>732346</v>
      </c>
      <c r="C4124" s="2" t="s">
        <v>573</v>
      </c>
      <c r="D4124" s="2" t="str">
        <f t="shared" si="63"/>
        <v>Error?</v>
      </c>
    </row>
    <row r="4125" spans="1:4" x14ac:dyDescent="0.2">
      <c r="A4125" s="5">
        <v>4064</v>
      </c>
      <c r="B4125" s="138">
        <f>'Acct Summary 7-8'!F10</f>
        <v>649514</v>
      </c>
      <c r="C4125" s="2" t="s">
        <v>573</v>
      </c>
      <c r="D4125" s="2" t="str">
        <f t="shared" si="63"/>
        <v>Error?</v>
      </c>
    </row>
    <row r="4126" spans="1:4" x14ac:dyDescent="0.2">
      <c r="A4126" s="5">
        <v>4065</v>
      </c>
      <c r="B4126" s="138">
        <f>'Acct Summary 7-8'!G10</f>
        <v>240625</v>
      </c>
      <c r="C4126" s="2" t="s">
        <v>573</v>
      </c>
      <c r="D4126" s="2" t="str">
        <f t="shared" si="63"/>
        <v>Error?</v>
      </c>
    </row>
    <row r="4127" spans="1:4" x14ac:dyDescent="0.2">
      <c r="A4127" s="5">
        <v>4066</v>
      </c>
      <c r="B4127" s="138">
        <f>'Acct Summary 7-8'!H10</f>
        <v>1012788</v>
      </c>
      <c r="C4127" s="2" t="s">
        <v>573</v>
      </c>
      <c r="D4127" s="2" t="str">
        <f t="shared" si="63"/>
        <v>Error?</v>
      </c>
    </row>
    <row r="4128" spans="1:4" x14ac:dyDescent="0.2">
      <c r="A4128" s="5">
        <v>4067</v>
      </c>
      <c r="B4128" s="138">
        <f>'Acct Summary 7-8'!I10</f>
        <v>45652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32973</v>
      </c>
      <c r="C4130" s="2" t="s">
        <v>573</v>
      </c>
      <c r="D4130" s="2" t="str">
        <f t="shared" si="63"/>
        <v>Error?</v>
      </c>
    </row>
    <row r="4131" spans="1:4" x14ac:dyDescent="0.2">
      <c r="A4131" s="5">
        <v>4070</v>
      </c>
      <c r="B4131" s="138">
        <f>'Acct Summary 7-8'!C18</f>
        <v>2847308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12038149</v>
      </c>
      <c r="C4136" s="2" t="s">
        <v>573</v>
      </c>
      <c r="D4136" s="2" t="str">
        <f t="shared" si="63"/>
        <v>Error?</v>
      </c>
    </row>
    <row r="4137" spans="1:4" x14ac:dyDescent="0.2">
      <c r="A4137" s="5">
        <v>4076</v>
      </c>
      <c r="B4137" s="138">
        <f>'Acct Summary 7-8'!D19</f>
        <v>963845</v>
      </c>
      <c r="C4137" s="2" t="s">
        <v>573</v>
      </c>
      <c r="D4137" s="2" t="str">
        <f t="shared" si="63"/>
        <v>Error?</v>
      </c>
    </row>
    <row r="4138" spans="1:4" x14ac:dyDescent="0.2">
      <c r="A4138" s="5">
        <v>4077</v>
      </c>
      <c r="B4138" s="138">
        <f>'Acct Summary 7-8'!E19</f>
        <v>1280858</v>
      </c>
      <c r="C4138" s="2" t="s">
        <v>573</v>
      </c>
      <c r="D4138" s="2" t="str">
        <f t="shared" si="63"/>
        <v>Error?</v>
      </c>
    </row>
    <row r="4139" spans="1:4" x14ac:dyDescent="0.2">
      <c r="A4139" s="5">
        <v>4078</v>
      </c>
      <c r="B4139" s="138">
        <f>'Acct Summary 7-8'!F19</f>
        <v>456970</v>
      </c>
      <c r="C4139" s="2" t="s">
        <v>573</v>
      </c>
      <c r="D4139" s="2" t="str">
        <f t="shared" si="63"/>
        <v>Error?</v>
      </c>
    </row>
    <row r="4140" spans="1:4" x14ac:dyDescent="0.2">
      <c r="A4140" s="5">
        <v>4079</v>
      </c>
      <c r="B4140" s="138">
        <f>'Acct Summary 7-8'!G19</f>
        <v>222230</v>
      </c>
      <c r="C4140" s="2" t="s">
        <v>573</v>
      </c>
      <c r="D4140" s="2" t="str">
        <f t="shared" si="63"/>
        <v>Error?</v>
      </c>
    </row>
    <row r="4141" spans="1:4" x14ac:dyDescent="0.2">
      <c r="A4141" s="5">
        <v>4080</v>
      </c>
      <c r="B4141" s="138">
        <f>'Acct Summary 7-8'!H19</f>
        <v>487924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61630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5883340</v>
      </c>
      <c r="C4171" s="2" t="s">
        <v>573</v>
      </c>
      <c r="D4171" s="2" t="str">
        <f t="shared" si="64"/>
        <v>Error?</v>
      </c>
    </row>
    <row r="4172" spans="1:4" x14ac:dyDescent="0.2">
      <c r="A4172" s="5">
        <v>4111</v>
      </c>
      <c r="B4172" s="138">
        <f>'Short-Term Long-Term Debt 24'!J49</f>
        <v>5594827</v>
      </c>
      <c r="C4172" s="2" t="s">
        <v>573</v>
      </c>
      <c r="D4172" s="2" t="str">
        <f t="shared" si="64"/>
        <v>Error?</v>
      </c>
    </row>
    <row r="4173" spans="1:4" x14ac:dyDescent="0.2">
      <c r="A4173" s="5">
        <v>4112</v>
      </c>
      <c r="B4173" s="138">
        <f>'Short-Term Long-Term Debt 24'!H49</f>
        <v>1020961</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2419.9100000000003</v>
      </c>
      <c r="C4265" s="2" t="s">
        <v>573</v>
      </c>
      <c r="D4265" s="2" t="str">
        <f t="shared" si="65"/>
        <v>Error?</v>
      </c>
      <c r="E4265" s="128"/>
    </row>
    <row r="4266" spans="1:5" x14ac:dyDescent="0.2">
      <c r="A4266" s="12">
        <v>4205</v>
      </c>
      <c r="B4266" s="138">
        <f>('FP Info 3'!F10)*100000</f>
        <v>471.99</v>
      </c>
      <c r="C4266" s="2" t="s">
        <v>573</v>
      </c>
      <c r="D4266" s="2" t="str">
        <f t="shared" si="65"/>
        <v>Error?</v>
      </c>
      <c r="E4266" s="128"/>
    </row>
    <row r="4267" spans="1:5" x14ac:dyDescent="0.2">
      <c r="A4267" s="12">
        <v>4206</v>
      </c>
      <c r="B4267" s="138">
        <f>('FP Info 3'!H10)*100000</f>
        <v>275.41000000000003</v>
      </c>
      <c r="C4267" s="2" t="s">
        <v>573</v>
      </c>
      <c r="D4267" s="2" t="str">
        <f t="shared" si="65"/>
        <v>Error?</v>
      </c>
      <c r="E4267" s="128"/>
    </row>
    <row r="4268" spans="1:5" x14ac:dyDescent="0.2">
      <c r="A4268" s="12">
        <v>4207</v>
      </c>
      <c r="B4268" s="138">
        <f>('FP Info 3'!J10)*100000</f>
        <v>3166.9999999999995</v>
      </c>
      <c r="C4268" s="2" t="s">
        <v>573</v>
      </c>
      <c r="D4268" s="2" t="str">
        <f t="shared" si="65"/>
        <v>Error?</v>
      </c>
    </row>
    <row r="4269" spans="1:5" x14ac:dyDescent="0.2">
      <c r="A4269" s="12">
        <v>4208</v>
      </c>
      <c r="B4269" s="138">
        <f>'FP Info 3'!J16</f>
        <v>3199554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6875</v>
      </c>
      <c r="D4331" s="2" t="str">
        <f t="shared" si="66"/>
        <v>Error?</v>
      </c>
    </row>
    <row r="4332" spans="1:4" x14ac:dyDescent="0.2">
      <c r="A4332" s="5">
        <v>4271</v>
      </c>
      <c r="B4332" s="138">
        <f>'Revenues 9-14'!C203</f>
        <v>3420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4951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7465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39.589999999999996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63296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78892147</v>
      </c>
      <c r="D4995" s="2" t="str">
        <f t="shared" si="77"/>
        <v>Error?</v>
      </c>
    </row>
    <row r="4996" spans="1:4" x14ac:dyDescent="0.2">
      <c r="A4996" s="12">
        <v>4935</v>
      </c>
      <c r="B4996" s="138">
        <f>'FP Info 3'!H31</f>
        <v>10887116.286</v>
      </c>
      <c r="D4996" s="2" t="str">
        <f t="shared" si="77"/>
        <v>Error?</v>
      </c>
    </row>
    <row r="4997" spans="1:4" x14ac:dyDescent="0.2">
      <c r="A4997" s="12">
        <v>4936</v>
      </c>
      <c r="B4997" s="138">
        <f>'FP Info 3'!H37</f>
        <v>5883340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1886740</v>
      </c>
      <c r="D5061" s="2" t="str">
        <f t="shared" si="78"/>
        <v>Error?</v>
      </c>
    </row>
    <row r="5062" spans="1:4" x14ac:dyDescent="0.2">
      <c r="A5062" s="10">
        <v>5001</v>
      </c>
      <c r="D5062" s="2" t="str">
        <f t="shared" si="78"/>
        <v>OK</v>
      </c>
    </row>
    <row r="5063" spans="1:4" x14ac:dyDescent="0.2">
      <c r="A5063" s="5">
        <v>5002</v>
      </c>
      <c r="B5063" s="138">
        <f>'Revenues 9-14'!C7</f>
        <v>30872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1917612</v>
      </c>
      <c r="C5066" s="2" t="s">
        <v>573</v>
      </c>
      <c r="D5066" s="2" t="str">
        <f t="shared" si="78"/>
        <v>Error?</v>
      </c>
    </row>
    <row r="5067" spans="1:4" x14ac:dyDescent="0.2">
      <c r="A5067" s="5">
        <v>5006</v>
      </c>
      <c r="B5067" s="138">
        <f>'Revenues 9-14'!C14</f>
        <v>3500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247617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251117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28289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28289</v>
      </c>
      <c r="C5090" s="2" t="s">
        <v>573</v>
      </c>
      <c r="D5090" s="2" t="str">
        <f t="shared" si="78"/>
        <v>Error?</v>
      </c>
    </row>
    <row r="5091" spans="1:4" x14ac:dyDescent="0.2">
      <c r="A5091" s="5">
        <v>5030</v>
      </c>
      <c r="B5091" s="138">
        <f>'Revenues 9-14'!C70</f>
        <v>18071</v>
      </c>
      <c r="D5091" s="2" t="str">
        <f t="shared" si="78"/>
        <v>Error?</v>
      </c>
    </row>
    <row r="5092" spans="1:4" x14ac:dyDescent="0.2">
      <c r="A5092" s="5">
        <v>5031</v>
      </c>
      <c r="B5092" s="138">
        <f>'Revenues 9-14'!C71</f>
        <v>48586</v>
      </c>
      <c r="D5092" s="2" t="str">
        <f t="shared" si="78"/>
        <v>Error?</v>
      </c>
    </row>
    <row r="5093" spans="1:4" x14ac:dyDescent="0.2">
      <c r="A5093" s="5">
        <v>5032</v>
      </c>
      <c r="B5093" s="138">
        <f>'Revenues 9-14'!C72</f>
        <v>26962</v>
      </c>
      <c r="D5093" s="2" t="str">
        <f t="shared" si="78"/>
        <v>Error?</v>
      </c>
    </row>
    <row r="5094" spans="1:4" x14ac:dyDescent="0.2">
      <c r="A5094" s="5">
        <v>5033</v>
      </c>
      <c r="B5094" s="138">
        <f>'Revenues 9-14'!C73</f>
        <v>5838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176446</v>
      </c>
      <c r="C5096" s="2" t="s">
        <v>573</v>
      </c>
      <c r="D5096" s="2" t="str">
        <f t="shared" si="78"/>
        <v>Error?</v>
      </c>
    </row>
    <row r="5097" spans="1:4" x14ac:dyDescent="0.2">
      <c r="A5097" s="5">
        <v>5036</v>
      </c>
      <c r="B5097" s="138">
        <f>'Revenues 9-14'!C77</f>
        <v>23995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13700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37695</v>
      </c>
      <c r="C5102" s="2" t="s">
        <v>573</v>
      </c>
      <c r="D5102" s="2" t="str">
        <f t="shared" si="78"/>
        <v>Error?</v>
      </c>
    </row>
    <row r="5103" spans="1:4" x14ac:dyDescent="0.2">
      <c r="A5103" s="5">
        <v>5042</v>
      </c>
      <c r="B5103" s="138">
        <f>'Revenues 9-14'!C84</f>
        <v>21057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21057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34653</v>
      </c>
      <c r="D5118" s="2" t="str">
        <f t="shared" si="78"/>
        <v>Error?</v>
      </c>
    </row>
    <row r="5119" spans="1:4" x14ac:dyDescent="0.2">
      <c r="A5119" s="5">
        <v>5058</v>
      </c>
      <c r="B5119" s="138">
        <f>'Revenues 9-14'!C107</f>
        <v>16114</v>
      </c>
      <c r="D5119" s="2" t="str">
        <f t="shared" ref="D5119:D5182" si="79">IF(ISBLANK(B5119),"OK",IF(A5119-B5119=0,"OK","Error?"))</f>
        <v>Error?</v>
      </c>
    </row>
    <row r="5120" spans="1:4" x14ac:dyDescent="0.2">
      <c r="A5120" s="5">
        <v>5059</v>
      </c>
      <c r="B5120" s="138">
        <f>'Revenues 9-14'!C108</f>
        <v>161324</v>
      </c>
      <c r="C5120" s="2" t="s">
        <v>573</v>
      </c>
      <c r="D5120" s="2" t="str">
        <f t="shared" si="79"/>
        <v>Error?</v>
      </c>
    </row>
    <row r="5121" spans="1:4" x14ac:dyDescent="0.2">
      <c r="A5121" s="5">
        <v>5060</v>
      </c>
      <c r="B5121" s="138">
        <f>'Revenues 9-14'!C109</f>
        <v>2593540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5495317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5495317</v>
      </c>
      <c r="C5132" s="2" t="s">
        <v>573</v>
      </c>
      <c r="D5132" s="2" t="str">
        <f t="shared" si="79"/>
        <v>Error?</v>
      </c>
    </row>
    <row r="5133" spans="1:4" x14ac:dyDescent="0.2">
      <c r="A5133" s="5">
        <v>5072</v>
      </c>
      <c r="B5133" s="138">
        <f>'Revenues 9-14'!C125</f>
        <v>4368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90104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94472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55646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60761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6952</v>
      </c>
      <c r="D5167" s="2" t="str">
        <f t="shared" si="79"/>
        <v>Error?</v>
      </c>
    </row>
    <row r="5168" spans="1:4" x14ac:dyDescent="0.2">
      <c r="A5168" s="5">
        <v>5107</v>
      </c>
      <c r="B5168" s="138">
        <f>'Revenues 9-14'!C148</f>
        <v>15533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241014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5736331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291056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95961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393892</v>
      </c>
      <c r="C5246" s="2" t="s">
        <v>573</v>
      </c>
      <c r="D5246" s="2" t="str">
        <f t="shared" si="80"/>
        <v>Error?</v>
      </c>
    </row>
    <row r="5247" spans="1:4" x14ac:dyDescent="0.2">
      <c r="A5247" s="5">
        <v>5186</v>
      </c>
      <c r="B5247" s="138">
        <f>'Revenues 9-14'!C200</f>
        <v>444755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448175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854483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854483</v>
      </c>
      <c r="C5326" s="2" t="s">
        <v>573</v>
      </c>
      <c r="D5326" s="2" t="str">
        <f t="shared" si="82"/>
        <v>Error?</v>
      </c>
    </row>
    <row r="5327" spans="1:5" x14ac:dyDescent="0.2">
      <c r="A5327" s="5">
        <v>5266</v>
      </c>
      <c r="B5327" s="138">
        <f>'Revenues 9-14'!C268</f>
        <v>9184354</v>
      </c>
      <c r="C5327" s="2" t="s">
        <v>573</v>
      </c>
      <c r="D5327" s="2" t="str">
        <f t="shared" si="82"/>
        <v>Error?</v>
      </c>
    </row>
    <row r="5328" spans="1:5" x14ac:dyDescent="0.2">
      <c r="A5328" s="5">
        <v>5267</v>
      </c>
      <c r="B5328" s="138">
        <f>'Revenues 9-14'!D5</f>
        <v>332929</v>
      </c>
      <c r="D5328" s="2" t="str">
        <f t="shared" si="82"/>
        <v>Error?</v>
      </c>
    </row>
    <row r="5329" spans="1:4" x14ac:dyDescent="0.2">
      <c r="A5329" s="10">
        <v>5268</v>
      </c>
      <c r="D5329" s="2" t="str">
        <f t="shared" si="82"/>
        <v>OK</v>
      </c>
    </row>
    <row r="5330" spans="1:4" x14ac:dyDescent="0.2">
      <c r="A5330" s="5">
        <v>5269</v>
      </c>
      <c r="B5330" s="138">
        <f>'Revenues 9-14'!D6</f>
        <v>7678</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340607</v>
      </c>
      <c r="C5334" s="2" t="s">
        <v>573</v>
      </c>
      <c r="D5334" s="2" t="str">
        <f t="shared" si="82"/>
        <v>Error?</v>
      </c>
    </row>
    <row r="5335" spans="1:4" x14ac:dyDescent="0.2">
      <c r="A5335" s="5">
        <v>5274</v>
      </c>
      <c r="B5335" s="138">
        <f>'Revenues 9-14'!D14</f>
        <v>1709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1709</v>
      </c>
      <c r="C5339" s="2" t="s">
        <v>573</v>
      </c>
      <c r="D5339" s="2" t="str">
        <f t="shared" si="82"/>
        <v>Error?</v>
      </c>
    </row>
    <row r="5340" spans="1:4" x14ac:dyDescent="0.2">
      <c r="A5340" s="5">
        <v>5279</v>
      </c>
      <c r="B5340" s="138">
        <f>'Revenues 9-14'!D65</f>
        <v>4935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4935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309696</v>
      </c>
      <c r="D5354" s="2" t="str">
        <f t="shared" si="82"/>
        <v>Error?</v>
      </c>
    </row>
    <row r="5355" spans="1:4" x14ac:dyDescent="0.2">
      <c r="A5355" s="5">
        <v>5294</v>
      </c>
      <c r="B5355" s="138">
        <f>'Revenues 9-14'!D108</f>
        <v>309696</v>
      </c>
      <c r="C5355" s="2" t="s">
        <v>573</v>
      </c>
      <c r="D5355" s="2" t="str">
        <f t="shared" si="82"/>
        <v>Error?</v>
      </c>
    </row>
    <row r="5356" spans="1:4" x14ac:dyDescent="0.2">
      <c r="A5356" s="5">
        <v>5295</v>
      </c>
      <c r="B5356" s="138">
        <f>'Revenues 9-14'!D109</f>
        <v>656947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656947</v>
      </c>
      <c r="C5508" s="2" t="s">
        <v>573</v>
      </c>
      <c r="D5508" s="2" t="str">
        <f t="shared" si="85"/>
        <v>Error?</v>
      </c>
    </row>
    <row r="5509" spans="1:4" x14ac:dyDescent="0.2">
      <c r="A5509" s="5">
        <v>5448</v>
      </c>
      <c r="B5509" s="138">
        <f>'Revenues 9-14'!E5</f>
        <v>688402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688402</v>
      </c>
      <c r="C5513" s="2" t="s">
        <v>573</v>
      </c>
      <c r="D5513" s="2" t="str">
        <f t="shared" si="85"/>
        <v>Error?</v>
      </c>
    </row>
    <row r="5514" spans="1:4" x14ac:dyDescent="0.2">
      <c r="A5514" s="5">
        <v>5453</v>
      </c>
      <c r="B5514" s="138">
        <f>'Revenues 9-14'!E14</f>
        <v>5200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5200</v>
      </c>
      <c r="C5518" s="2" t="s">
        <v>573</v>
      </c>
      <c r="D5518" s="2" t="str">
        <f t="shared" si="85"/>
        <v>Error?</v>
      </c>
    </row>
    <row r="5519" spans="1:4" x14ac:dyDescent="0.2">
      <c r="A5519" s="5">
        <v>5458</v>
      </c>
      <c r="B5519" s="138">
        <f>'Revenues 9-14'!E65</f>
        <v>7475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7475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31269</v>
      </c>
      <c r="C5526" s="2" t="s">
        <v>573</v>
      </c>
      <c r="D5526" s="2" t="str">
        <f t="shared" si="85"/>
        <v>Error?</v>
      </c>
    </row>
    <row r="5527" spans="1:4" x14ac:dyDescent="0.2">
      <c r="A5527" s="5">
        <v>5466</v>
      </c>
      <c r="B5527" s="138">
        <f>'Revenues 9-14'!E109</f>
        <v>732346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732346</v>
      </c>
      <c r="C5552" s="2" t="s">
        <v>573</v>
      </c>
      <c r="D5552" s="2" t="str">
        <f t="shared" si="85"/>
        <v>Error?</v>
      </c>
    </row>
    <row r="5553" spans="1:4" x14ac:dyDescent="0.2">
      <c r="A5553" s="5">
        <v>5492</v>
      </c>
      <c r="B5553" s="138">
        <f>'Revenues 9-14'!F5</f>
        <v>171753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171753</v>
      </c>
      <c r="C5557" s="2" t="s">
        <v>573</v>
      </c>
      <c r="D5557" s="2" t="str">
        <f t="shared" si="85"/>
        <v>Error?</v>
      </c>
    </row>
    <row r="5558" spans="1:4" x14ac:dyDescent="0.2">
      <c r="A5558" s="5">
        <v>5497</v>
      </c>
      <c r="B5558" s="138">
        <f>'Revenues 9-14'!F14</f>
        <v>1500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7253</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7253</v>
      </c>
      <c r="C5579" s="2" t="s">
        <v>573</v>
      </c>
      <c r="D5579" s="2" t="str">
        <f t="shared" si="86"/>
        <v>Error?</v>
      </c>
    </row>
    <row r="5580" spans="1:4" x14ac:dyDescent="0.2">
      <c r="A5580" s="5">
        <v>5519</v>
      </c>
      <c r="B5580" s="138">
        <f>'Revenues 9-14'!F65</f>
        <v>1277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1277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181783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274766</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274766</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192965</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192965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192965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467731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649514</v>
      </c>
      <c r="C5720" s="2" t="s">
        <v>573</v>
      </c>
      <c r="D5720" s="2" t="str">
        <f t="shared" si="88"/>
        <v>Error?</v>
      </c>
    </row>
    <row r="5721" spans="1:4" x14ac:dyDescent="0.2">
      <c r="A5721" s="5">
        <v>5660</v>
      </c>
      <c r="B5721" s="138">
        <f>'Revenues 9-14'!G5</f>
        <v>195253</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195253</v>
      </c>
      <c r="C5725" s="2" t="s">
        <v>573</v>
      </c>
      <c r="D5725" s="2" t="str">
        <f t="shared" si="88"/>
        <v>Error?</v>
      </c>
    </row>
    <row r="5726" spans="1:4" x14ac:dyDescent="0.2">
      <c r="A5726" s="5">
        <v>5665</v>
      </c>
      <c r="B5726" s="138">
        <f>'Revenues 9-14'!G14</f>
        <v>3000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11120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14120</v>
      </c>
      <c r="C5730" s="2" t="s">
        <v>573</v>
      </c>
      <c r="D5730" s="2" t="str">
        <f t="shared" si="88"/>
        <v>Error?</v>
      </c>
    </row>
    <row r="5731" spans="1:4" x14ac:dyDescent="0.2">
      <c r="A5731" s="5">
        <v>5670</v>
      </c>
      <c r="B5731" s="138">
        <f>'Revenues 9-14'!G65</f>
        <v>6627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6627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24625</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24625</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24625</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24625</v>
      </c>
      <c r="C5869" s="2" t="s">
        <v>573</v>
      </c>
      <c r="D5869" s="2" t="str">
        <f t="shared" si="90"/>
        <v>Error?</v>
      </c>
    </row>
    <row r="5870" spans="1:4" x14ac:dyDescent="0.2">
      <c r="A5870" s="5">
        <v>5809</v>
      </c>
      <c r="B5870" s="138">
        <f>'Revenues 9-14'!G268</f>
        <v>240625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32770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32770</v>
      </c>
      <c r="C5881" s="2" t="s">
        <v>573</v>
      </c>
      <c r="D5881" s="2" t="str">
        <f t="shared" si="90"/>
        <v>Error?</v>
      </c>
    </row>
    <row r="5882" spans="1:4" x14ac:dyDescent="0.2">
      <c r="A5882" s="5">
        <v>5821</v>
      </c>
      <c r="B5882" s="138">
        <f>'Revenues 9-14'!H96</f>
        <v>250000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980018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1012788</v>
      </c>
      <c r="C5915" s="2" t="s">
        <v>573</v>
      </c>
      <c r="D5915" s="2" t="str">
        <f t="shared" si="91"/>
        <v>Error?</v>
      </c>
    </row>
    <row r="5916" spans="1:4" x14ac:dyDescent="0.2">
      <c r="A5916" s="5">
        <v>5855</v>
      </c>
      <c r="B5916" s="138">
        <f>'Revenues 9-14'!I5</f>
        <v>30872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30872</v>
      </c>
      <c r="C5918" s="2" t="s">
        <v>573</v>
      </c>
      <c r="D5918" s="2" t="str">
        <f t="shared" si="91"/>
        <v>Error?</v>
      </c>
    </row>
    <row r="5919" spans="1:4" x14ac:dyDescent="0.2">
      <c r="A5919" s="5">
        <v>5858</v>
      </c>
      <c r="B5919" s="138">
        <f>'Revenues 9-14'!I14</f>
        <v>200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200</v>
      </c>
      <c r="C5923" s="2" t="s">
        <v>573</v>
      </c>
      <c r="D5923" s="2" t="str">
        <f t="shared" si="91"/>
        <v>Error?</v>
      </c>
    </row>
    <row r="5924" spans="1:4" x14ac:dyDescent="0.2">
      <c r="A5924" s="5">
        <v>5863</v>
      </c>
      <c r="B5924" s="138">
        <f>'Revenues 9-14'!I65</f>
        <v>14580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14580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45652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30872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30872</v>
      </c>
      <c r="C5987" s="2" t="s">
        <v>573</v>
      </c>
      <c r="D5987" s="2" t="str">
        <f t="shared" si="92"/>
        <v>Error?</v>
      </c>
    </row>
    <row r="5988" spans="1:4" x14ac:dyDescent="0.2">
      <c r="A5988" s="5">
        <v>5927</v>
      </c>
      <c r="B5988" s="138">
        <f>'Revenues 9-14'!K14</f>
        <v>1500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1500</v>
      </c>
      <c r="C5992" s="2" t="s">
        <v>573</v>
      </c>
      <c r="D5992" s="2" t="str">
        <f t="shared" si="92"/>
        <v>Error?</v>
      </c>
    </row>
    <row r="5993" spans="1:4" x14ac:dyDescent="0.2">
      <c r="A5993" s="5">
        <v>5932</v>
      </c>
      <c r="B5993" s="138">
        <f>'Revenues 9-14'!K65</f>
        <v>601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601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32973</v>
      </c>
      <c r="C6023" s="2" t="s">
        <v>573</v>
      </c>
      <c r="D6023" s="2" t="str">
        <f t="shared" si="93"/>
        <v>Error?</v>
      </c>
    </row>
    <row r="6024" spans="1:5" x14ac:dyDescent="0.2">
      <c r="A6024" s="5">
        <v>5963</v>
      </c>
      <c r="B6024" s="138">
        <f>'Revenues 9-14'!G109</f>
        <v>216000</v>
      </c>
      <c r="C6024" s="2" t="s">
        <v>573</v>
      </c>
      <c r="D6024" s="2" t="str">
        <f t="shared" si="93"/>
        <v>Error?</v>
      </c>
    </row>
    <row r="6025" spans="1:5" x14ac:dyDescent="0.2">
      <c r="A6025" s="5">
        <v>5964</v>
      </c>
      <c r="B6025" s="138">
        <f>'Revenues 9-14'!H109</f>
        <v>1012788</v>
      </c>
      <c r="C6025" s="2" t="s">
        <v>573</v>
      </c>
      <c r="D6025" s="2" t="str">
        <f t="shared" si="93"/>
        <v>Error?</v>
      </c>
    </row>
    <row r="6026" spans="1:5" x14ac:dyDescent="0.2">
      <c r="A6026" s="5">
        <v>5965</v>
      </c>
      <c r="B6026" s="138">
        <f>'Revenues 9-14'!I109</f>
        <v>45652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32973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76989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34913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1014.8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404299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1334</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404299</v>
      </c>
      <c r="D6215" s="2" t="str">
        <f t="shared" si="96"/>
        <v>Error?</v>
      </c>
      <c r="E6215" s="2" t="s">
        <v>190</v>
      </c>
    </row>
    <row r="6216" spans="1:5" x14ac:dyDescent="0.2">
      <c r="A6216">
        <v>6155</v>
      </c>
      <c r="B6216" s="138">
        <f>'Assets-Liab 5-6'!J41</f>
        <v>404299</v>
      </c>
      <c r="D6216" s="2" t="str">
        <f t="shared" si="96"/>
        <v>Error?</v>
      </c>
      <c r="E6216" s="2" t="s">
        <v>190</v>
      </c>
    </row>
    <row r="6217" spans="1:5" x14ac:dyDescent="0.2">
      <c r="A6217">
        <v>6156</v>
      </c>
      <c r="B6217" s="138">
        <f>'Assets-Liab 5-6'!J4</f>
        <v>404299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161315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161315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161315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166890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166890</v>
      </c>
      <c r="D6229" s="2" t="str">
        <f t="shared" si="96"/>
        <v>Error?</v>
      </c>
      <c r="E6229" s="2" t="s">
        <v>190</v>
      </c>
    </row>
    <row r="6230" spans="1:5" x14ac:dyDescent="0.2">
      <c r="A6230">
        <v>6169</v>
      </c>
      <c r="B6230" s="138">
        <f>'Acct Summary 7-8'!J20</f>
        <v>-5575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-5575</v>
      </c>
      <c r="D6263" s="2" t="str">
        <f t="shared" si="96"/>
        <v>Error?</v>
      </c>
      <c r="E6263" s="2" t="s">
        <v>190</v>
      </c>
    </row>
    <row r="6264" spans="1:5" x14ac:dyDescent="0.2">
      <c r="A6264">
        <v>6203</v>
      </c>
      <c r="B6264" s="138">
        <f>'Acct Summary 7-8'!J79</f>
        <v>409874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404299</v>
      </c>
      <c r="D6266" s="2" t="str">
        <f t="shared" si="96"/>
        <v>Error?</v>
      </c>
      <c r="E6266" s="2" t="s">
        <v>190</v>
      </c>
    </row>
    <row r="6267" spans="1:5" x14ac:dyDescent="0.2">
      <c r="A6267">
        <v>6206</v>
      </c>
      <c r="B6267" s="138">
        <f>'Acct Summary 7-8'!C82</f>
        <v>-6487</v>
      </c>
      <c r="D6267" s="2" t="str">
        <f t="shared" si="96"/>
        <v>Error?</v>
      </c>
      <c r="E6267" s="2" t="s">
        <v>190</v>
      </c>
    </row>
    <row r="6268" spans="1:5" x14ac:dyDescent="0.2">
      <c r="A6268">
        <v>6207</v>
      </c>
      <c r="B6268" s="138">
        <f>'Acct Summary 7-8'!D82</f>
        <v>-306898</v>
      </c>
      <c r="D6268" s="2" t="str">
        <f t="shared" si="96"/>
        <v>Error?</v>
      </c>
      <c r="E6268" s="2" t="s">
        <v>190</v>
      </c>
    </row>
    <row r="6269" spans="1:5" x14ac:dyDescent="0.2">
      <c r="A6269">
        <v>6208</v>
      </c>
      <c r="B6269" s="138">
        <f>'Acct Summary 7-8'!E82</f>
        <v>-548512</v>
      </c>
      <c r="D6269" s="2" t="str">
        <f t="shared" si="96"/>
        <v>Error?</v>
      </c>
      <c r="E6269" s="2" t="s">
        <v>190</v>
      </c>
    </row>
    <row r="6270" spans="1:5" x14ac:dyDescent="0.2">
      <c r="A6270">
        <v>6209</v>
      </c>
      <c r="B6270" s="138">
        <f>'Acct Summary 7-8'!F82</f>
        <v>192544</v>
      </c>
      <c r="D6270" s="2" t="str">
        <f t="shared" si="96"/>
        <v>Error?</v>
      </c>
      <c r="E6270" s="2" t="s">
        <v>190</v>
      </c>
    </row>
    <row r="6271" spans="1:5" x14ac:dyDescent="0.2">
      <c r="A6271">
        <v>6210</v>
      </c>
      <c r="B6271" s="138">
        <f>'Acct Summary 7-8'!G82</f>
        <v>18395</v>
      </c>
      <c r="D6271" s="2" t="str">
        <f t="shared" ref="D6271:D6334" si="97">IF(ISBLANK(B6271),"OK",IF(A6271-B6271=0,"OK","Error?"))</f>
        <v>Error?</v>
      </c>
      <c r="E6271" s="2" t="s">
        <v>190</v>
      </c>
    </row>
    <row r="6272" spans="1:5" x14ac:dyDescent="0.2">
      <c r="A6272">
        <v>6211</v>
      </c>
      <c r="B6272" s="138">
        <f>'Acct Summary 7-8'!H82</f>
        <v>524864</v>
      </c>
      <c r="D6272" s="2" t="str">
        <f t="shared" si="97"/>
        <v>Error?</v>
      </c>
      <c r="E6272" s="2" t="s">
        <v>190</v>
      </c>
    </row>
    <row r="6273" spans="1:5" x14ac:dyDescent="0.2">
      <c r="A6273">
        <v>6212</v>
      </c>
      <c r="B6273" s="138">
        <f>'Acct Summary 7-8'!I82</f>
        <v>45652</v>
      </c>
      <c r="D6273" s="2" t="str">
        <f t="shared" si="97"/>
        <v>Error?</v>
      </c>
      <c r="E6273" s="2" t="s">
        <v>190</v>
      </c>
    </row>
    <row r="6274" spans="1:5" x14ac:dyDescent="0.2">
      <c r="A6274">
        <v>6213</v>
      </c>
      <c r="B6274" s="138">
        <f>'Acct Summary 7-8'!J82</f>
        <v>-5575</v>
      </c>
      <c r="D6274" s="2" t="str">
        <f t="shared" si="97"/>
        <v>Error?</v>
      </c>
      <c r="E6274" s="2" t="s">
        <v>190</v>
      </c>
    </row>
    <row r="6275" spans="1:5" x14ac:dyDescent="0.2">
      <c r="A6275">
        <v>6214</v>
      </c>
      <c r="B6275" s="138">
        <f>'Acct Summary 7-8'!K82</f>
        <v>-28657</v>
      </c>
      <c r="D6275" s="2" t="str">
        <f t="shared" si="97"/>
        <v>Error?</v>
      </c>
      <c r="E6275" s="2" t="s">
        <v>190</v>
      </c>
    </row>
    <row r="6276" spans="1:5" x14ac:dyDescent="0.2">
      <c r="A6276">
        <v>6215</v>
      </c>
      <c r="B6276" s="138">
        <f>'Acct Summary 7-8'!C83</f>
        <v>-4.2082223487939713E-3</v>
      </c>
      <c r="D6276" s="2" t="str">
        <f t="shared" si="97"/>
        <v>Error?</v>
      </c>
      <c r="E6276" s="2" t="s">
        <v>190</v>
      </c>
    </row>
    <row r="6277" spans="1:5" x14ac:dyDescent="0.2">
      <c r="A6277">
        <v>6216</v>
      </c>
      <c r="B6277" s="138">
        <f>'Acct Summary 7-8'!D83</f>
        <v>-0.95902328357462707</v>
      </c>
      <c r="D6277" s="2" t="str">
        <f t="shared" si="97"/>
        <v>Error?</v>
      </c>
      <c r="E6277" s="2" t="s">
        <v>190</v>
      </c>
    </row>
    <row r="6278" spans="1:5" x14ac:dyDescent="0.2">
      <c r="A6278">
        <v>6217</v>
      </c>
      <c r="B6278" s="138">
        <f>'Acct Summary 7-8'!E83</f>
        <v>-1.9011690980995657</v>
      </c>
      <c r="D6278" s="2" t="str">
        <f t="shared" si="97"/>
        <v>Error?</v>
      </c>
      <c r="E6278" s="2" t="s">
        <v>190</v>
      </c>
    </row>
    <row r="6279" spans="1:5" x14ac:dyDescent="0.2">
      <c r="A6279">
        <v>6218</v>
      </c>
      <c r="B6279" s="138">
        <f>'Acct Summary 7-8'!F83</f>
        <v>0.79092675432651027</v>
      </c>
      <c r="D6279" s="2" t="str">
        <f t="shared" si="97"/>
        <v>Error?</v>
      </c>
      <c r="E6279" s="2" t="s">
        <v>190</v>
      </c>
    </row>
    <row r="6280" spans="1:5" x14ac:dyDescent="0.2">
      <c r="A6280">
        <v>6219</v>
      </c>
      <c r="B6280" s="138">
        <f>'Acct Summary 7-8'!G83</f>
        <v>3.9816017316017319E-2</v>
      </c>
      <c r="D6280" s="2" t="str">
        <f t="shared" si="97"/>
        <v>Error?</v>
      </c>
      <c r="E6280" s="2" t="s">
        <v>190</v>
      </c>
    </row>
    <row r="6281" spans="1:5" x14ac:dyDescent="0.2">
      <c r="A6281">
        <v>6220</v>
      </c>
      <c r="B6281" s="138">
        <f>'Acct Summary 7-8'!H83</f>
        <v>0.22651352398774008</v>
      </c>
      <c r="D6281" s="2" t="str">
        <f t="shared" si="97"/>
        <v>Error?</v>
      </c>
      <c r="E6281" s="2" t="s">
        <v>190</v>
      </c>
    </row>
    <row r="6282" spans="1:5" x14ac:dyDescent="0.2">
      <c r="A6282">
        <v>6221</v>
      </c>
      <c r="B6282" s="138">
        <f>'Acct Summary 7-8'!I83</f>
        <v>4.1706711882740298E-2</v>
      </c>
      <c r="D6282" s="2" t="str">
        <f t="shared" si="97"/>
        <v>Error?</v>
      </c>
      <c r="E6282" s="2" t="s">
        <v>190</v>
      </c>
    </row>
    <row r="6283" spans="1:5" x14ac:dyDescent="0.2">
      <c r="A6283">
        <v>6222</v>
      </c>
      <c r="B6283" s="138">
        <f>'Acct Summary 7-8'!J83</f>
        <v>-1.3789299503585218E-2</v>
      </c>
      <c r="D6283" s="2" t="str">
        <f t="shared" si="97"/>
        <v>Error?</v>
      </c>
      <c r="E6283" s="2" t="s">
        <v>190</v>
      </c>
    </row>
    <row r="6284" spans="1:5" x14ac:dyDescent="0.2">
      <c r="A6284">
        <v>6223</v>
      </c>
      <c r="B6284" s="138">
        <f>'Acct Summary 7-8'!K83</f>
        <v>-0.90372122358877327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154370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154370</v>
      </c>
      <c r="D6301" s="2" t="str">
        <f t="shared" si="97"/>
        <v>Error?</v>
      </c>
      <c r="E6301" s="2" t="s">
        <v>190</v>
      </c>
    </row>
    <row r="6302" spans="1:5" x14ac:dyDescent="0.2">
      <c r="A6302">
        <v>6241</v>
      </c>
      <c r="B6302" s="138">
        <f>'Revenues 9-14'!J14</f>
        <v>1500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1500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5445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5445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97522</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13035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161315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5115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85462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7448</v>
      </c>
      <c r="D6991" s="2" t="str">
        <f t="shared" si="108"/>
        <v>Error?</v>
      </c>
    </row>
    <row r="6992" spans="1:4" x14ac:dyDescent="0.2">
      <c r="A6992">
        <v>6931</v>
      </c>
      <c r="B6992" s="138">
        <f>'Expenditures 15-22'!K90</f>
        <v>7448</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7448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166890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161315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880</v>
      </c>
      <c r="D7079" s="2" t="str">
        <f t="shared" si="109"/>
        <v>Error?</v>
      </c>
    </row>
    <row r="7080" spans="1:4" x14ac:dyDescent="0.2">
      <c r="A7080">
        <v>7019</v>
      </c>
      <c r="B7080" s="138">
        <f>'Expenditures 15-22'!K226</f>
        <v>880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114892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114892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51998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51998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166890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166890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166890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166890</v>
      </c>
      <c r="D7224" s="2" t="str">
        <f t="shared" si="111"/>
        <v>Error?</v>
      </c>
    </row>
    <row r="7225" spans="1:4" x14ac:dyDescent="0.2">
      <c r="A7225">
        <v>7164</v>
      </c>
      <c r="B7225" s="138">
        <f>'Expenditures 15-22'!K343</f>
        <v>-5575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61060</v>
      </c>
      <c r="D7263" s="2" t="str">
        <f t="shared" si="112"/>
        <v>Error?</v>
      </c>
    </row>
    <row r="7264" spans="1:4" x14ac:dyDescent="0.2">
      <c r="A7264">
        <f t="shared" si="113"/>
        <v>7203</v>
      </c>
      <c r="B7264" s="138">
        <f>'Expenditures 15-22'!D17</f>
        <v>17426</v>
      </c>
      <c r="D7264" s="2" t="str">
        <f t="shared" si="112"/>
        <v>Error?</v>
      </c>
    </row>
    <row r="7265" spans="1:5" x14ac:dyDescent="0.2">
      <c r="A7265">
        <f t="shared" si="113"/>
        <v>7204</v>
      </c>
      <c r="B7265" s="138">
        <f>'Expenditures 15-22'!E17</f>
        <v>5586</v>
      </c>
      <c r="D7265" s="2" t="str">
        <f t="shared" si="112"/>
        <v>Error?</v>
      </c>
    </row>
    <row r="7266" spans="1:5" x14ac:dyDescent="0.2">
      <c r="A7266">
        <f t="shared" si="113"/>
        <v>7205</v>
      </c>
      <c r="B7266" s="138">
        <f>'Expenditures 15-22'!F17</f>
        <v>1390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913197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761287</v>
      </c>
      <c r="D7713" s="2" t="str">
        <f t="shared" si="126"/>
        <v>Error?</v>
      </c>
      <c r="E7713" s="2" t="s">
        <v>827</v>
      </c>
    </row>
    <row r="7714" spans="1:6" x14ac:dyDescent="0.2">
      <c r="A7714">
        <v>7653</v>
      </c>
      <c r="B7714" s="138">
        <f>'Rest Tax Levies-Tort Im 25'!K9</f>
        <v>13035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761287</v>
      </c>
      <c r="D7718" s="2" t="str">
        <f t="shared" si="126"/>
        <v>Error?</v>
      </c>
      <c r="E7718" s="2" t="s">
        <v>827</v>
      </c>
    </row>
    <row r="7719" spans="1:6" x14ac:dyDescent="0.2">
      <c r="A7719">
        <v>7658</v>
      </c>
      <c r="B7719" s="138">
        <f>'Rest Tax Levies-Tort Im 25'!K12</f>
        <v>13035</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13035</v>
      </c>
      <c r="D7721" s="2" t="str">
        <f t="shared" si="126"/>
        <v>Error?</v>
      </c>
      <c r="E7721" s="2" t="s">
        <v>827</v>
      </c>
    </row>
    <row r="7722" spans="1:6" x14ac:dyDescent="0.2">
      <c r="A7722">
        <v>7661</v>
      </c>
      <c r="B7722" s="138">
        <f>'Rest Tax Levies-Tort Im 25'!J15</f>
        <v>730018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31269</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31269</v>
      </c>
      <c r="D7727" s="2" t="str">
        <f t="shared" si="126"/>
        <v>Error?</v>
      </c>
      <c r="E7727" s="2" t="s">
        <v>827</v>
      </c>
    </row>
    <row r="7728" spans="1:6" x14ac:dyDescent="0.2">
      <c r="A7728">
        <v>7667</v>
      </c>
      <c r="B7728" s="138">
        <f>'Revenues 9-14'!E103</f>
        <v>31269</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761287</v>
      </c>
      <c r="D7730" s="2" t="str">
        <f t="shared" si="126"/>
        <v>Error?</v>
      </c>
      <c r="E7730" s="2" t="s">
        <v>827</v>
      </c>
    </row>
    <row r="7731" spans="1:6" x14ac:dyDescent="0.2">
      <c r="A7731">
        <v>7670</v>
      </c>
      <c r="B7731" s="138">
        <f>'Revenues 9-14'!H103</f>
        <v>730018</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30872</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1701312</v>
      </c>
      <c r="D7797" s="2" t="str">
        <f t="shared" si="127"/>
        <v>Error?</v>
      </c>
      <c r="E7797" s="4" t="s">
        <v>1900</v>
      </c>
    </row>
    <row r="7798" spans="1:5" x14ac:dyDescent="0.2">
      <c r="A7798">
        <v>7737</v>
      </c>
      <c r="B7798" s="138">
        <f>'Contracts Paid in CY 29'!F141</f>
        <v>89736</v>
      </c>
      <c r="D7798" s="2" t="str">
        <f t="shared" si="127"/>
        <v>Error?</v>
      </c>
      <c r="E7798" s="4" t="s">
        <v>1900</v>
      </c>
    </row>
    <row r="7799" spans="1:5" x14ac:dyDescent="0.2">
      <c r="A7799">
        <v>7738</v>
      </c>
      <c r="B7799" s="138">
        <f>'Contracts Paid in CY 29'!G141</f>
        <v>760920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I40" sqref="I4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1984</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Johnston CUSD 1</v>
      </c>
      <c r="B7" s="2385"/>
      <c r="C7" s="2385"/>
      <c r="D7" s="2422"/>
      <c r="E7" s="2423">
        <f>COVER!A13</f>
        <v>21100001026</v>
      </c>
      <c r="F7" s="2424"/>
      <c r="G7" s="2391" t="str">
        <f>COVER!T23</f>
        <v>065-022629</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Cindy A. Bobell, CPA</v>
      </c>
      <c r="H9" s="2398"/>
      <c r="I9" s="2398"/>
      <c r="J9" s="2398"/>
      <c r="K9" s="2398"/>
      <c r="L9" s="2399"/>
    </row>
    <row r="10" spans="1:29" ht="13.5" customHeight="1" x14ac:dyDescent="0.2">
      <c r="A10" s="2381" t="str">
        <f>COVER!A38</f>
        <v>Mrs. Kathy Clark</v>
      </c>
      <c r="B10" s="2382"/>
      <c r="C10" s="2382"/>
      <c r="D10" s="2382"/>
      <c r="E10" s="2382"/>
      <c r="F10" s="2383"/>
      <c r="G10" s="2397" t="str">
        <f>COVER!T17</f>
        <v xml:space="preserve">10653 Khoury League Road </v>
      </c>
      <c r="H10" s="2410"/>
      <c r="I10" s="2410"/>
      <c r="J10" s="2410"/>
      <c r="K10" s="2410"/>
      <c r="L10" s="2411"/>
    </row>
    <row r="11" spans="1:29" ht="13.5" customHeight="1" x14ac:dyDescent="0.2">
      <c r="A11" s="1184" t="s">
        <v>1519</v>
      </c>
      <c r="B11" s="1185"/>
      <c r="C11" s="1186"/>
      <c r="D11" s="1191"/>
      <c r="E11" s="1186"/>
      <c r="F11" s="1190"/>
      <c r="G11" s="2397" t="str">
        <f>COVER!T19</f>
        <v>Marion</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cabcpa@frontier.com</v>
      </c>
      <c r="J13" s="2419"/>
      <c r="K13" s="2419"/>
      <c r="L13" s="2420"/>
    </row>
    <row r="14" spans="1:29" ht="13.5" customHeight="1" x14ac:dyDescent="0.2">
      <c r="A14" s="2397" t="str">
        <f>COVER!A19</f>
        <v>200 East 12th Street</v>
      </c>
      <c r="B14" s="2410"/>
      <c r="C14" s="2410"/>
      <c r="D14" s="2410"/>
      <c r="E14" s="2410"/>
      <c r="F14" s="2411"/>
      <c r="G14" s="1195" t="s">
        <v>1185</v>
      </c>
      <c r="H14" s="1193"/>
      <c r="I14" s="1193"/>
      <c r="J14" s="1193"/>
      <c r="K14" s="1193"/>
      <c r="L14" s="1194"/>
    </row>
    <row r="15" spans="1:29" ht="13.5" customHeight="1" x14ac:dyDescent="0.2">
      <c r="A15" s="2397" t="str">
        <f>COVER!A21</f>
        <v>Johnston City</v>
      </c>
      <c r="B15" s="2410"/>
      <c r="C15" s="2410"/>
      <c r="D15" s="2410"/>
      <c r="E15" s="2410"/>
      <c r="F15" s="2411"/>
      <c r="G15" s="2407" t="str">
        <f>COVER!T15</f>
        <v>Cindy A. Bobell, CPA</v>
      </c>
      <c r="H15" s="2408"/>
      <c r="I15" s="2408"/>
      <c r="J15" s="2408"/>
      <c r="K15" s="2408"/>
      <c r="L15" s="2409"/>
    </row>
    <row r="16" spans="1:29" ht="12.2" customHeight="1" x14ac:dyDescent="0.2">
      <c r="A16" s="2387">
        <f>COVER!A25</f>
        <v>62951</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618-997-9711</v>
      </c>
      <c r="H18" s="2385"/>
      <c r="I18" s="2385"/>
      <c r="J18" s="2385"/>
      <c r="K18" s="2384" t="str">
        <f>COVER!X21</f>
        <v>618-997-8014</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2061</v>
      </c>
      <c r="C26" s="1202" t="s">
        <v>1699</v>
      </c>
    </row>
    <row r="27" spans="1:13" s="1198" customFormat="1" ht="9" customHeight="1" x14ac:dyDescent="0.2">
      <c r="B27" s="1203"/>
      <c r="C27" s="1202"/>
    </row>
    <row r="28" spans="1:13" s="1198" customFormat="1" ht="12.2" customHeight="1" x14ac:dyDescent="0.2">
      <c r="A28" s="1205"/>
      <c r="B28" s="1201" t="s">
        <v>2061</v>
      </c>
      <c r="C28" s="1202" t="s">
        <v>1700</v>
      </c>
    </row>
    <row r="29" spans="1:13" s="1198" customFormat="1" ht="9" customHeight="1" x14ac:dyDescent="0.2">
      <c r="A29" s="1205"/>
      <c r="B29" s="1203"/>
      <c r="C29" s="1202"/>
    </row>
    <row r="30" spans="1:13" s="1198" customFormat="1" ht="12.2" customHeight="1" x14ac:dyDescent="0.2">
      <c r="B30" s="1201" t="s">
        <v>2061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2061</v>
      </c>
      <c r="C38" s="1202" t="s">
        <v>1566</v>
      </c>
    </row>
    <row r="39" spans="1:8" ht="9" customHeight="1" x14ac:dyDescent="0.2">
      <c r="B39" s="1203"/>
      <c r="C39" s="1206"/>
    </row>
    <row r="40" spans="1:8" s="1198" customFormat="1" ht="13.5" customHeight="1" x14ac:dyDescent="0.2">
      <c r="B40" s="1201" t="s">
        <v>2061</v>
      </c>
      <c r="C40" s="1202" t="s">
        <v>1567</v>
      </c>
    </row>
    <row r="41" spans="1:8" ht="9" customHeight="1" x14ac:dyDescent="0.2">
      <c r="A41" s="1207"/>
      <c r="B41" s="1203"/>
      <c r="C41" s="1206"/>
    </row>
    <row r="42" spans="1:8" s="1198" customFormat="1" ht="13.5" customHeight="1" x14ac:dyDescent="0.2">
      <c r="B42" s="1201" t="s">
        <v>2061</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&amp;R
C - i</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Johnston CUSD 1</v>
      </c>
      <c r="B1" s="2421"/>
      <c r="C1" s="2421"/>
      <c r="D1" s="2421"/>
    </row>
    <row r="2" spans="1:11" s="1212" customFormat="1" ht="12.75" x14ac:dyDescent="0.2">
      <c r="A2" s="2426">
        <f>'Single Audit Cover'!E7</f>
        <v>21100001026</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Johnston CUSD 1</v>
      </c>
      <c r="B1" s="2429"/>
      <c r="C1" s="2429"/>
      <c r="D1" s="2429"/>
      <c r="E1" s="2429"/>
    </row>
    <row r="2" spans="1:5" x14ac:dyDescent="0.2">
      <c r="A2" s="2430">
        <f>'Single Audit Cover'!E7</f>
        <v>21100001026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879108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34913</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-7465</v>
      </c>
    </row>
    <row r="19" spans="1:4" ht="13.5" thickBot="1" x14ac:dyDescent="0.25">
      <c r="A19" s="1262" t="s">
        <v>1235</v>
      </c>
      <c r="D19" s="1263">
        <f>SUM(D10:D17)</f>
        <v>906556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906556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906556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&amp;R
C - 5</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20" sqref="B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Johnston CUSD 1</v>
      </c>
      <c r="C1" s="2433"/>
      <c r="D1" s="2433"/>
      <c r="E1" s="2433"/>
      <c r="F1" s="2433"/>
      <c r="G1" s="2433"/>
      <c r="H1" s="2433"/>
      <c r="I1" s="2433"/>
      <c r="J1" s="2433"/>
      <c r="K1" s="2433"/>
      <c r="L1" s="2433"/>
      <c r="M1" s="2433"/>
    </row>
    <row r="2" spans="2:14" ht="15" x14ac:dyDescent="0.2">
      <c r="B2" s="2434">
        <f>'Single Audit Cover'!E7</f>
        <v>21100001026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2090</v>
      </c>
      <c r="C11" s="1335"/>
      <c r="D11" s="1336"/>
      <c r="E11" s="1337"/>
      <c r="F11" s="1337"/>
      <c r="G11" s="1337"/>
      <c r="H11" s="1337"/>
      <c r="I11" s="1337"/>
      <c r="J11" s="1337"/>
      <c r="K11" s="1337"/>
      <c r="L11" s="1337">
        <f>+G11+I11+K11</f>
        <v>0</v>
      </c>
      <c r="M11" s="1337"/>
    </row>
    <row r="12" spans="2:14" ht="20.100000000000001" customHeight="1" x14ac:dyDescent="0.2">
      <c r="B12" s="1334" t="s">
        <v>2091</v>
      </c>
      <c r="C12" s="1338" t="s">
        <v>2093</v>
      </c>
      <c r="D12" s="1339" t="s">
        <v>2095</v>
      </c>
      <c r="E12" s="1340">
        <v>309836</v>
      </c>
      <c r="F12" s="1340">
        <v>111761</v>
      </c>
      <c r="G12" s="1340">
        <v>320102</v>
      </c>
      <c r="H12" s="1340"/>
      <c r="I12" s="1340">
        <v>101340</v>
      </c>
      <c r="J12" s="1340"/>
      <c r="K12" s="1340"/>
      <c r="L12" s="1337">
        <f t="shared" ref="L12:L27" si="0">+G12+I12+K12</f>
        <v>421442</v>
      </c>
      <c r="M12" s="1340">
        <v>473014</v>
      </c>
    </row>
    <row r="13" spans="2:14" ht="20.100000000000001" customHeight="1" x14ac:dyDescent="0.2">
      <c r="B13" s="1334" t="s">
        <v>2092</v>
      </c>
      <c r="C13" s="1338" t="s">
        <v>2093</v>
      </c>
      <c r="D13" s="1339" t="s">
        <v>2096</v>
      </c>
      <c r="E13" s="1340"/>
      <c r="F13" s="1340">
        <v>357619</v>
      </c>
      <c r="G13" s="1340"/>
      <c r="H13" s="1340"/>
      <c r="I13" s="1340">
        <v>448586</v>
      </c>
      <c r="J13" s="1340"/>
      <c r="K13" s="1340">
        <v>27379</v>
      </c>
      <c r="L13" s="1337">
        <f t="shared" si="0"/>
        <v>475965</v>
      </c>
      <c r="M13" s="1340">
        <v>492367</v>
      </c>
    </row>
    <row r="14" spans="2:14" ht="20.100000000000001" customHeight="1" x14ac:dyDescent="0.2">
      <c r="B14" s="1334" t="s">
        <v>2094</v>
      </c>
      <c r="C14" s="1338" t="s">
        <v>2093</v>
      </c>
      <c r="D14" s="1339" t="s">
        <v>2097</v>
      </c>
      <c r="E14" s="1340"/>
      <c r="F14" s="1340">
        <v>3420</v>
      </c>
      <c r="G14" s="1340"/>
      <c r="H14" s="1340"/>
      <c r="I14" s="1340">
        <v>13362</v>
      </c>
      <c r="J14" s="1340"/>
      <c r="K14" s="1340">
        <v>1638</v>
      </c>
      <c r="L14" s="1337">
        <f t="shared" si="0"/>
        <v>15000</v>
      </c>
      <c r="M14" s="1340">
        <v>15000</v>
      </c>
    </row>
    <row r="15" spans="2:14" ht="20.100000000000001" customHeight="1" x14ac:dyDescent="0.2">
      <c r="B15" s="1334" t="s">
        <v>2098</v>
      </c>
      <c r="C15" s="1338"/>
      <c r="D15" s="1339"/>
      <c r="E15" s="1340">
        <v>309836</v>
      </c>
      <c r="F15" s="1340">
        <v>472800</v>
      </c>
      <c r="G15" s="1340">
        <v>320102</v>
      </c>
      <c r="H15" s="1340"/>
      <c r="I15" s="1340">
        <v>563288</v>
      </c>
      <c r="J15" s="1340"/>
      <c r="K15" s="1340">
        <v>29017</v>
      </c>
      <c r="L15" s="1337">
        <f t="shared" si="0"/>
        <v>912407</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2099</v>
      </c>
      <c r="C17" s="1338"/>
      <c r="D17" s="1339"/>
      <c r="E17" s="1340"/>
      <c r="F17" s="1340"/>
      <c r="G17" s="1340"/>
      <c r="H17" s="1340"/>
      <c r="I17" s="1340"/>
      <c r="J17" s="1340"/>
      <c r="K17" s="1340"/>
      <c r="L17" s="1337">
        <f t="shared" si="0"/>
        <v>0</v>
      </c>
      <c r="M17" s="1340"/>
    </row>
    <row r="18" spans="2:14" ht="20.100000000000001" customHeight="1" x14ac:dyDescent="0.2">
      <c r="B18" s="1334" t="s">
        <v>2100</v>
      </c>
      <c r="C18" s="1338">
        <v>93.778000000000006</v>
      </c>
      <c r="D18" s="1339"/>
      <c r="E18" s="1340"/>
      <c r="F18" s="1340">
        <v>4951</v>
      </c>
      <c r="G18" s="1340"/>
      <c r="H18" s="1340"/>
      <c r="I18" s="1340">
        <v>4951</v>
      </c>
      <c r="J18" s="1340"/>
      <c r="K18" s="1340"/>
      <c r="L18" s="1337">
        <f t="shared" si="0"/>
        <v>4951</v>
      </c>
      <c r="M18" s="1340" t="s">
        <v>2101</v>
      </c>
    </row>
    <row r="19" spans="2:14" ht="20.100000000000001" customHeight="1" x14ac:dyDescent="0.2">
      <c r="B19" s="1334" t="s">
        <v>2136</v>
      </c>
      <c r="C19" s="1338"/>
      <c r="D19" s="1339"/>
      <c r="E19" s="1340"/>
      <c r="F19" s="1340">
        <v>4951</v>
      </c>
      <c r="G19" s="1340"/>
      <c r="H19" s="1340"/>
      <c r="I19" s="1340">
        <v>4951</v>
      </c>
      <c r="J19" s="1340"/>
      <c r="K19" s="1340"/>
      <c r="L19" s="1337">
        <f t="shared" si="0"/>
        <v>4951</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&amp;R
C - 3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9C0B-8339-4B9E-A73D-F43B13DA07AB}">
  <sheetPr>
    <pageSetUpPr fitToPage="1"/>
  </sheetPr>
  <dimension ref="B1:N152"/>
  <sheetViews>
    <sheetView showGridLines="0" zoomScaleNormal="100" workbookViewId="0">
      <selection activeCell="K25" sqref="K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Johnston CUSD 1</v>
      </c>
      <c r="C1" s="2433"/>
      <c r="D1" s="2433"/>
      <c r="E1" s="2433"/>
      <c r="F1" s="2433"/>
      <c r="G1" s="2433"/>
      <c r="H1" s="2433"/>
      <c r="I1" s="2433"/>
      <c r="J1" s="2433"/>
      <c r="K1" s="2433"/>
      <c r="L1" s="2433"/>
      <c r="M1" s="2433"/>
    </row>
    <row r="2" spans="2:14" ht="15" x14ac:dyDescent="0.2">
      <c r="B2" s="2434">
        <f>'Single Audit Cover'!E7</f>
        <v>21100001026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2102</v>
      </c>
      <c r="C11" s="1335"/>
      <c r="D11" s="1336"/>
      <c r="E11" s="1337"/>
      <c r="F11" s="1337"/>
      <c r="G11" s="1337"/>
      <c r="H11" s="1337"/>
      <c r="I11" s="1337"/>
      <c r="J11" s="1337"/>
      <c r="K11" s="1337"/>
      <c r="L11" s="1337">
        <f>+G11+I11+K11</f>
        <v>0</v>
      </c>
      <c r="M11" s="1337"/>
    </row>
    <row r="12" spans="2:14" ht="20.100000000000001" customHeight="1" x14ac:dyDescent="0.2">
      <c r="B12" s="1334" t="s">
        <v>2103</v>
      </c>
      <c r="C12" s="1338">
        <v>10.555</v>
      </c>
      <c r="D12" s="1339" t="s">
        <v>2111</v>
      </c>
      <c r="E12" s="1340">
        <v>216220</v>
      </c>
      <c r="F12" s="1340">
        <v>55109</v>
      </c>
      <c r="G12" s="1340">
        <v>216220</v>
      </c>
      <c r="H12" s="1340"/>
      <c r="I12" s="1340">
        <v>55109</v>
      </c>
      <c r="J12" s="1340"/>
      <c r="K12" s="1340"/>
      <c r="L12" s="1337">
        <f t="shared" ref="L12:L13" si="0">+G12+I12+K12</f>
        <v>271329</v>
      </c>
      <c r="M12" s="1340"/>
    </row>
    <row r="13" spans="2:14" ht="20.100000000000001" customHeight="1" x14ac:dyDescent="0.2">
      <c r="B13" s="1334" t="s">
        <v>2104</v>
      </c>
      <c r="C13" s="1338">
        <v>10.555</v>
      </c>
      <c r="D13" s="1339" t="s">
        <v>2112</v>
      </c>
      <c r="E13" s="1340"/>
      <c r="F13" s="1340">
        <v>235948</v>
      </c>
      <c r="G13" s="1340"/>
      <c r="H13" s="1340"/>
      <c r="I13" s="1340">
        <v>235948</v>
      </c>
      <c r="J13" s="1340"/>
      <c r="K13" s="1340"/>
      <c r="L13" s="1337">
        <f t="shared" si="0"/>
        <v>235948</v>
      </c>
      <c r="M13" s="1340"/>
    </row>
    <row r="14" spans="2:14" ht="20.100000000000001" customHeight="1" x14ac:dyDescent="0.2">
      <c r="B14" s="1334" t="s">
        <v>2107</v>
      </c>
      <c r="C14" s="1338">
        <v>10.555</v>
      </c>
      <c r="D14" s="1339"/>
      <c r="E14" s="1340"/>
      <c r="F14" s="1340">
        <v>25417</v>
      </c>
      <c r="G14" s="1340"/>
      <c r="H14" s="1340"/>
      <c r="I14" s="1340">
        <v>25417</v>
      </c>
      <c r="J14" s="1340"/>
      <c r="K14" s="1340"/>
      <c r="L14" s="1337">
        <f t="shared" ref="L14:L17" si="1">+G14+I14+K14</f>
        <v>25417</v>
      </c>
      <c r="M14" s="1340"/>
    </row>
    <row r="15" spans="2:14" ht="20.100000000000001" customHeight="1" x14ac:dyDescent="0.2">
      <c r="B15" s="1334" t="s">
        <v>2108</v>
      </c>
      <c r="C15" s="1338">
        <v>10.555</v>
      </c>
      <c r="D15" s="1339"/>
      <c r="E15" s="1340"/>
      <c r="F15" s="1340">
        <v>9496</v>
      </c>
      <c r="G15" s="1340"/>
      <c r="H15" s="1340"/>
      <c r="I15" s="1340">
        <v>9496</v>
      </c>
      <c r="J15" s="1340"/>
      <c r="K15" s="1340"/>
      <c r="L15" s="1337">
        <f t="shared" si="1"/>
        <v>9496</v>
      </c>
      <c r="M15" s="1340"/>
    </row>
    <row r="16" spans="2:14" ht="20.100000000000001" customHeight="1" x14ac:dyDescent="0.2">
      <c r="B16" s="1334" t="s">
        <v>2137</v>
      </c>
      <c r="C16" s="1338"/>
      <c r="D16" s="1339"/>
      <c r="E16" s="1340">
        <v>216220</v>
      </c>
      <c r="F16" s="1340">
        <v>325970</v>
      </c>
      <c r="G16" s="1340">
        <v>216220</v>
      </c>
      <c r="H16" s="1340"/>
      <c r="I16" s="1340">
        <v>325970</v>
      </c>
      <c r="J16" s="1340"/>
      <c r="K16" s="1340"/>
      <c r="L16" s="1337">
        <f t="shared" si="1"/>
        <v>542190</v>
      </c>
      <c r="M16" s="1340"/>
    </row>
    <row r="17" spans="2:14" ht="20.100000000000001" customHeight="1" x14ac:dyDescent="0.2">
      <c r="B17" s="1334" t="s">
        <v>2105</v>
      </c>
      <c r="C17" s="1338">
        <v>10.553000000000001</v>
      </c>
      <c r="D17" s="1339" t="s">
        <v>2113</v>
      </c>
      <c r="E17" s="1340">
        <v>70292</v>
      </c>
      <c r="F17" s="1340">
        <v>16492</v>
      </c>
      <c r="G17" s="1340">
        <v>70292</v>
      </c>
      <c r="H17" s="1340"/>
      <c r="I17" s="1340">
        <v>16492</v>
      </c>
      <c r="J17" s="1340"/>
      <c r="K17" s="1340"/>
      <c r="L17" s="1337">
        <f t="shared" si="1"/>
        <v>86784</v>
      </c>
      <c r="M17" s="1340"/>
    </row>
    <row r="18" spans="2:14" ht="20.100000000000001" customHeight="1" x14ac:dyDescent="0.2">
      <c r="B18" s="1334" t="s">
        <v>2106</v>
      </c>
      <c r="C18" s="1338">
        <v>10.553000000000001</v>
      </c>
      <c r="D18" s="1339" t="s">
        <v>2114</v>
      </c>
      <c r="E18" s="1340"/>
      <c r="F18" s="1340">
        <v>79468</v>
      </c>
      <c r="G18" s="1340"/>
      <c r="H18" s="1340"/>
      <c r="I18" s="1340">
        <v>79468</v>
      </c>
      <c r="J18" s="1340"/>
      <c r="K18" s="1340"/>
      <c r="L18" s="1337">
        <f>+G18+I18+K18</f>
        <v>79468</v>
      </c>
      <c r="M18" s="1340"/>
    </row>
    <row r="19" spans="2:14" ht="20.100000000000001" customHeight="1" x14ac:dyDescent="0.2">
      <c r="B19" s="1334" t="s">
        <v>2138</v>
      </c>
      <c r="C19" s="1338"/>
      <c r="D19" s="1339"/>
      <c r="E19" s="1340">
        <v>70292</v>
      </c>
      <c r="F19" s="1340">
        <v>95960</v>
      </c>
      <c r="G19" s="1340">
        <v>70292</v>
      </c>
      <c r="H19" s="1340"/>
      <c r="I19" s="1340">
        <v>95960</v>
      </c>
      <c r="J19" s="1340"/>
      <c r="K19" s="1340"/>
      <c r="L19" s="1337">
        <f t="shared" ref="L19:L22" si="2">+G19+I19+K19</f>
        <v>166252</v>
      </c>
      <c r="M19" s="1340"/>
    </row>
    <row r="20" spans="2:14" ht="20.100000000000001" customHeight="1" x14ac:dyDescent="0.2">
      <c r="B20" s="1334" t="s">
        <v>2109</v>
      </c>
      <c r="C20" s="1338"/>
      <c r="D20" s="1339"/>
      <c r="E20" s="1340">
        <v>286512</v>
      </c>
      <c r="F20" s="1340">
        <v>421930</v>
      </c>
      <c r="G20" s="1340">
        <v>286512</v>
      </c>
      <c r="H20" s="1340"/>
      <c r="I20" s="1340">
        <v>421930</v>
      </c>
      <c r="J20" s="1340"/>
      <c r="K20" s="1340"/>
      <c r="L20" s="1337">
        <f t="shared" si="2"/>
        <v>708442</v>
      </c>
      <c r="M20" s="1340"/>
    </row>
    <row r="21" spans="2:14" ht="20.100000000000001" customHeight="1" x14ac:dyDescent="0.2">
      <c r="B21" s="1334" t="s">
        <v>2110</v>
      </c>
      <c r="C21" s="1338">
        <v>10.579000000000001</v>
      </c>
      <c r="D21" s="1339" t="s">
        <v>2115</v>
      </c>
      <c r="E21" s="1340"/>
      <c r="F21" s="1340">
        <v>6875</v>
      </c>
      <c r="G21" s="1340"/>
      <c r="H21" s="1340"/>
      <c r="I21" s="1340">
        <v>6875</v>
      </c>
      <c r="J21" s="1340"/>
      <c r="K21" s="1340"/>
      <c r="L21" s="1337">
        <f t="shared" si="2"/>
        <v>6875</v>
      </c>
      <c r="M21" s="1340">
        <v>6875</v>
      </c>
    </row>
    <row r="22" spans="2:14" ht="20.100000000000001" customHeight="1" x14ac:dyDescent="0.2">
      <c r="B22" s="1334" t="s">
        <v>2116</v>
      </c>
      <c r="C22" s="1338"/>
      <c r="D22" s="1339"/>
      <c r="E22" s="1340">
        <v>286512</v>
      </c>
      <c r="F22" s="1340">
        <v>428805</v>
      </c>
      <c r="G22" s="1340">
        <v>286512</v>
      </c>
      <c r="H22" s="1340"/>
      <c r="I22" s="1340">
        <v>428805</v>
      </c>
      <c r="J22" s="1340"/>
      <c r="K22" s="1340"/>
      <c r="L22" s="1337">
        <f t="shared" si="2"/>
        <v>715317</v>
      </c>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t="s">
        <v>2117</v>
      </c>
      <c r="C24" s="1338"/>
      <c r="D24" s="1339"/>
      <c r="E24" s="1340">
        <v>596348</v>
      </c>
      <c r="F24" s="1340">
        <v>906556</v>
      </c>
      <c r="G24" s="1340">
        <v>606614</v>
      </c>
      <c r="H24" s="1340"/>
      <c r="I24" s="1340">
        <v>997044</v>
      </c>
      <c r="J24" s="1340"/>
      <c r="K24" s="1340">
        <v>29017</v>
      </c>
      <c r="L24" s="1337">
        <f t="shared" ref="L24" si="3">+G24+I24+K24</f>
        <v>1632675</v>
      </c>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&amp;R
C - 4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35431</v>
      </c>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2076</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2068</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J17" sqref="J1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Johnston CUSD 1</v>
      </c>
      <c r="B1" s="2438"/>
      <c r="C1" s="2438"/>
      <c r="D1" s="2438"/>
      <c r="E1" s="2438"/>
      <c r="F1" s="2438"/>
    </row>
    <row r="2" spans="1:7" ht="13.5" customHeight="1" x14ac:dyDescent="0.2">
      <c r="A2" s="2434">
        <f>'Single Audit Cover'!E7</f>
        <v>21100001026</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2133</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2134</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t="s">
        <v>2118</v>
      </c>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2119</v>
      </c>
      <c r="B32" s="2445"/>
      <c r="C32" s="2445"/>
      <c r="D32" s="2445"/>
      <c r="E32" s="2445"/>
      <c r="F32" s="2445"/>
    </row>
    <row r="33" spans="1:6" ht="13.5" customHeight="1" x14ac:dyDescent="0.2">
      <c r="A33" s="328" t="s">
        <v>1434</v>
      </c>
      <c r="B33" s="328"/>
      <c r="C33" s="1285">
        <v>25417</v>
      </c>
      <c r="D33" s="1903"/>
      <c r="E33" s="1283"/>
    </row>
    <row r="34" spans="1:6" ht="13.5" customHeight="1" x14ac:dyDescent="0.2">
      <c r="A34" s="328" t="s">
        <v>1835</v>
      </c>
      <c r="B34" s="328"/>
      <c r="C34" s="1286">
        <v>9496</v>
      </c>
      <c r="D34" s="1903" t="s">
        <v>1589</v>
      </c>
      <c r="E34" s="2446">
        <f>+C33+C34</f>
        <v>34913</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&amp;R
C - 6</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7" zoomScale="110" zoomScaleNormal="110" workbookViewId="0">
      <selection activeCell="G51" sqref="G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Johnston CUSD 1</v>
      </c>
      <c r="C1" s="2454"/>
      <c r="D1" s="2454"/>
      <c r="E1" s="2454"/>
      <c r="F1" s="2454"/>
      <c r="G1" s="2454"/>
      <c r="H1" s="2454"/>
      <c r="I1" s="2454"/>
      <c r="J1" s="1406"/>
    </row>
    <row r="2" spans="2:10" s="317" customFormat="1" ht="12.75" customHeight="1" x14ac:dyDescent="0.2">
      <c r="B2" s="2455">
        <f>'Single Audit Cover'!E7</f>
        <v>21100001026</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t="s">
        <v>2120</v>
      </c>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2061</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t="s">
        <v>2121</v>
      </c>
      <c r="E29" s="2460"/>
      <c r="F29" s="2460"/>
      <c r="G29" s="2460"/>
      <c r="H29" s="2460"/>
      <c r="I29" s="2460"/>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1" t="s">
        <v>1748</v>
      </c>
      <c r="D37" s="2462"/>
      <c r="E37" s="2462"/>
      <c r="F37" s="2463"/>
      <c r="G37" s="2461" t="s">
        <v>1592</v>
      </c>
      <c r="H37" s="2462"/>
      <c r="I37" s="2463"/>
    </row>
    <row r="38" spans="2:9" ht="16.5" customHeight="1" x14ac:dyDescent="0.2">
      <c r="B38" s="1428" t="s">
        <v>2093</v>
      </c>
      <c r="C38" s="2449" t="s">
        <v>2122</v>
      </c>
      <c r="D38" s="2450"/>
      <c r="E38" s="2450"/>
      <c r="F38" s="2451"/>
      <c r="G38" s="2464">
        <v>563288</v>
      </c>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563288</v>
      </c>
      <c r="H43" s="2470"/>
      <c r="I43" s="2470"/>
    </row>
    <row r="44" spans="2:9" ht="12.75" customHeight="1" x14ac:dyDescent="0.2"/>
    <row r="45" spans="2:9" ht="12.75" customHeight="1" x14ac:dyDescent="0.2">
      <c r="B45" s="1419" t="s">
        <v>2059</v>
      </c>
      <c r="D45" s="2471">
        <v>997045</v>
      </c>
      <c r="E45" s="2472"/>
    </row>
    <row r="46" spans="2:9" ht="5.25" customHeight="1" x14ac:dyDescent="0.2">
      <c r="B46" s="1429"/>
      <c r="D46" s="1430"/>
      <c r="E46" s="1431"/>
    </row>
    <row r="47" spans="2:9" ht="12.75" customHeight="1" x14ac:dyDescent="0.2">
      <c r="B47" s="1297" t="s">
        <v>1594</v>
      </c>
      <c r="C47" s="1297"/>
      <c r="D47" s="1432">
        <f>+G43/D45</f>
        <v>0.56495744926257085</v>
      </c>
      <c r="E47" s="1433"/>
      <c r="F47" s="1434"/>
      <c r="I47" s="1435"/>
    </row>
    <row r="48" spans="2:9" ht="9.9499999999999993" customHeight="1" x14ac:dyDescent="0.2"/>
    <row r="49" spans="1:9" x14ac:dyDescent="0.2">
      <c r="B49" s="1365" t="s">
        <v>1273</v>
      </c>
      <c r="C49" s="1279"/>
      <c r="D49" s="1279"/>
      <c r="E49" s="2473">
        <v>750000</v>
      </c>
      <c r="F49" s="2473"/>
      <c r="G49" s="2473"/>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&amp;R
C - 7</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1" zoomScale="110" zoomScaleNormal="110" workbookViewId="0">
      <selection activeCell="B26" sqref="B26:K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Johnston CUSD 1</v>
      </c>
      <c r="C1" s="2453"/>
      <c r="D1" s="2453"/>
      <c r="E1" s="2453"/>
      <c r="F1" s="2453"/>
      <c r="G1" s="2453"/>
      <c r="H1" s="2453"/>
      <c r="I1" s="2453"/>
      <c r="J1" s="2453"/>
      <c r="K1" s="2453"/>
      <c r="L1" s="1371"/>
      <c r="M1" s="1371"/>
    </row>
    <row r="2" spans="1:13" ht="12" customHeight="1" x14ac:dyDescent="0.2">
      <c r="B2" s="2455">
        <f>'Single Audit Cover'!E7</f>
        <v>21100001026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2123</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2124</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2135</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2125</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2126</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4" t="s">
        <v>2127</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
C - 8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Johnston CUSD 1</v>
      </c>
      <c r="C1" s="2480"/>
      <c r="D1" s="2480"/>
      <c r="E1" s="2480"/>
      <c r="F1" s="2480"/>
      <c r="G1" s="2480"/>
      <c r="H1" s="2480"/>
      <c r="I1" s="2480"/>
      <c r="J1" s="2480"/>
      <c r="K1" s="2480"/>
      <c r="L1" s="1449"/>
    </row>
    <row r="2" spans="1:12" ht="12.75" customHeight="1" x14ac:dyDescent="0.2">
      <c r="B2" s="2481">
        <f>'Single Audit Cover'!E7</f>
        <v>21100001026</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&amp;R
C - 9</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Johnston CUSD 1</v>
      </c>
      <c r="C1" s="2453"/>
      <c r="D1" s="2453"/>
      <c r="E1" s="1469"/>
    </row>
    <row r="2" spans="2:5" s="1279" customFormat="1" ht="12.75" customHeight="1" x14ac:dyDescent="0.2">
      <c r="B2" s="2455">
        <f>'Single Audit Cover'!E7</f>
        <v>21100001026</v>
      </c>
      <c r="C2" s="2455"/>
      <c r="D2" s="2455"/>
      <c r="E2" s="1470"/>
    </row>
    <row r="3" spans="2:5" ht="12.75" customHeight="1" x14ac:dyDescent="0.2">
      <c r="B3" s="2476" t="s">
        <v>1763</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2128</v>
      </c>
      <c r="C7" s="324" t="s">
        <v>2129</v>
      </c>
      <c r="D7" s="324" t="s">
        <v>2131</v>
      </c>
      <c r="E7" s="324"/>
    </row>
    <row r="8" spans="2:5" ht="13.5" customHeight="1" x14ac:dyDescent="0.2">
      <c r="B8" s="1474"/>
      <c r="C8" s="324" t="s">
        <v>2130</v>
      </c>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&amp;R
C - 10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78892147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2.4199100000000001E-2</v>
      </c>
      <c r="E10" s="356" t="s">
        <v>1005</v>
      </c>
      <c r="F10" s="355">
        <v>4.7199E-3</v>
      </c>
      <c r="G10" s="356" t="s">
        <v>1005</v>
      </c>
      <c r="H10" s="355">
        <v>2.7541000000000002E-3</v>
      </c>
      <c r="I10" s="356" t="s">
        <v>1006</v>
      </c>
      <c r="J10" s="1732">
        <f>ROUND(D10+F10+H10,5)</f>
        <v>3.1669999999999997E-2</v>
      </c>
      <c r="K10" s="222"/>
      <c r="L10" s="355">
        <v>3.9589999999999997E-4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10536467</v>
      </c>
      <c r="E16" s="356"/>
      <c r="F16" s="1733">
        <f>SUM('Acct Summary 7-8'!C17,'Acct Summary 7-8'!D17,'Acct Summary 7-8'!F17)</f>
        <v>10611656</v>
      </c>
      <c r="G16" s="356"/>
      <c r="H16" s="1733">
        <f>SUM(D16-F16)</f>
        <v>-75189</v>
      </c>
      <c r="I16" s="222"/>
      <c r="J16" s="1733">
        <f>SUM('Acct Summary 7-8'!C81,'Acct Summary 7-8'!D81,'Acct Summary 7-8'!F81,'Acct Summary 7-8'!I81)</f>
        <v>3199554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10887116.286</v>
      </c>
      <c r="I31" s="368"/>
      <c r="J31" s="222"/>
      <c r="K31" s="222"/>
      <c r="L31" s="222"/>
      <c r="M31" s="222"/>
    </row>
    <row r="32" spans="1:13" ht="13.35" customHeight="1" x14ac:dyDescent="0.2">
      <c r="B32" s="369" t="s">
        <v>2061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5883340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Johnston CUSD 1</v>
      </c>
      <c r="E7" s="391"/>
      <c r="G7" s="252"/>
      <c r="H7" s="387"/>
      <c r="I7" s="387"/>
      <c r="J7" s="387"/>
      <c r="K7" s="387"/>
      <c r="L7" s="329"/>
      <c r="M7" s="329"/>
      <c r="N7" s="329"/>
      <c r="O7" s="329"/>
      <c r="P7" s="329"/>
    </row>
    <row r="8" spans="1:18" ht="12.75" x14ac:dyDescent="0.2">
      <c r="A8" s="329"/>
      <c r="B8" s="329"/>
      <c r="C8" s="389" t="s">
        <v>1125</v>
      </c>
      <c r="D8" s="392">
        <f>COVER!A13</f>
        <v>21100001026</v>
      </c>
      <c r="E8" s="393"/>
      <c r="G8" s="329"/>
      <c r="H8" s="329"/>
      <c r="I8" s="329"/>
      <c r="J8" s="329"/>
      <c r="K8" s="329"/>
      <c r="L8" s="329"/>
      <c r="M8" s="329"/>
      <c r="N8" s="329"/>
      <c r="O8" s="329"/>
      <c r="P8" s="329"/>
    </row>
    <row r="9" spans="1:18" ht="12.75" x14ac:dyDescent="0.2">
      <c r="A9" s="329"/>
      <c r="B9" s="329"/>
      <c r="C9" s="389" t="s">
        <v>713</v>
      </c>
      <c r="D9" s="394" t="str">
        <f>COVER!A15</f>
        <v>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3199554</v>
      </c>
      <c r="I12" s="404"/>
      <c r="J12" s="404"/>
      <c r="K12" s="405">
        <f>TRUNC((H12/H13*100000),5)/100000</f>
        <v>0.30366478629999999</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10536467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10611656</v>
      </c>
      <c r="I17" s="404"/>
      <c r="J17" s="416"/>
      <c r="K17" s="405">
        <f>TRUNC((H17/H18*100000),5)/100000</f>
        <v>1.0071360731999999</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10536467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28.5401761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3216716</v>
      </c>
      <c r="I24" s="422"/>
      <c r="J24" s="422"/>
      <c r="K24" s="423">
        <f>TRUNC(((H24/H25*100000)/100000),2)</f>
        <v>109.12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29476.822219999998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2123737.15117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5883340</v>
      </c>
      <c r="I32" s="420"/>
      <c r="J32" s="420"/>
      <c r="K32" s="423">
        <f>TRUNC(100-((((H32/H33*100))*100)/100),2)</f>
        <v>45.96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10887116.286</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0" activePane="bottomLeft" state="frozen"/>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f>1555168+3500</f>
        <v>1558668</v>
      </c>
      <c r="D4" s="466">
        <v>320011</v>
      </c>
      <c r="E4" s="466">
        <v>288513</v>
      </c>
      <c r="F4" s="466">
        <v>243441</v>
      </c>
      <c r="G4" s="466">
        <v>462000</v>
      </c>
      <c r="H4" s="466">
        <v>1552281</v>
      </c>
      <c r="I4" s="466">
        <v>1094596</v>
      </c>
      <c r="J4" s="467">
        <v>404299</v>
      </c>
      <c r="K4" s="466">
        <v>31710</v>
      </c>
      <c r="L4" s="466">
        <v>262531</v>
      </c>
      <c r="M4" s="468"/>
      <c r="N4" s="469"/>
    </row>
    <row r="5" spans="1:14" x14ac:dyDescent="0.2">
      <c r="A5" s="463" t="s">
        <v>992</v>
      </c>
      <c r="B5" s="470">
        <v>120</v>
      </c>
      <c r="C5" s="465"/>
      <c r="D5" s="466"/>
      <c r="E5" s="466"/>
      <c r="F5" s="466"/>
      <c r="G5" s="466"/>
      <c r="H5" s="466">
        <v>764861</v>
      </c>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1558668</v>
      </c>
      <c r="D13" s="1737">
        <f t="shared" ref="D13:L13" si="0">SUM(D4:D12)</f>
        <v>320011</v>
      </c>
      <c r="E13" s="1737">
        <f t="shared" si="0"/>
        <v>288513</v>
      </c>
      <c r="F13" s="1737">
        <f t="shared" si="0"/>
        <v>243441</v>
      </c>
      <c r="G13" s="1737">
        <f t="shared" si="0"/>
        <v>462000</v>
      </c>
      <c r="H13" s="1737">
        <f t="shared" si="0"/>
        <v>2317142</v>
      </c>
      <c r="I13" s="1737">
        <f t="shared" si="0"/>
        <v>1094596</v>
      </c>
      <c r="J13" s="1737">
        <f t="shared" si="0"/>
        <v>404299</v>
      </c>
      <c r="K13" s="1737">
        <f t="shared" si="0"/>
        <v>31710</v>
      </c>
      <c r="L13" s="1737">
        <f t="shared" si="0"/>
        <v>262531</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81746</v>
      </c>
      <c r="N16" s="484"/>
    </row>
    <row r="17" spans="1:14" s="485" customFormat="1" ht="12.75" customHeight="1" x14ac:dyDescent="0.2">
      <c r="A17" s="482" t="s">
        <v>1403</v>
      </c>
      <c r="B17" s="483">
        <v>230</v>
      </c>
      <c r="C17" s="477"/>
      <c r="D17" s="477"/>
      <c r="E17" s="477"/>
      <c r="F17" s="477"/>
      <c r="G17" s="477"/>
      <c r="H17" s="477"/>
      <c r="I17" s="477"/>
      <c r="J17" s="477"/>
      <c r="K17" s="477"/>
      <c r="L17" s="477"/>
      <c r="M17" s="467">
        <v>12684081</v>
      </c>
      <c r="N17" s="484"/>
    </row>
    <row r="18" spans="1:14" s="485" customFormat="1" ht="12.75" customHeight="1" x14ac:dyDescent="0.2">
      <c r="A18" s="482" t="s">
        <v>1404</v>
      </c>
      <c r="B18" s="483">
        <v>240</v>
      </c>
      <c r="C18" s="477"/>
      <c r="D18" s="477"/>
      <c r="E18" s="477"/>
      <c r="F18" s="477"/>
      <c r="G18" s="477"/>
      <c r="H18" s="477"/>
      <c r="I18" s="477"/>
      <c r="J18" s="477"/>
      <c r="K18" s="477"/>
      <c r="L18" s="477"/>
      <c r="M18" s="467">
        <v>11801346</v>
      </c>
      <c r="N18" s="484"/>
    </row>
    <row r="19" spans="1:14" s="485" customFormat="1" ht="12.75" customHeight="1" x14ac:dyDescent="0.2">
      <c r="A19" s="482" t="s">
        <v>1405</v>
      </c>
      <c r="B19" s="483">
        <v>250</v>
      </c>
      <c r="C19" s="477"/>
      <c r="D19" s="477"/>
      <c r="E19" s="477"/>
      <c r="F19" s="477"/>
      <c r="G19" s="477"/>
      <c r="H19" s="477"/>
      <c r="I19" s="477"/>
      <c r="J19" s="477"/>
      <c r="K19" s="477"/>
      <c r="L19" s="477"/>
      <c r="M19" s="467">
        <v>2752122</v>
      </c>
      <c r="N19" s="484"/>
    </row>
    <row r="20" spans="1:14" s="485" customFormat="1" ht="12.75" customHeight="1" x14ac:dyDescent="0.2">
      <c r="A20" s="482" t="s">
        <v>1406</v>
      </c>
      <c r="B20" s="483">
        <v>260</v>
      </c>
      <c r="C20" s="477"/>
      <c r="D20" s="477"/>
      <c r="E20" s="477"/>
      <c r="F20" s="477"/>
      <c r="G20" s="477"/>
      <c r="H20" s="477"/>
      <c r="I20" s="477"/>
      <c r="J20" s="477"/>
      <c r="K20" s="477"/>
      <c r="L20" s="477"/>
      <c r="M20" s="467">
        <v>48951</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288513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5594827</v>
      </c>
    </row>
    <row r="23" spans="1:14" ht="13.5" customHeight="1" thickBot="1" x14ac:dyDescent="0.25">
      <c r="A23" s="1736" t="s">
        <v>643</v>
      </c>
      <c r="B23" s="1741"/>
      <c r="C23" s="468"/>
      <c r="D23" s="468"/>
      <c r="E23" s="468"/>
      <c r="F23" s="468"/>
      <c r="G23" s="468"/>
      <c r="H23" s="468"/>
      <c r="I23" s="468"/>
      <c r="J23" s="468"/>
      <c r="K23" s="468"/>
      <c r="L23" s="468"/>
      <c r="M23" s="1688">
        <f>SUM(M15:M22)</f>
        <v>27368246</v>
      </c>
      <c r="N23" s="1688">
        <f>SUM(N21:N22)</f>
        <v>5883340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1334</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15828</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262531</v>
      </c>
      <c r="M33" s="468"/>
      <c r="N33" s="469"/>
    </row>
    <row r="34" spans="1:14" ht="13.5" customHeight="1" thickBot="1" x14ac:dyDescent="0.25">
      <c r="A34" s="1738" t="s">
        <v>654</v>
      </c>
      <c r="B34" s="1739"/>
      <c r="C34" s="1740">
        <f>SUM(C25:C33)</f>
        <v>17162</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262531</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5883340</v>
      </c>
    </row>
    <row r="37" spans="1:14" ht="13.5" thickBot="1" x14ac:dyDescent="0.25">
      <c r="A37" s="1736" t="s">
        <v>653</v>
      </c>
      <c r="B37" s="1741"/>
      <c r="C37" s="477"/>
      <c r="D37" s="477"/>
      <c r="E37" s="477"/>
      <c r="F37" s="477"/>
      <c r="G37" s="477"/>
      <c r="H37" s="477"/>
      <c r="I37" s="477"/>
      <c r="J37" s="477"/>
      <c r="K37" s="477"/>
      <c r="L37" s="480"/>
      <c r="M37" s="468"/>
      <c r="N37" s="1688">
        <f>SUM(N36:N36)</f>
        <v>5883340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1541506</v>
      </c>
      <c r="D39" s="466">
        <v>320011</v>
      </c>
      <c r="E39" s="466">
        <v>288513</v>
      </c>
      <c r="F39" s="466">
        <v>243441</v>
      </c>
      <c r="G39" s="466">
        <v>462000</v>
      </c>
      <c r="H39" s="466">
        <v>2317142</v>
      </c>
      <c r="I39" s="466">
        <v>1094596</v>
      </c>
      <c r="J39" s="467">
        <v>404299</v>
      </c>
      <c r="K39" s="466">
        <v>31710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27368246</v>
      </c>
      <c r="N40" s="497"/>
    </row>
    <row r="41" spans="1:14" ht="13.5" customHeight="1" thickBot="1" x14ac:dyDescent="0.25">
      <c r="A41" s="1736" t="s">
        <v>655</v>
      </c>
      <c r="B41" s="1706"/>
      <c r="C41" s="1688">
        <f>(SUM(C34,C37,C38,C39))</f>
        <v>1558668</v>
      </c>
      <c r="D41" s="1688">
        <f t="shared" ref="D41:L41" si="2">SUM(D34,D37,D38:D39)</f>
        <v>320011</v>
      </c>
      <c r="E41" s="1688">
        <f t="shared" si="2"/>
        <v>288513</v>
      </c>
      <c r="F41" s="1688">
        <f t="shared" si="2"/>
        <v>243441</v>
      </c>
      <c r="G41" s="1688">
        <f t="shared" si="2"/>
        <v>462000</v>
      </c>
      <c r="H41" s="1688">
        <f t="shared" si="2"/>
        <v>2317142</v>
      </c>
      <c r="I41" s="1688">
        <f t="shared" si="2"/>
        <v>1094596</v>
      </c>
      <c r="J41" s="1688">
        <f t="shared" si="2"/>
        <v>404299</v>
      </c>
      <c r="K41" s="1688">
        <f t="shared" si="2"/>
        <v>31710</v>
      </c>
      <c r="L41" s="1688">
        <f t="shared" si="2"/>
        <v>262531</v>
      </c>
      <c r="M41" s="1688">
        <f>SUM(M40)</f>
        <v>27368246</v>
      </c>
      <c r="N41" s="1688">
        <f>SUM(N37)</f>
        <v>5883340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E1" colorId="8" zoomScale="110" zoomScaleNormal="110" zoomScaleSheetLayoutView="100" workbookViewId="0">
      <pane ySplit="2" topLeftCell="A65"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2593540</v>
      </c>
      <c r="D4" s="1742">
        <f>'Revenues 9-14'!D109</f>
        <v>656947</v>
      </c>
      <c r="E4" s="1742">
        <f>'Revenues 9-14'!E109</f>
        <v>732346</v>
      </c>
      <c r="F4" s="1742">
        <f>'Revenues 9-14'!F109</f>
        <v>181783</v>
      </c>
      <c r="G4" s="1742">
        <f>'Revenues 9-14'!G109</f>
        <v>216000</v>
      </c>
      <c r="H4" s="1742">
        <f>'Revenues 9-14'!H109</f>
        <v>1012788</v>
      </c>
      <c r="I4" s="1742">
        <f>'Revenues 9-14'!I109</f>
        <v>45652</v>
      </c>
      <c r="J4" s="1742">
        <f>'Revenues 9-14'!J109</f>
        <v>161315</v>
      </c>
      <c r="K4" s="1742">
        <f>'Revenues 9-14'!K109</f>
        <v>32973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5736331</v>
      </c>
      <c r="D6" s="1743">
        <f>'Revenues 9-14'!D170</f>
        <v>0</v>
      </c>
      <c r="E6" s="1743">
        <f>'Revenues 9-14'!E170</f>
        <v>0</v>
      </c>
      <c r="F6" s="1743">
        <f>'Revenues 9-14'!F170</f>
        <v>467731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854483</v>
      </c>
      <c r="D7" s="1743">
        <f>'Revenues 9-14'!D267</f>
        <v>0</v>
      </c>
      <c r="E7" s="1743">
        <f>'Revenues 9-14'!E267</f>
        <v>0</v>
      </c>
      <c r="F7" s="1743">
        <f>'Revenues 9-14'!F267</f>
        <v>0</v>
      </c>
      <c r="G7" s="1743">
        <f>'Revenues 9-14'!G267</f>
        <v>24625</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9184354</v>
      </c>
      <c r="D8" s="1688">
        <f t="shared" ref="D8:K8" si="0">SUM(D4:D7)</f>
        <v>656947</v>
      </c>
      <c r="E8" s="1688">
        <f t="shared" si="0"/>
        <v>732346</v>
      </c>
      <c r="F8" s="1688">
        <f t="shared" si="0"/>
        <v>649514</v>
      </c>
      <c r="G8" s="1688">
        <f t="shared" si="0"/>
        <v>240625</v>
      </c>
      <c r="H8" s="1688">
        <f t="shared" si="0"/>
        <v>1012788</v>
      </c>
      <c r="I8" s="1688">
        <f t="shared" si="0"/>
        <v>45652</v>
      </c>
      <c r="J8" s="1688">
        <f t="shared" si="0"/>
        <v>161315</v>
      </c>
      <c r="K8" s="1688">
        <f t="shared" si="0"/>
        <v>32973</v>
      </c>
      <c r="L8" s="347"/>
    </row>
    <row r="9" spans="1:13" ht="15.75" thickTop="1" x14ac:dyDescent="0.2">
      <c r="A9" s="514" t="s">
        <v>1653</v>
      </c>
      <c r="B9" s="515">
        <v>3998</v>
      </c>
      <c r="C9" s="481">
        <v>2847308</v>
      </c>
      <c r="D9" s="516"/>
      <c r="E9" s="481"/>
      <c r="F9" s="481"/>
      <c r="G9" s="517"/>
      <c r="H9" s="481"/>
      <c r="I9" s="509" t="s">
        <v>1169</v>
      </c>
      <c r="J9" s="478"/>
      <c r="K9" s="481"/>
      <c r="L9" s="347"/>
    </row>
    <row r="10" spans="1:13" s="519" customFormat="1" ht="13.5" thickBot="1" x14ac:dyDescent="0.25">
      <c r="A10" s="1736" t="s">
        <v>1173</v>
      </c>
      <c r="B10" s="1709"/>
      <c r="C10" s="1688">
        <f>SUM(C8:C9)</f>
        <v>12031662</v>
      </c>
      <c r="D10" s="1688">
        <f t="shared" ref="D10:K10" si="1">SUM(D8:D9)</f>
        <v>656947</v>
      </c>
      <c r="E10" s="1688">
        <f t="shared" si="1"/>
        <v>732346</v>
      </c>
      <c r="F10" s="1688">
        <f t="shared" si="1"/>
        <v>649514</v>
      </c>
      <c r="G10" s="1688">
        <f t="shared" si="1"/>
        <v>240625</v>
      </c>
      <c r="H10" s="1688">
        <f t="shared" si="1"/>
        <v>1012788</v>
      </c>
      <c r="I10" s="1688">
        <f t="shared" si="1"/>
        <v>45652</v>
      </c>
      <c r="J10" s="1688">
        <f t="shared" si="1"/>
        <v>161315</v>
      </c>
      <c r="K10" s="1688">
        <f t="shared" si="1"/>
        <v>32973</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5219835</v>
      </c>
      <c r="D12" s="520" t="s">
        <v>1169</v>
      </c>
      <c r="E12" s="468" t="s">
        <v>1169</v>
      </c>
      <c r="F12" s="468" t="s">
        <v>1169</v>
      </c>
      <c r="G12" s="1742">
        <f>'Expenditures 15-22'!K229</f>
        <v>66700</v>
      </c>
      <c r="H12" s="521"/>
      <c r="I12" s="468" t="s">
        <v>1169</v>
      </c>
      <c r="J12" s="468" t="s">
        <v>1169</v>
      </c>
      <c r="K12" s="521" t="s">
        <v>1169</v>
      </c>
      <c r="L12" s="347"/>
    </row>
    <row r="13" spans="1:13" ht="15.75" customHeight="1" x14ac:dyDescent="0.2">
      <c r="A13" s="1576" t="s">
        <v>457</v>
      </c>
      <c r="B13" s="1578">
        <v>2000</v>
      </c>
      <c r="C13" s="1743">
        <f>'Expenditures 15-22'!K74</f>
        <v>2722950</v>
      </c>
      <c r="D13" s="1743">
        <f>'Expenditures 15-22'!K129</f>
        <v>963845</v>
      </c>
      <c r="E13" s="469" t="s">
        <v>1169</v>
      </c>
      <c r="F13" s="1743">
        <f>'Expenditures 15-22'!K184</f>
        <v>393930</v>
      </c>
      <c r="G13" s="1743">
        <f>'Expenditures 15-22'!K279</f>
        <v>150495</v>
      </c>
      <c r="H13" s="1743">
        <f>'Expenditures 15-22'!K303</f>
        <v>487924</v>
      </c>
      <c r="I13" s="468" t="s">
        <v>1169</v>
      </c>
      <c r="J13" s="1743">
        <f>'Expenditures 15-22'!K330</f>
        <v>166890</v>
      </c>
      <c r="K13" s="1747">
        <f>'Expenditures 15-22'!K352</f>
        <v>61630</v>
      </c>
      <c r="L13" s="347"/>
    </row>
    <row r="14" spans="1:13" ht="15.75" customHeight="1" x14ac:dyDescent="0.2">
      <c r="A14" s="1576" t="s">
        <v>449</v>
      </c>
      <c r="B14" s="1578">
        <v>3000</v>
      </c>
      <c r="C14" s="1743">
        <f>'Expenditures 15-22'!K75</f>
        <v>37743</v>
      </c>
      <c r="D14" s="1743">
        <f>'Expenditures 15-22'!K130</f>
        <v>0</v>
      </c>
      <c r="E14" s="520" t="s">
        <v>1169</v>
      </c>
      <c r="F14" s="1743">
        <f>'Expenditures 15-22'!K185</f>
        <v>0</v>
      </c>
      <c r="G14" s="1743">
        <f>'Expenditures 15-22'!K280</f>
        <v>5035</v>
      </c>
      <c r="H14" s="512"/>
      <c r="I14" s="468" t="s">
        <v>1169</v>
      </c>
      <c r="J14" s="468" t="s">
        <v>1169</v>
      </c>
      <c r="K14" s="512" t="s">
        <v>1169</v>
      </c>
      <c r="L14" s="347"/>
    </row>
    <row r="15" spans="1:13" ht="15.75" customHeight="1" x14ac:dyDescent="0.2">
      <c r="A15" s="1576" t="s">
        <v>107</v>
      </c>
      <c r="B15" s="1578">
        <v>4000</v>
      </c>
      <c r="C15" s="1743">
        <f>'Expenditures 15-22'!K102</f>
        <v>1210313</v>
      </c>
      <c r="D15" s="1743">
        <f>'Expenditures 15-22'!K139</f>
        <v>0</v>
      </c>
      <c r="E15" s="1743">
        <f>'Expenditures 15-22'!K160</f>
        <v>0</v>
      </c>
      <c r="F15" s="1743">
        <f>'Expenditures 15-22'!K196</f>
        <v>63040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1280858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9190841</v>
      </c>
      <c r="D17" s="1688">
        <f t="shared" si="2"/>
        <v>963845</v>
      </c>
      <c r="E17" s="1688">
        <f t="shared" si="2"/>
        <v>1280858</v>
      </c>
      <c r="F17" s="1688">
        <f t="shared" si="2"/>
        <v>456970</v>
      </c>
      <c r="G17" s="1688">
        <f t="shared" si="2"/>
        <v>222230</v>
      </c>
      <c r="H17" s="1688">
        <f t="shared" si="2"/>
        <v>487924</v>
      </c>
      <c r="I17" s="468"/>
      <c r="J17" s="1688">
        <f>SUM(J12:J16)</f>
        <v>166890</v>
      </c>
      <c r="K17" s="1688">
        <f>SUM(K12:K16)</f>
        <v>61630</v>
      </c>
      <c r="L17" s="347"/>
    </row>
    <row r="18" spans="1:12" ht="15" customHeight="1" thickTop="1" x14ac:dyDescent="0.2">
      <c r="A18" s="1744" t="s">
        <v>1654</v>
      </c>
      <c r="B18" s="1745">
        <v>4180</v>
      </c>
      <c r="C18" s="1742">
        <f t="shared" ref="C18:H18" si="3">C9</f>
        <v>2847308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12038149</v>
      </c>
      <c r="D19" s="1688">
        <f t="shared" si="4"/>
        <v>963845</v>
      </c>
      <c r="E19" s="1688">
        <f t="shared" si="4"/>
        <v>1280858</v>
      </c>
      <c r="F19" s="1688">
        <f t="shared" si="4"/>
        <v>456970</v>
      </c>
      <c r="G19" s="1688">
        <f t="shared" si="4"/>
        <v>222230</v>
      </c>
      <c r="H19" s="1688">
        <f t="shared" si="4"/>
        <v>487924</v>
      </c>
      <c r="I19" s="468"/>
      <c r="J19" s="1688">
        <f>SUM(J17:J18)</f>
        <v>166890</v>
      </c>
      <c r="K19" s="1688">
        <f>SUM(K17:K18)</f>
        <v>61630</v>
      </c>
      <c r="L19" s="347"/>
    </row>
    <row r="20" spans="1:12" ht="16.5" thickTop="1" thickBot="1" x14ac:dyDescent="0.25">
      <c r="A20" s="2126" t="s">
        <v>1655</v>
      </c>
      <c r="B20" s="2127"/>
      <c r="C20" s="1746">
        <f>C8-C17</f>
        <v>-6487</v>
      </c>
      <c r="D20" s="1746">
        <f t="shared" ref="D20:K20" si="5">D8-D17</f>
        <v>-306898</v>
      </c>
      <c r="E20" s="1746">
        <f t="shared" si="5"/>
        <v>-548512</v>
      </c>
      <c r="F20" s="1746">
        <f t="shared" si="5"/>
        <v>192544</v>
      </c>
      <c r="G20" s="1746">
        <f t="shared" si="5"/>
        <v>18395</v>
      </c>
      <c r="H20" s="1746">
        <f t="shared" si="5"/>
        <v>524864</v>
      </c>
      <c r="I20" s="1746">
        <f t="shared" si="5"/>
        <v>45652</v>
      </c>
      <c r="J20" s="1746">
        <f t="shared" si="5"/>
        <v>-5575</v>
      </c>
      <c r="K20" s="1746">
        <f t="shared" si="5"/>
        <v>-28657</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-6487</v>
      </c>
      <c r="D78" s="1702">
        <f t="shared" si="9"/>
        <v>-306898</v>
      </c>
      <c r="E78" s="1702">
        <f t="shared" si="9"/>
        <v>-548512</v>
      </c>
      <c r="F78" s="1702">
        <f t="shared" si="9"/>
        <v>192544</v>
      </c>
      <c r="G78" s="1702">
        <f t="shared" si="9"/>
        <v>18395</v>
      </c>
      <c r="H78" s="1702">
        <f t="shared" si="9"/>
        <v>524864</v>
      </c>
      <c r="I78" s="1702">
        <f t="shared" si="9"/>
        <v>45652</v>
      </c>
      <c r="J78" s="1702">
        <f t="shared" si="9"/>
        <v>-5575</v>
      </c>
      <c r="K78" s="1702">
        <f t="shared" si="9"/>
        <v>-28657</v>
      </c>
      <c r="L78" s="533"/>
    </row>
    <row r="79" spans="1:12" ht="13.5" thickTop="1" x14ac:dyDescent="0.2">
      <c r="A79" s="1494" t="s">
        <v>1944</v>
      </c>
      <c r="B79" s="534"/>
      <c r="C79" s="478">
        <v>1547993</v>
      </c>
      <c r="D79" s="535">
        <v>626909</v>
      </c>
      <c r="E79" s="535">
        <v>837025</v>
      </c>
      <c r="F79" s="535">
        <v>50897</v>
      </c>
      <c r="G79" s="535">
        <v>443605</v>
      </c>
      <c r="H79" s="535">
        <v>1792278</v>
      </c>
      <c r="I79" s="535">
        <v>1048944</v>
      </c>
      <c r="J79" s="535">
        <v>409874</v>
      </c>
      <c r="K79" s="535">
        <v>60367</v>
      </c>
      <c r="L79" s="347"/>
    </row>
    <row r="80" spans="1:12" x14ac:dyDescent="0.2">
      <c r="A80" s="2128" t="s">
        <v>1792</v>
      </c>
      <c r="B80" s="2129"/>
      <c r="C80" s="467"/>
      <c r="D80" s="467"/>
      <c r="E80" s="467"/>
      <c r="F80" s="467"/>
      <c r="G80" s="467"/>
      <c r="H80" s="467"/>
      <c r="I80" s="467"/>
      <c r="J80" s="467"/>
      <c r="K80" s="467"/>
      <c r="L80" s="347"/>
    </row>
    <row r="81" spans="1:12" ht="13.5" thickBot="1" x14ac:dyDescent="0.25">
      <c r="A81" s="2120" t="s">
        <v>1945</v>
      </c>
      <c r="B81" s="2121"/>
      <c r="C81" s="1688">
        <f>(SUM(C78:C80))</f>
        <v>1541506</v>
      </c>
      <c r="D81" s="1688">
        <f>SUM(D78:D80)</f>
        <v>320011</v>
      </c>
      <c r="E81" s="1688">
        <f t="shared" ref="E81:K81" si="10">SUM(E78:E80)</f>
        <v>288513</v>
      </c>
      <c r="F81" s="1688">
        <f t="shared" si="10"/>
        <v>243441</v>
      </c>
      <c r="G81" s="1688">
        <f t="shared" si="10"/>
        <v>462000</v>
      </c>
      <c r="H81" s="1688">
        <f t="shared" si="10"/>
        <v>2317142</v>
      </c>
      <c r="I81" s="1688">
        <f t="shared" si="10"/>
        <v>1094596</v>
      </c>
      <c r="J81" s="1688">
        <f t="shared" si="10"/>
        <v>404299</v>
      </c>
      <c r="K81" s="1688">
        <f t="shared" si="10"/>
        <v>31710</v>
      </c>
      <c r="L81" s="347"/>
    </row>
    <row r="82" spans="1:12" ht="0.75" customHeight="1" thickTop="1" thickBot="1" x14ac:dyDescent="0.25">
      <c r="A82" s="536" t="s">
        <v>343</v>
      </c>
      <c r="B82" s="537"/>
      <c r="C82" s="538">
        <f>(C81-C79)</f>
        <v>-6487</v>
      </c>
      <c r="D82" s="538">
        <f t="shared" ref="D82:K82" si="11">(D81-D79)</f>
        <v>-306898</v>
      </c>
      <c r="E82" s="538">
        <f t="shared" si="11"/>
        <v>-548512</v>
      </c>
      <c r="F82" s="538">
        <f t="shared" si="11"/>
        <v>192544</v>
      </c>
      <c r="G82" s="538">
        <f t="shared" si="11"/>
        <v>18395</v>
      </c>
      <c r="H82" s="538">
        <f t="shared" si="11"/>
        <v>524864</v>
      </c>
      <c r="I82" s="538">
        <f t="shared" si="11"/>
        <v>45652</v>
      </c>
      <c r="J82" s="538">
        <f t="shared" si="11"/>
        <v>-5575</v>
      </c>
      <c r="K82" s="538">
        <f t="shared" si="11"/>
        <v>-28657</v>
      </c>
    </row>
    <row r="83" spans="1:12" ht="14.25" hidden="1" thickTop="1" thickBot="1" x14ac:dyDescent="0.25">
      <c r="A83" s="539" t="s">
        <v>344</v>
      </c>
      <c r="B83" s="464"/>
      <c r="C83" s="540">
        <f>C82/C81</f>
        <v>-4.2082223487939713E-3</v>
      </c>
      <c r="D83" s="540">
        <f t="shared" ref="D83:K83" si="12">D82/D81</f>
        <v>-0.95902328357462707</v>
      </c>
      <c r="E83" s="540">
        <f t="shared" si="12"/>
        <v>-1.9011690980995657</v>
      </c>
      <c r="F83" s="540">
        <f t="shared" si="12"/>
        <v>0.79092675432651027</v>
      </c>
      <c r="G83" s="540">
        <f t="shared" si="12"/>
        <v>3.9816017316017319E-2</v>
      </c>
      <c r="H83" s="540">
        <f t="shared" si="12"/>
        <v>0.22651352398774008</v>
      </c>
      <c r="I83" s="540">
        <f t="shared" si="12"/>
        <v>4.1706711882740298E-2</v>
      </c>
      <c r="J83" s="540">
        <f t="shared" si="12"/>
        <v>-1.3789299503585218E-2</v>
      </c>
      <c r="K83" s="540">
        <f t="shared" si="12"/>
        <v>-0.90372122358877327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7" activePane="bottomLeft" state="frozen"/>
      <selection pane="bottomLeft" activeCell="C135" sqref="C13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1799</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1886740</v>
      </c>
      <c r="D5" s="481">
        <v>332929</v>
      </c>
      <c r="E5" s="466">
        <v>688402</v>
      </c>
      <c r="F5" s="548">
        <v>171753</v>
      </c>
      <c r="G5" s="466">
        <f>97627+97626</f>
        <v>195253</v>
      </c>
      <c r="H5" s="466"/>
      <c r="I5" s="466">
        <v>30872</v>
      </c>
      <c r="J5" s="467">
        <v>154370</v>
      </c>
      <c r="K5" s="466">
        <v>30872</v>
      </c>
    </row>
    <row r="6" spans="1:12" ht="15" x14ac:dyDescent="0.2">
      <c r="A6" s="463" t="s">
        <v>1662</v>
      </c>
      <c r="B6" s="470">
        <v>1130</v>
      </c>
      <c r="C6" s="466"/>
      <c r="D6" s="466">
        <v>7678</v>
      </c>
      <c r="E6" s="475"/>
      <c r="F6" s="475"/>
      <c r="G6" s="468"/>
      <c r="H6" s="468"/>
      <c r="I6" s="468"/>
      <c r="J6" s="468"/>
      <c r="K6" s="468"/>
    </row>
    <row r="7" spans="1:12" x14ac:dyDescent="0.2">
      <c r="A7" s="463" t="s">
        <v>110</v>
      </c>
      <c r="B7" s="549">
        <v>1140</v>
      </c>
      <c r="C7" s="466">
        <v>30872</v>
      </c>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1917612</v>
      </c>
      <c r="D12" s="1707">
        <f t="shared" si="0"/>
        <v>340607</v>
      </c>
      <c r="E12" s="1707">
        <f t="shared" si="0"/>
        <v>688402</v>
      </c>
      <c r="F12" s="1707">
        <f t="shared" si="0"/>
        <v>171753</v>
      </c>
      <c r="G12" s="1707">
        <f t="shared" si="0"/>
        <v>195253</v>
      </c>
      <c r="H12" s="1707">
        <f t="shared" si="0"/>
        <v>0</v>
      </c>
      <c r="I12" s="1707">
        <f t="shared" si="0"/>
        <v>30872</v>
      </c>
      <c r="J12" s="1707">
        <f t="shared" si="0"/>
        <v>154370</v>
      </c>
      <c r="K12" s="1688">
        <f t="shared" si="0"/>
        <v>30872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3500</v>
      </c>
      <c r="D14" s="466">
        <v>1709</v>
      </c>
      <c r="E14" s="466">
        <v>5200</v>
      </c>
      <c r="F14" s="466">
        <v>1500</v>
      </c>
      <c r="G14" s="466">
        <f>1500+1500</f>
        <v>3000</v>
      </c>
      <c r="H14" s="466"/>
      <c r="I14" s="466">
        <v>200</v>
      </c>
      <c r="J14" s="467">
        <v>1500</v>
      </c>
      <c r="K14" s="466">
        <v>1500</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247617</v>
      </c>
      <c r="D16" s="466"/>
      <c r="E16" s="466"/>
      <c r="F16" s="466"/>
      <c r="G16" s="466">
        <f>5560+5560</f>
        <v>11120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251117</v>
      </c>
      <c r="D18" s="1710">
        <f t="shared" ref="D18:K18" si="1">SUM(D14:D17)</f>
        <v>1709</v>
      </c>
      <c r="E18" s="1710">
        <f t="shared" si="1"/>
        <v>5200</v>
      </c>
      <c r="F18" s="1710">
        <f t="shared" si="1"/>
        <v>1500</v>
      </c>
      <c r="G18" s="1710">
        <f t="shared" si="1"/>
        <v>14120</v>
      </c>
      <c r="H18" s="1710">
        <f t="shared" si="1"/>
        <v>0</v>
      </c>
      <c r="I18" s="1710">
        <f t="shared" si="1"/>
        <v>200</v>
      </c>
      <c r="J18" s="1710">
        <f t="shared" si="1"/>
        <v>1500</v>
      </c>
      <c r="K18" s="1711">
        <f t="shared" si="1"/>
        <v>1500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7253</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7253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28289</v>
      </c>
      <c r="D65" s="466">
        <v>4935</v>
      </c>
      <c r="E65" s="466">
        <v>7475</v>
      </c>
      <c r="F65" s="467">
        <v>1277</v>
      </c>
      <c r="G65" s="466">
        <f>4150+2477</f>
        <v>6627</v>
      </c>
      <c r="H65" s="466">
        <v>32770</v>
      </c>
      <c r="I65" s="466">
        <v>14580</v>
      </c>
      <c r="J65" s="467">
        <v>5445</v>
      </c>
      <c r="K65" s="466">
        <v>601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28289</v>
      </c>
      <c r="D67" s="1688">
        <f t="shared" ref="D67:K67" si="2">SUM(D65:D66)</f>
        <v>4935</v>
      </c>
      <c r="E67" s="1688">
        <f t="shared" si="2"/>
        <v>7475</v>
      </c>
      <c r="F67" s="1688">
        <f t="shared" si="2"/>
        <v>1277</v>
      </c>
      <c r="G67" s="1688">
        <f t="shared" si="2"/>
        <v>6627</v>
      </c>
      <c r="H67" s="1688">
        <f t="shared" si="2"/>
        <v>32770</v>
      </c>
      <c r="I67" s="1688">
        <f t="shared" si="2"/>
        <v>14580</v>
      </c>
      <c r="J67" s="1688">
        <f t="shared" si="2"/>
        <v>5445</v>
      </c>
      <c r="K67" s="1688">
        <f t="shared" si="2"/>
        <v>601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f>87906-10917</f>
        <v>76989</v>
      </c>
      <c r="D69" s="468"/>
      <c r="E69" s="468"/>
      <c r="F69" s="468"/>
      <c r="G69" s="468"/>
      <c r="H69" s="468"/>
      <c r="I69" s="468"/>
      <c r="J69" s="468"/>
      <c r="K69" s="468"/>
    </row>
    <row r="70" spans="1:11" ht="12.75" customHeight="1" x14ac:dyDescent="0.2">
      <c r="A70" s="463" t="s">
        <v>997</v>
      </c>
      <c r="B70" s="470">
        <v>1612</v>
      </c>
      <c r="C70" s="551">
        <v>18071</v>
      </c>
      <c r="D70" s="468"/>
      <c r="E70" s="468"/>
      <c r="F70" s="468"/>
      <c r="G70" s="468"/>
      <c r="H70" s="468"/>
      <c r="I70" s="468"/>
      <c r="J70" s="468"/>
      <c r="K70" s="468"/>
    </row>
    <row r="71" spans="1:11" ht="12.75" customHeight="1" x14ac:dyDescent="0.2">
      <c r="A71" s="463" t="s">
        <v>273</v>
      </c>
      <c r="B71" s="470">
        <v>1613</v>
      </c>
      <c r="C71" s="551">
        <v>48586</v>
      </c>
      <c r="D71" s="468"/>
      <c r="E71" s="468"/>
      <c r="F71" s="468"/>
      <c r="G71" s="468"/>
      <c r="H71" s="468"/>
      <c r="I71" s="468"/>
      <c r="J71" s="468"/>
      <c r="K71" s="468"/>
    </row>
    <row r="72" spans="1:11" ht="12.75" customHeight="1" x14ac:dyDescent="0.2">
      <c r="A72" s="463" t="s">
        <v>24</v>
      </c>
      <c r="B72" s="470">
        <v>1614</v>
      </c>
      <c r="C72" s="551">
        <v>26962</v>
      </c>
      <c r="D72" s="468"/>
      <c r="E72" s="468"/>
      <c r="F72" s="468"/>
      <c r="G72" s="468"/>
      <c r="H72" s="468"/>
      <c r="I72" s="468"/>
      <c r="J72" s="468"/>
      <c r="K72" s="468"/>
    </row>
    <row r="73" spans="1:11" ht="12.75" customHeight="1" x14ac:dyDescent="0.2">
      <c r="A73" s="463" t="s">
        <v>998</v>
      </c>
      <c r="B73" s="470">
        <v>1620</v>
      </c>
      <c r="C73" s="551">
        <v>5838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176446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23995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f>1570+2190+5650+4290</f>
        <v>13700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37695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21057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21057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v>250000</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97522</v>
      </c>
      <c r="D100" s="489"/>
      <c r="E100" s="489"/>
      <c r="F100" s="489"/>
      <c r="G100" s="489"/>
      <c r="H100" s="489"/>
      <c r="I100" s="467"/>
      <c r="J100" s="489"/>
      <c r="K100" s="467"/>
    </row>
    <row r="101" spans="1:12" ht="12.75" customHeight="1" x14ac:dyDescent="0.2">
      <c r="A101" s="463" t="s">
        <v>246</v>
      </c>
      <c r="B101" s="470">
        <v>1970</v>
      </c>
      <c r="C101" s="489">
        <v>13035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31269</v>
      </c>
      <c r="F103" s="468"/>
      <c r="G103" s="468"/>
      <c r="H103" s="489">
        <v>730018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f>33227+1426</f>
        <v>34653</v>
      </c>
      <c r="D106" s="489"/>
      <c r="E106" s="467"/>
      <c r="F106" s="467"/>
      <c r="G106" s="467"/>
      <c r="H106" s="467"/>
      <c r="I106" s="521"/>
      <c r="J106" s="467"/>
      <c r="K106" s="467"/>
    </row>
    <row r="107" spans="1:12" ht="12.75" customHeight="1" x14ac:dyDescent="0.2">
      <c r="A107" s="463" t="s">
        <v>78</v>
      </c>
      <c r="B107" s="470">
        <v>1999</v>
      </c>
      <c r="C107" s="551">
        <f>16108+6</f>
        <v>16114</v>
      </c>
      <c r="D107" s="466">
        <v>309696</v>
      </c>
      <c r="E107" s="466"/>
      <c r="F107" s="466"/>
      <c r="G107" s="466"/>
      <c r="H107" s="466"/>
      <c r="I107" s="466"/>
      <c r="J107" s="467"/>
      <c r="K107" s="466"/>
    </row>
    <row r="108" spans="1:12" ht="12.75" customHeight="1" thickBot="1" x14ac:dyDescent="0.25">
      <c r="A108" s="1708" t="s">
        <v>487</v>
      </c>
      <c r="B108" s="1712"/>
      <c r="C108" s="1707">
        <f>SUM(C95:C107)</f>
        <v>161324</v>
      </c>
      <c r="D108" s="1707">
        <f t="shared" ref="D108:K108" si="3">SUM(D95:D107)</f>
        <v>309696</v>
      </c>
      <c r="E108" s="1707">
        <f t="shared" si="3"/>
        <v>31269</v>
      </c>
      <c r="F108" s="1707">
        <f t="shared" si="3"/>
        <v>0</v>
      </c>
      <c r="G108" s="1707">
        <f t="shared" si="3"/>
        <v>0</v>
      </c>
      <c r="H108" s="1707">
        <f t="shared" si="3"/>
        <v>980018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2593540</v>
      </c>
      <c r="D109" s="1715">
        <f t="shared" si="4"/>
        <v>656947</v>
      </c>
      <c r="E109" s="1715">
        <f t="shared" si="4"/>
        <v>732346</v>
      </c>
      <c r="F109" s="1715">
        <f t="shared" si="4"/>
        <v>181783</v>
      </c>
      <c r="G109" s="1715">
        <f t="shared" si="4"/>
        <v>216000</v>
      </c>
      <c r="H109" s="1715">
        <f t="shared" si="4"/>
        <v>1012788</v>
      </c>
      <c r="I109" s="1715">
        <f t="shared" si="4"/>
        <v>45652</v>
      </c>
      <c r="J109" s="1715">
        <f t="shared" si="4"/>
        <v>161315</v>
      </c>
      <c r="K109" s="1702">
        <f t="shared" si="4"/>
        <v>32973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5495317</v>
      </c>
      <c r="D117" s="481"/>
      <c r="E117" s="466"/>
      <c r="F117" s="481">
        <v>274766</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5495317</v>
      </c>
      <c r="D122" s="1707">
        <f t="shared" si="5"/>
        <v>0</v>
      </c>
      <c r="E122" s="1707">
        <f t="shared" si="5"/>
        <v>0</v>
      </c>
      <c r="F122" s="1707">
        <f t="shared" si="5"/>
        <v>274766</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4368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90104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94472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55646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5115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60761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6952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15533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192965</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192965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42869+778+19649</f>
        <v>63296</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241014</v>
      </c>
      <c r="D169" s="1722">
        <f t="shared" si="6"/>
        <v>0</v>
      </c>
      <c r="E169" s="1722">
        <f t="shared" si="6"/>
        <v>0</v>
      </c>
      <c r="F169" s="1722">
        <f t="shared" si="6"/>
        <v>192965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5736331</v>
      </c>
      <c r="D170" s="1715">
        <f t="shared" si="7"/>
        <v>0</v>
      </c>
      <c r="E170" s="1715">
        <f t="shared" si="7"/>
        <v>0</v>
      </c>
      <c r="F170" s="1715">
        <f t="shared" si="7"/>
        <v>467731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1800</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291056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95961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6875</v>
      </c>
      <c r="D197" s="468"/>
      <c r="E197" s="561"/>
      <c r="F197" s="468"/>
      <c r="G197" s="585"/>
      <c r="H197" s="468"/>
      <c r="I197" s="468"/>
      <c r="J197" s="468"/>
      <c r="K197" s="468"/>
    </row>
    <row r="198" spans="1:11" ht="12.75" customHeight="1" thickBot="1" x14ac:dyDescent="0.25">
      <c r="A198" s="1708" t="s">
        <v>548</v>
      </c>
      <c r="B198" s="1709"/>
      <c r="C198" s="1688">
        <f>SUM(C190:C197)</f>
        <v>393892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363761+80994</f>
        <v>444755</v>
      </c>
      <c r="D200" s="466"/>
      <c r="E200" s="468"/>
      <c r="F200" s="466"/>
      <c r="G200" s="466">
        <v>24625</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3420</v>
      </c>
      <c r="D203" s="466"/>
      <c r="E203" s="468"/>
      <c r="F203" s="466"/>
      <c r="G203" s="466"/>
      <c r="H203" s="468"/>
      <c r="I203" s="468"/>
      <c r="J203" s="468"/>
      <c r="K203" s="468"/>
    </row>
    <row r="204" spans="1:11" ht="12.75" customHeight="1" thickBot="1" x14ac:dyDescent="0.25">
      <c r="A204" s="1708" t="s">
        <v>400</v>
      </c>
      <c r="B204" s="1709"/>
      <c r="C204" s="1707">
        <f>SUM(C200:C203)</f>
        <v>448175</v>
      </c>
      <c r="D204" s="1707">
        <f>SUM(D200:D203)</f>
        <v>0</v>
      </c>
      <c r="E204" s="468"/>
      <c r="F204" s="1707">
        <f>SUM(F200:F203)</f>
        <v>0</v>
      </c>
      <c r="G204" s="1707">
        <f>SUM(G200:G203)</f>
        <v>24625</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4951</v>
      </c>
      <c r="D263" s="576"/>
      <c r="E263" s="468"/>
      <c r="F263" s="576"/>
      <c r="G263" s="576"/>
      <c r="H263" s="468"/>
      <c r="I263" s="468"/>
      <c r="J263" s="468"/>
      <c r="K263" s="468"/>
    </row>
    <row r="264" spans="1:11" ht="12.75" customHeight="1" thickTop="1" thickBot="1" x14ac:dyDescent="0.25">
      <c r="A264" s="463" t="s">
        <v>377</v>
      </c>
      <c r="B264" s="470">
        <v>4992</v>
      </c>
      <c r="C264" s="575">
        <v>7465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854483</v>
      </c>
      <c r="D266" s="1715">
        <f t="shared" si="10"/>
        <v>0</v>
      </c>
      <c r="E266" s="1715">
        <f t="shared" si="10"/>
        <v>0</v>
      </c>
      <c r="F266" s="1715">
        <f t="shared" si="10"/>
        <v>0</v>
      </c>
      <c r="G266" s="1715">
        <f t="shared" si="10"/>
        <v>24625</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854483</v>
      </c>
      <c r="D267" s="1715">
        <f>SUM(D175,D181,D266)</f>
        <v>0</v>
      </c>
      <c r="E267" s="1715">
        <f>SUM(E175,E266)</f>
        <v>0</v>
      </c>
      <c r="F267" s="1715">
        <f t="shared" ref="F267:K267" si="11">SUM(F175,F181,F266)</f>
        <v>0</v>
      </c>
      <c r="G267" s="1715">
        <f t="shared" si="11"/>
        <v>24625</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9184354</v>
      </c>
      <c r="D268" s="1715">
        <f t="shared" si="12"/>
        <v>656947</v>
      </c>
      <c r="E268" s="1715">
        <f t="shared" si="12"/>
        <v>732346</v>
      </c>
      <c r="F268" s="1715">
        <f t="shared" si="12"/>
        <v>649514</v>
      </c>
      <c r="G268" s="1715">
        <f t="shared" si="12"/>
        <v>240625</v>
      </c>
      <c r="H268" s="1715">
        <f t="shared" si="12"/>
        <v>1012788</v>
      </c>
      <c r="I268" s="1715">
        <f t="shared" si="12"/>
        <v>45652</v>
      </c>
      <c r="J268" s="1715">
        <f t="shared" si="12"/>
        <v>161315</v>
      </c>
      <c r="K268" s="1702">
        <f t="shared" si="12"/>
        <v>32973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7"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650698+558233+13140+8813+786793+17530+834256+18525</f>
        <v>2887988</v>
      </c>
      <c r="D5" s="466">
        <f>64008+52871+4145+3450+8819+7285+6575+5473+271+203+106377+80576+1319+989+79266+5201+10921+8250+331+131199+1726+83876+5431+11414+8614+307+127189+1283</f>
        <v>817369</v>
      </c>
      <c r="E5" s="466">
        <f>1260+1620+6620+21202+10637+4336+3553+1427+1019+8580+23079+3990+2108+8430+1175+24048+3989+5756+240+2079</f>
        <v>135148</v>
      </c>
      <c r="F5" s="466">
        <f>12957+8293+876+1717+20012+19412+12606+12476+33715+20280+24772+47149+2140+35968+26917</f>
        <v>279290</v>
      </c>
      <c r="G5" s="466">
        <f>380+380+638+609+8058+4790+11070+775</f>
        <v>26700</v>
      </c>
      <c r="H5" s="466">
        <f>6182+6591+7030-2550+775</f>
        <v>18028</v>
      </c>
      <c r="I5" s="467"/>
      <c r="J5" s="467"/>
      <c r="K5" s="1671">
        <f>SUM(C5:J5)</f>
        <v>4164523</v>
      </c>
      <c r="L5" s="466">
        <v>4167550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15717+185276</f>
        <v>200993</v>
      </c>
      <c r="D10" s="466">
        <f>10622+9705+626+1337+992+8+37+2877+14323+312</f>
        <v>40839</v>
      </c>
      <c r="E10" s="466">
        <f>28245+321+972</f>
        <v>29538</v>
      </c>
      <c r="F10" s="466">
        <f>38328+74469+27075</f>
        <v>139872</v>
      </c>
      <c r="G10" s="466">
        <f>7192+12562</f>
        <v>19754</v>
      </c>
      <c r="H10" s="466"/>
      <c r="I10" s="467"/>
      <c r="J10" s="467"/>
      <c r="K10" s="1671">
        <f t="shared" si="0"/>
        <v>430996</v>
      </c>
      <c r="L10" s="466">
        <v>431320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38392+63736+104996</f>
        <v>207124</v>
      </c>
      <c r="D13" s="466">
        <f>4556+294+628+466+20+8283+87+6334+408+873+647+23+8600+87+10425+672+1436+1066+45+20374+312</f>
        <v>65636</v>
      </c>
      <c r="E13" s="466">
        <f>785+268+94+201</f>
        <v>1348</v>
      </c>
      <c r="F13" s="466">
        <f>709</f>
        <v>709</v>
      </c>
      <c r="G13" s="466"/>
      <c r="H13" s="466">
        <v>235</v>
      </c>
      <c r="I13" s="467"/>
      <c r="J13" s="467"/>
      <c r="K13" s="1671">
        <f t="shared" si="0"/>
        <v>275052</v>
      </c>
      <c r="L13" s="466">
        <v>275578</v>
      </c>
    </row>
    <row r="14" spans="1:14" x14ac:dyDescent="0.2">
      <c r="A14" s="1504" t="s">
        <v>963</v>
      </c>
      <c r="B14" s="614">
        <v>1500</v>
      </c>
      <c r="C14" s="466">
        <f>5667+1000+1700+7425+16650+9843+7796+2200+3800+2300+9121+7754+5970+3000+5856+2921+5629+1867+15535+16023+14542</f>
        <v>146599</v>
      </c>
      <c r="D14" s="466">
        <f>593+38+82+61+3+326+21+45+33+1281+83+12+176+131+923+436+28+59+8+10+127+60+95+45+108+179+29+9+531+771+34+50+20+4+73+106+54+79+11+3+1+1+590+297+38+19+81+41+60+30+573+201+37+13+8+7+79+28+58+21+1777+1859+751+48+114+120+103+245+256+77+182+190+8+8+6+3614+3311+2399+17+37+33</f>
        <v>24075</v>
      </c>
      <c r="E14" s="466">
        <f>550+985+21+596+119+72+60+270+150+1003+86+13+4+980+2400+5588+720+123+1462+1220+3890+1665+88+48+34+840+840+3230+1695+159+23+43+13+360+1740+1320+48+23+1870+1800+235+149+8+4+1500+710+1690+680+6+16+154+12+202+99+104+42</f>
        <v>41762</v>
      </c>
      <c r="F14" s="466">
        <f>1131+340+3922+889+4762+465+684+3512+3096+697+371+704+500+1022+675+3184+2347+82+212+50</f>
        <v>28645</v>
      </c>
      <c r="G14" s="466">
        <f>590+666+2225</f>
        <v>3481</v>
      </c>
      <c r="H14" s="466">
        <f>1320+94+218+1270+255+510+250+455+275+205+100+50+115+300+125+58+80</f>
        <v>5680</v>
      </c>
      <c r="I14" s="467"/>
      <c r="J14" s="467"/>
      <c r="K14" s="1671">
        <f t="shared" si="0"/>
        <v>250242</v>
      </c>
      <c r="L14" s="466">
        <v>255845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61060</v>
      </c>
      <c r="D17" s="467">
        <f>6529+421+900+667+22+8754+133</f>
        <v>17426</v>
      </c>
      <c r="E17" s="467">
        <f>919+4500+167</f>
        <v>5586</v>
      </c>
      <c r="F17" s="467">
        <v>1390</v>
      </c>
      <c r="G17" s="467"/>
      <c r="H17" s="467"/>
      <c r="I17" s="467"/>
      <c r="J17" s="467"/>
      <c r="K17" s="1671">
        <f t="shared" si="0"/>
        <v>85462</v>
      </c>
      <c r="L17" s="466">
        <v>85630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v>13560</v>
      </c>
      <c r="I19" s="467"/>
      <c r="J19" s="467"/>
      <c r="K19" s="1671">
        <f t="shared" si="0"/>
        <v>13560</v>
      </c>
      <c r="L19" s="466">
        <v>13575</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3503764</v>
      </c>
      <c r="D33" s="1670">
        <f t="shared" ref="D33:L33" si="1">SUM(D5:D32)</f>
        <v>965345</v>
      </c>
      <c r="E33" s="1670">
        <f t="shared" si="1"/>
        <v>213382</v>
      </c>
      <c r="F33" s="1670">
        <f t="shared" si="1"/>
        <v>449906</v>
      </c>
      <c r="G33" s="1670">
        <f t="shared" si="1"/>
        <v>49935</v>
      </c>
      <c r="H33" s="1670">
        <f t="shared" si="1"/>
        <v>37503</v>
      </c>
      <c r="I33" s="1670">
        <f t="shared" si="1"/>
        <v>0</v>
      </c>
      <c r="J33" s="1670">
        <f t="shared" si="1"/>
        <v>0</v>
      </c>
      <c r="K33" s="1670">
        <f t="shared" si="1"/>
        <v>5219835</v>
      </c>
      <c r="L33" s="1670">
        <f t="shared" si="1"/>
        <v>5229498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f>10742+10741+10742+10755</f>
        <v>42980</v>
      </c>
      <c r="D36" s="481">
        <f>1318+1317+1317+1317+85+85+85+85+181+182+182+182+135+135+135+135+5+5+5+5+2510+2510+2510+2510+22+22+22+22</f>
        <v>17024</v>
      </c>
      <c r="E36" s="481">
        <f>62+62+62+49</f>
        <v>235</v>
      </c>
      <c r="F36" s="481">
        <f>243+356</f>
        <v>599</v>
      </c>
      <c r="G36" s="481"/>
      <c r="H36" s="481"/>
      <c r="I36" s="467"/>
      <c r="J36" s="467"/>
      <c r="K36" s="1671">
        <f t="shared" ref="K36:K41" si="2">SUM(C36:J36)</f>
        <v>60838</v>
      </c>
      <c r="L36" s="466">
        <v>61005</v>
      </c>
    </row>
    <row r="37" spans="1:14" x14ac:dyDescent="0.2">
      <c r="A37" s="1504" t="s">
        <v>1090</v>
      </c>
      <c r="B37" s="614">
        <v>2120</v>
      </c>
      <c r="C37" s="466">
        <v>69335</v>
      </c>
      <c r="D37" s="466">
        <f>6889+444+949+704+23+8600+87</f>
        <v>17696</v>
      </c>
      <c r="E37" s="466">
        <v>91</v>
      </c>
      <c r="F37" s="466"/>
      <c r="G37" s="466"/>
      <c r="H37" s="466"/>
      <c r="I37" s="467"/>
      <c r="J37" s="467"/>
      <c r="K37" s="1671">
        <f t="shared" si="2"/>
        <v>87122</v>
      </c>
      <c r="L37" s="466">
        <v>87250</v>
      </c>
    </row>
    <row r="38" spans="1:14" x14ac:dyDescent="0.2">
      <c r="A38" s="1504" t="s">
        <v>198</v>
      </c>
      <c r="B38" s="614">
        <v>2130</v>
      </c>
      <c r="C38" s="466">
        <f>33649+20015</f>
        <v>53664</v>
      </c>
      <c r="D38" s="466">
        <f>23+21+8600+87+156</f>
        <v>8887</v>
      </c>
      <c r="E38" s="466">
        <f>34+1392+714+123+111+40</f>
        <v>2414</v>
      </c>
      <c r="F38" s="466">
        <f>1402</f>
        <v>1402</v>
      </c>
      <c r="G38" s="466"/>
      <c r="H38" s="466">
        <v>70</v>
      </c>
      <c r="I38" s="467"/>
      <c r="J38" s="467"/>
      <c r="K38" s="1671">
        <f t="shared" si="2"/>
        <v>66437</v>
      </c>
      <c r="L38" s="466">
        <v>66545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f>2627+3605+18437+16774+17154+1825</f>
        <v>60422</v>
      </c>
      <c r="D41" s="466">
        <f>1825+1080+48+929+118+70+3+60+63+251+149+7+128+187+110+5+95</f>
        <v>5128</v>
      </c>
      <c r="E41" s="466">
        <f>28+48+64+109+108+14</f>
        <v>371</v>
      </c>
      <c r="F41" s="466"/>
      <c r="G41" s="466"/>
      <c r="H41" s="466"/>
      <c r="I41" s="467"/>
      <c r="J41" s="467"/>
      <c r="K41" s="1671">
        <f t="shared" si="2"/>
        <v>65921</v>
      </c>
      <c r="L41" s="466">
        <v>66070</v>
      </c>
    </row>
    <row r="42" spans="1:14" ht="12.75" customHeight="1" thickBot="1" x14ac:dyDescent="0.25">
      <c r="A42" s="1668" t="s">
        <v>560</v>
      </c>
      <c r="B42" s="1669" t="s">
        <v>716</v>
      </c>
      <c r="C42" s="1670">
        <f>SUM(C36:C41)</f>
        <v>226401</v>
      </c>
      <c r="D42" s="1670">
        <f t="shared" ref="D42:L42" si="3">SUM(D36:D41)</f>
        <v>48735</v>
      </c>
      <c r="E42" s="1670">
        <f t="shared" si="3"/>
        <v>3111</v>
      </c>
      <c r="F42" s="1670">
        <f t="shared" si="3"/>
        <v>2001</v>
      </c>
      <c r="G42" s="1670">
        <f t="shared" si="3"/>
        <v>0</v>
      </c>
      <c r="H42" s="1670">
        <f t="shared" si="3"/>
        <v>70</v>
      </c>
      <c r="I42" s="1670">
        <f t="shared" si="3"/>
        <v>0</v>
      </c>
      <c r="J42" s="1670">
        <f t="shared" si="3"/>
        <v>0</v>
      </c>
      <c r="K42" s="1670">
        <f t="shared" si="3"/>
        <v>280318</v>
      </c>
      <c r="L42" s="1670">
        <f t="shared" si="3"/>
        <v>280870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5520+3238+3485+11362+85597</f>
        <v>109202</v>
      </c>
      <c r="D44" s="481">
        <f>377+1264+345+916+546+22+75+35+47+126+75+35+118+56+7000+8466+546+1166+865</f>
        <v>22080</v>
      </c>
      <c r="E44" s="481">
        <f>5000+12403+9600+110+5069+20+21+75</f>
        <v>32298</v>
      </c>
      <c r="F44" s="481"/>
      <c r="G44" s="481"/>
      <c r="H44" s="481"/>
      <c r="I44" s="467"/>
      <c r="J44" s="467"/>
      <c r="K44" s="1672">
        <f>SUM(C44:J44)</f>
        <v>163580</v>
      </c>
      <c r="L44" s="481">
        <v>163860</v>
      </c>
    </row>
    <row r="45" spans="1:14" x14ac:dyDescent="0.2">
      <c r="A45" s="1504" t="s">
        <v>815</v>
      </c>
      <c r="B45" s="614">
        <v>2220</v>
      </c>
      <c r="C45" s="466">
        <f>12831+13230</f>
        <v>26061</v>
      </c>
      <c r="D45" s="466"/>
      <c r="E45" s="466">
        <f>135+141</f>
        <v>276</v>
      </c>
      <c r="F45" s="466">
        <f>671+659+333+364+259+723+781+537+419</f>
        <v>4746</v>
      </c>
      <c r="G45" s="466"/>
      <c r="H45" s="466">
        <f>3635</f>
        <v>3635</v>
      </c>
      <c r="I45" s="467"/>
      <c r="J45" s="467"/>
      <c r="K45" s="1672">
        <f>SUM(C45:J45)</f>
        <v>34718</v>
      </c>
      <c r="L45" s="466">
        <v>34835</v>
      </c>
    </row>
    <row r="46" spans="1:14" x14ac:dyDescent="0.2">
      <c r="A46" s="1504" t="s">
        <v>816</v>
      </c>
      <c r="B46" s="614">
        <v>2230</v>
      </c>
      <c r="C46" s="466"/>
      <c r="D46" s="466"/>
      <c r="E46" s="466">
        <f>16037+20219+2280+4750</f>
        <v>43286</v>
      </c>
      <c r="F46" s="466"/>
      <c r="G46" s="466"/>
      <c r="H46" s="466"/>
      <c r="I46" s="467"/>
      <c r="J46" s="467"/>
      <c r="K46" s="1672">
        <f>SUM(C46:J46)</f>
        <v>43286</v>
      </c>
      <c r="L46" s="466">
        <v>43325</v>
      </c>
    </row>
    <row r="47" spans="1:14" ht="12.75" customHeight="1" thickBot="1" x14ac:dyDescent="0.25">
      <c r="A47" s="1668" t="s">
        <v>561</v>
      </c>
      <c r="B47" s="1669" t="s">
        <v>32</v>
      </c>
      <c r="C47" s="1670">
        <f>SUM(C44:C46)</f>
        <v>135263</v>
      </c>
      <c r="D47" s="1670">
        <f t="shared" ref="D47:K47" si="4">SUM(D44:D46)</f>
        <v>22080</v>
      </c>
      <c r="E47" s="1670">
        <f t="shared" si="4"/>
        <v>75860</v>
      </c>
      <c r="F47" s="1670">
        <f t="shared" si="4"/>
        <v>4746</v>
      </c>
      <c r="G47" s="1670">
        <f t="shared" si="4"/>
        <v>0</v>
      </c>
      <c r="H47" s="1670">
        <f t="shared" si="4"/>
        <v>3635</v>
      </c>
      <c r="I47" s="1670">
        <f t="shared" si="4"/>
        <v>0</v>
      </c>
      <c r="J47" s="1670">
        <f t="shared" si="4"/>
        <v>0</v>
      </c>
      <c r="K47" s="1670">
        <f t="shared" si="4"/>
        <v>241584</v>
      </c>
      <c r="L47" s="1670">
        <f>SUM(L44:L46)</f>
        <v>242020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f>1430+9837</f>
        <v>11267</v>
      </c>
      <c r="D49" s="481">
        <f>67+21783+31636+21937</f>
        <v>75423</v>
      </c>
      <c r="E49" s="481">
        <f>8+109+1614+7456+960</f>
        <v>10147</v>
      </c>
      <c r="F49" s="481">
        <f>1177</f>
        <v>1177</v>
      </c>
      <c r="G49" s="481"/>
      <c r="H49" s="481">
        <f>19969</f>
        <v>19969</v>
      </c>
      <c r="I49" s="467"/>
      <c r="J49" s="467"/>
      <c r="K49" s="1672">
        <f>SUM(C49:J49)</f>
        <v>117983</v>
      </c>
      <c r="L49" s="481">
        <v>118160</v>
      </c>
    </row>
    <row r="50" spans="1:14" x14ac:dyDescent="0.2">
      <c r="A50" s="1504" t="s">
        <v>818</v>
      </c>
      <c r="B50" s="614">
        <v>2320</v>
      </c>
      <c r="C50" s="466">
        <v>107122</v>
      </c>
      <c r="D50" s="466">
        <f>7182+508+1380+1087+806+178+8600+174</f>
        <v>19915</v>
      </c>
      <c r="E50" s="466">
        <f>500+332+1805+2474+910+176</f>
        <v>6197</v>
      </c>
      <c r="F50" s="466">
        <v>4938</v>
      </c>
      <c r="G50" s="466"/>
      <c r="H50" s="466">
        <f>2794</f>
        <v>2794</v>
      </c>
      <c r="I50" s="467"/>
      <c r="J50" s="467"/>
      <c r="K50" s="1672">
        <f>SUM(C50:J50)</f>
        <v>140966</v>
      </c>
      <c r="L50" s="466">
        <v>141210</v>
      </c>
    </row>
    <row r="51" spans="1:14" x14ac:dyDescent="0.2">
      <c r="A51" s="1504" t="s">
        <v>42</v>
      </c>
      <c r="B51" s="614">
        <v>2330</v>
      </c>
      <c r="C51" s="466"/>
      <c r="D51" s="466"/>
      <c r="E51" s="466">
        <f>1000</f>
        <v>1000</v>
      </c>
      <c r="F51" s="466"/>
      <c r="G51" s="466"/>
      <c r="H51" s="466"/>
      <c r="I51" s="467"/>
      <c r="J51" s="467"/>
      <c r="K51" s="1672">
        <f>SUM(C51:J51)</f>
        <v>1000</v>
      </c>
      <c r="L51" s="466">
        <v>1000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118389</v>
      </c>
      <c r="D53" s="1670">
        <f t="shared" ref="D53:L53" si="5">SUM(D49:D52)</f>
        <v>95338</v>
      </c>
      <c r="E53" s="1670">
        <f t="shared" si="5"/>
        <v>17344</v>
      </c>
      <c r="F53" s="1670">
        <f t="shared" si="5"/>
        <v>6115</v>
      </c>
      <c r="G53" s="1670">
        <f t="shared" si="5"/>
        <v>0</v>
      </c>
      <c r="H53" s="1670">
        <f t="shared" si="5"/>
        <v>22763</v>
      </c>
      <c r="I53" s="1670">
        <f t="shared" si="5"/>
        <v>0</v>
      </c>
      <c r="J53" s="1670">
        <f t="shared" si="5"/>
        <v>0</v>
      </c>
      <c r="K53" s="1670">
        <f t="shared" si="5"/>
        <v>259949</v>
      </c>
      <c r="L53" s="1670">
        <f t="shared" si="5"/>
        <v>260370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139483+112853+85651+161510</f>
        <v>499497</v>
      </c>
      <c r="D55" s="481">
        <f>10950+11931+6315+6426+706+769+407+414+1200+1719+2245+955+1509+1644+870+885+1119+1220+646+657+69+69+45+45+14487+29879+17201+20374+295+365+243+243+2700+2700</f>
        <v>141302</v>
      </c>
      <c r="E55" s="481">
        <f>1764+288+180+365+298+498+163+61+388+395+196+230</f>
        <v>4826</v>
      </c>
      <c r="F55" s="481">
        <f>2646+2911+884+141</f>
        <v>6582</v>
      </c>
      <c r="G55" s="481">
        <f>807</f>
        <v>807</v>
      </c>
      <c r="H55" s="481">
        <f>774+671+653+377</f>
        <v>2475</v>
      </c>
      <c r="I55" s="467"/>
      <c r="J55" s="467"/>
      <c r="K55" s="1672">
        <f>SUM(C55:J55)</f>
        <v>655489</v>
      </c>
      <c r="L55" s="481">
        <v>666325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499497</v>
      </c>
      <c r="D57" s="1674">
        <f t="shared" ref="D57:K57" si="6">SUM(D55:D56)</f>
        <v>141302</v>
      </c>
      <c r="E57" s="1674">
        <f t="shared" si="6"/>
        <v>4826</v>
      </c>
      <c r="F57" s="1674">
        <f t="shared" si="6"/>
        <v>6582</v>
      </c>
      <c r="G57" s="1674">
        <f t="shared" si="6"/>
        <v>807</v>
      </c>
      <c r="H57" s="1674">
        <f t="shared" si="6"/>
        <v>2475</v>
      </c>
      <c r="I57" s="1674">
        <f t="shared" si="6"/>
        <v>0</v>
      </c>
      <c r="J57" s="1674">
        <f t="shared" si="6"/>
        <v>0</v>
      </c>
      <c r="K57" s="1674">
        <f t="shared" si="6"/>
        <v>655489</v>
      </c>
      <c r="L57" s="1670">
        <f>SUM(L55:L56)</f>
        <v>666325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161913</v>
      </c>
      <c r="D60" s="466">
        <v>15123</v>
      </c>
      <c r="E60" s="466">
        <v>6781</v>
      </c>
      <c r="F60" s="466">
        <v>1731</v>
      </c>
      <c r="G60" s="466"/>
      <c r="H60" s="466">
        <v>200</v>
      </c>
      <c r="I60" s="467"/>
      <c r="J60" s="467"/>
      <c r="K60" s="1672">
        <f t="shared" si="7"/>
        <v>185748</v>
      </c>
      <c r="L60" s="466">
        <v>185950</v>
      </c>
      <c r="M60" s="609"/>
      <c r="N60" s="609"/>
    </row>
    <row r="61" spans="1:14" s="343" customFormat="1" x14ac:dyDescent="0.2">
      <c r="A61" s="1504" t="s">
        <v>197</v>
      </c>
      <c r="B61" s="614">
        <v>2540</v>
      </c>
      <c r="C61" s="466">
        <f>128535+116796+98839+48342+26068+6561+3626+3592+6163+6869+1455+1414</f>
        <v>448260</v>
      </c>
      <c r="D61" s="466">
        <f>6366+5722+4694+2243+1228+54+57+45+23+12+10752+20068+17201+8600+191+226+243+87+52</f>
        <v>77864</v>
      </c>
      <c r="E61" s="466">
        <f>433+418+278+154+215+7378+1279+41+474+1364+312+1308+19</f>
        <v>13673</v>
      </c>
      <c r="F61" s="466">
        <f>8621+10863+5600+2852+1094+2280+547+17+115</f>
        <v>31989</v>
      </c>
      <c r="G61" s="466">
        <f>292+292+292+292</f>
        <v>1168</v>
      </c>
      <c r="H61" s="466">
        <f>101</f>
        <v>101</v>
      </c>
      <c r="I61" s="467"/>
      <c r="J61" s="467"/>
      <c r="K61" s="1672">
        <f t="shared" si="7"/>
        <v>573055</v>
      </c>
      <c r="L61" s="466">
        <v>575040</v>
      </c>
      <c r="M61" s="609"/>
      <c r="N61" s="609"/>
    </row>
    <row r="62" spans="1:14" s="343" customFormat="1" x14ac:dyDescent="0.2">
      <c r="A62" s="1504" t="s">
        <v>953</v>
      </c>
      <c r="B62" s="614">
        <v>2550</v>
      </c>
      <c r="C62" s="466">
        <f>5280+3984+2624+416</f>
        <v>12304</v>
      </c>
      <c r="D62" s="466">
        <f>33+394+260+41+2+25+17+3+5+54+36+6+3+40+27+4</f>
        <v>950</v>
      </c>
      <c r="E62" s="466">
        <f>15+14+22</f>
        <v>51</v>
      </c>
      <c r="F62" s="466"/>
      <c r="G62" s="466"/>
      <c r="H62" s="466"/>
      <c r="I62" s="467"/>
      <c r="J62" s="467"/>
      <c r="K62" s="1672">
        <f t="shared" si="7"/>
        <v>13305</v>
      </c>
      <c r="L62" s="466">
        <v>13020</v>
      </c>
      <c r="M62" s="609"/>
      <c r="N62" s="609"/>
    </row>
    <row r="63" spans="1:14" s="609" customFormat="1" x14ac:dyDescent="0.2">
      <c r="A63" s="1504" t="s">
        <v>100</v>
      </c>
      <c r="B63" s="614">
        <v>2560</v>
      </c>
      <c r="C63" s="466">
        <f>22491</f>
        <v>22491</v>
      </c>
      <c r="D63" s="466">
        <f>23+8600+87</f>
        <v>8710</v>
      </c>
      <c r="E63" s="466">
        <f>112+93840+139856+110032+89003+26962</f>
        <v>459805</v>
      </c>
      <c r="F63" s="466">
        <f>174+180</f>
        <v>354</v>
      </c>
      <c r="G63" s="466">
        <f>5122+292+13721</f>
        <v>19135</v>
      </c>
      <c r="H63" s="466"/>
      <c r="I63" s="467"/>
      <c r="J63" s="467"/>
      <c r="K63" s="1672">
        <f t="shared" si="7"/>
        <v>510495</v>
      </c>
      <c r="L63" s="466">
        <v>504395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644968</v>
      </c>
      <c r="D65" s="1670">
        <f t="shared" ref="D65:L65" si="8">SUM(D59:D64)</f>
        <v>102647</v>
      </c>
      <c r="E65" s="1670">
        <f t="shared" si="8"/>
        <v>480310</v>
      </c>
      <c r="F65" s="1670">
        <f t="shared" si="8"/>
        <v>34074</v>
      </c>
      <c r="G65" s="1670">
        <f t="shared" si="8"/>
        <v>20303</v>
      </c>
      <c r="H65" s="1670">
        <f t="shared" si="8"/>
        <v>301</v>
      </c>
      <c r="I65" s="1670">
        <f t="shared" si="8"/>
        <v>0</v>
      </c>
      <c r="J65" s="1670">
        <f t="shared" si="8"/>
        <v>0</v>
      </c>
      <c r="K65" s="1670">
        <f t="shared" si="8"/>
        <v>1282603</v>
      </c>
      <c r="L65" s="1670">
        <f t="shared" si="8"/>
        <v>1278405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3007</v>
      </c>
      <c r="F71" s="466"/>
      <c r="G71" s="466"/>
      <c r="H71" s="466"/>
      <c r="I71" s="467"/>
      <c r="J71" s="467"/>
      <c r="K71" s="1672">
        <f>SUM(C71:J71)</f>
        <v>3007</v>
      </c>
      <c r="L71" s="466">
        <v>3025</v>
      </c>
      <c r="M71" s="609"/>
      <c r="N71" s="609"/>
    </row>
    <row r="72" spans="1:14" s="343" customFormat="1" ht="12.75" customHeight="1" thickBot="1" x14ac:dyDescent="0.25">
      <c r="A72" s="1668" t="s">
        <v>37</v>
      </c>
      <c r="B72" s="1675" t="s">
        <v>36</v>
      </c>
      <c r="C72" s="1670">
        <f>SUM(C67:C71)</f>
        <v>0</v>
      </c>
      <c r="D72" s="1670">
        <f t="shared" ref="D72:K72" si="9">SUM(D67:D71)</f>
        <v>0</v>
      </c>
      <c r="E72" s="1670">
        <f t="shared" si="9"/>
        <v>3007</v>
      </c>
      <c r="F72" s="1670">
        <f t="shared" si="9"/>
        <v>0</v>
      </c>
      <c r="G72" s="1670">
        <f t="shared" si="9"/>
        <v>0</v>
      </c>
      <c r="H72" s="1670">
        <f t="shared" si="9"/>
        <v>0</v>
      </c>
      <c r="I72" s="1670">
        <f t="shared" si="9"/>
        <v>0</v>
      </c>
      <c r="J72" s="1670">
        <f t="shared" si="9"/>
        <v>0</v>
      </c>
      <c r="K72" s="1670">
        <f t="shared" si="9"/>
        <v>3007</v>
      </c>
      <c r="L72" s="1670">
        <f>SUM(L67:L71)</f>
        <v>3025</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1624518</v>
      </c>
      <c r="D74" s="1677">
        <f t="shared" ref="D74:K74" si="10">SUM(D42,D47,D53,D57,D65,D72,D73)</f>
        <v>410102</v>
      </c>
      <c r="E74" s="1677">
        <f t="shared" si="10"/>
        <v>584458</v>
      </c>
      <c r="F74" s="1677">
        <f t="shared" si="10"/>
        <v>53518</v>
      </c>
      <c r="G74" s="1677">
        <f t="shared" si="10"/>
        <v>21110</v>
      </c>
      <c r="H74" s="1677">
        <f t="shared" si="10"/>
        <v>29244</v>
      </c>
      <c r="I74" s="1677">
        <f t="shared" si="10"/>
        <v>0</v>
      </c>
      <c r="J74" s="1677">
        <f t="shared" si="10"/>
        <v>0</v>
      </c>
      <c r="K74" s="1677">
        <f t="shared" si="10"/>
        <v>2722950</v>
      </c>
      <c r="L74" s="1677">
        <f>SUM(L42,L47,L53,L57,L65,L72,L73)</f>
        <v>2731015</v>
      </c>
    </row>
    <row r="75" spans="1:14" s="259" customFormat="1" ht="15.75" customHeight="1" thickTop="1" thickBot="1" x14ac:dyDescent="0.25">
      <c r="A75" s="1610" t="s">
        <v>47</v>
      </c>
      <c r="B75" s="1611" t="s">
        <v>575</v>
      </c>
      <c r="C75" s="573">
        <f>11046+23557</f>
        <v>34603</v>
      </c>
      <c r="D75" s="573"/>
      <c r="E75" s="573">
        <f>117+64+179</f>
        <v>360</v>
      </c>
      <c r="F75" s="573">
        <f>2780</f>
        <v>2780</v>
      </c>
      <c r="G75" s="573"/>
      <c r="H75" s="573"/>
      <c r="I75" s="531"/>
      <c r="J75" s="531"/>
      <c r="K75" s="1670">
        <f>SUM(C75:J75)</f>
        <v>37743</v>
      </c>
      <c r="L75" s="576">
        <v>37850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f>337897+310500+255705+141551+146+50755+46640+38409+21262</f>
        <v>1202865</v>
      </c>
      <c r="I79" s="477"/>
      <c r="J79" s="477"/>
      <c r="K79" s="1671">
        <f t="shared" si="11"/>
        <v>1202865</v>
      </c>
      <c r="L79" s="466">
        <v>1203045</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1202865</v>
      </c>
      <c r="I84" s="477"/>
      <c r="J84" s="477"/>
      <c r="K84" s="1670">
        <f>SUM(K78:K83)</f>
        <v>1202865</v>
      </c>
      <c r="L84" s="1670">
        <f>SUM(L78:L83)</f>
        <v>1203045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f>4658+2790</f>
        <v>7448</v>
      </c>
      <c r="I90" s="477"/>
      <c r="J90" s="477"/>
      <c r="K90" s="1677">
        <f t="shared" si="12"/>
        <v>7448</v>
      </c>
      <c r="L90" s="530">
        <v>7500</v>
      </c>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7448</v>
      </c>
      <c r="I92" s="477"/>
      <c r="J92" s="477"/>
      <c r="K92" s="1677">
        <f t="shared" si="12"/>
        <v>7448</v>
      </c>
      <c r="L92" s="1670">
        <f>SUM(L85:L91)</f>
        <v>7500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1210313</v>
      </c>
      <c r="I102" s="477"/>
      <c r="J102" s="477"/>
      <c r="K102" s="1677">
        <f>SUM(K84,K92,K100,K101)</f>
        <v>1210313</v>
      </c>
      <c r="L102" s="1677">
        <f>SUM(L84,L92,L100,L101)</f>
        <v>1210545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5162885</v>
      </c>
      <c r="D114" s="1670">
        <f t="shared" ref="D114:K114" si="13">SUM(D33,D74,D75,D102,D112,D113)</f>
        <v>1375447</v>
      </c>
      <c r="E114" s="1670">
        <f t="shared" si="13"/>
        <v>798200</v>
      </c>
      <c r="F114" s="1670">
        <f t="shared" si="13"/>
        <v>506204</v>
      </c>
      <c r="G114" s="1670">
        <f t="shared" si="13"/>
        <v>71045</v>
      </c>
      <c r="H114" s="1670">
        <f>SUM(H33,H74,H75,H102,H112,H113)</f>
        <v>1277060</v>
      </c>
      <c r="I114" s="1670">
        <f t="shared" si="13"/>
        <v>0</v>
      </c>
      <c r="J114" s="1670">
        <f t="shared" si="13"/>
        <v>0</v>
      </c>
      <c r="K114" s="1670">
        <f t="shared" si="13"/>
        <v>9190841</v>
      </c>
      <c r="L114" s="1670">
        <f>SUM(L33,L74,L75,L102,L112,L113)</f>
        <v>9208908</v>
      </c>
    </row>
    <row r="115" spans="1:14" ht="13.5" thickTop="1" x14ac:dyDescent="0.2">
      <c r="A115" s="2156" t="s">
        <v>996</v>
      </c>
      <c r="B115" s="2157"/>
      <c r="C115" s="618"/>
      <c r="D115" s="618"/>
      <c r="E115" s="618"/>
      <c r="F115" s="618"/>
      <c r="G115" s="618"/>
      <c r="H115" s="618"/>
      <c r="I115" s="618"/>
      <c r="J115" s="618"/>
      <c r="K115" s="1684">
        <f>'Revenues 9-14'!C268-'Expenditures 15-22'!K114</f>
        <v>-6487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f>40+6879+4331+2828+1130+431258+103841+102752+25864+5269+2883+3921+2497+1092+106+6000+6000+3600+3600+5867+2684+3366+3054</f>
        <v>728862</v>
      </c>
      <c r="F124" s="466">
        <f>9496+3729+710+10936+119+634+5992+9824+6580+61296+65732+23267+25175</f>
        <v>223490</v>
      </c>
      <c r="G124" s="466">
        <f>3296+8197</f>
        <v>11493</v>
      </c>
      <c r="H124" s="466"/>
      <c r="I124" s="467"/>
      <c r="J124" s="467"/>
      <c r="K124" s="1670">
        <f>SUM(C124:J124)</f>
        <v>963845</v>
      </c>
      <c r="L124" s="466">
        <v>965775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728862</v>
      </c>
      <c r="F127" s="1670">
        <f t="shared" si="14"/>
        <v>223490</v>
      </c>
      <c r="G127" s="1670">
        <f t="shared" si="14"/>
        <v>11493</v>
      </c>
      <c r="H127" s="1670">
        <f t="shared" si="14"/>
        <v>0</v>
      </c>
      <c r="I127" s="1670">
        <f t="shared" si="14"/>
        <v>0</v>
      </c>
      <c r="J127" s="1670">
        <f t="shared" si="14"/>
        <v>0</v>
      </c>
      <c r="K127" s="1670">
        <f t="shared" si="14"/>
        <v>963845</v>
      </c>
      <c r="L127" s="1670">
        <f t="shared" si="14"/>
        <v>965775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728862</v>
      </c>
      <c r="F129" s="1677">
        <f t="shared" si="15"/>
        <v>223490</v>
      </c>
      <c r="G129" s="1677">
        <f t="shared" si="15"/>
        <v>11493</v>
      </c>
      <c r="H129" s="1677">
        <f t="shared" si="15"/>
        <v>0</v>
      </c>
      <c r="I129" s="1677">
        <f t="shared" si="15"/>
        <v>0</v>
      </c>
      <c r="J129" s="1677">
        <f t="shared" si="15"/>
        <v>0</v>
      </c>
      <c r="K129" s="1677">
        <f t="shared" si="15"/>
        <v>963845</v>
      </c>
      <c r="L129" s="1677">
        <f t="shared" si="15"/>
        <v>965775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0</v>
      </c>
      <c r="D151" s="1670">
        <f t="shared" ref="D151:K151" si="16">SUM(D129,D130,D139,D149,D150)</f>
        <v>0</v>
      </c>
      <c r="E151" s="1670">
        <f t="shared" si="16"/>
        <v>728862</v>
      </c>
      <c r="F151" s="1670">
        <f t="shared" si="16"/>
        <v>223490</v>
      </c>
      <c r="G151" s="1670">
        <f t="shared" si="16"/>
        <v>11493</v>
      </c>
      <c r="H151" s="1670">
        <f t="shared" si="16"/>
        <v>0</v>
      </c>
      <c r="I151" s="1670">
        <f t="shared" si="16"/>
        <v>0</v>
      </c>
      <c r="J151" s="1670">
        <f t="shared" si="16"/>
        <v>0</v>
      </c>
      <c r="K151" s="1670">
        <f t="shared" si="16"/>
        <v>963845</v>
      </c>
      <c r="L151" s="1670">
        <f>SUM(L129,L130,L139,L149,L150)</f>
        <v>965775</v>
      </c>
    </row>
    <row r="152" spans="1:14" ht="12.75" customHeight="1" thickTop="1" x14ac:dyDescent="0.2">
      <c r="A152" s="2176" t="s">
        <v>1178</v>
      </c>
      <c r="B152" s="2177"/>
      <c r="C152" s="618"/>
      <c r="D152" s="618"/>
      <c r="E152" s="618"/>
      <c r="F152" s="618"/>
      <c r="G152" s="618"/>
      <c r="H152" s="618"/>
      <c r="I152" s="618"/>
      <c r="J152" s="616"/>
      <c r="K152" s="1684">
        <f>'Revenues 9-14'!D268-'Expenditures 15-22'!K151</f>
        <v>-306898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85859+174038</f>
        <v>259897</v>
      </c>
      <c r="I169" s="616"/>
      <c r="J169" s="616"/>
      <c r="K169" s="1671">
        <f>SUM(C169:H169)</f>
        <v>259897</v>
      </c>
      <c r="L169" s="656">
        <v>261000</v>
      </c>
    </row>
    <row r="170" spans="1:14" ht="33.75" customHeight="1" x14ac:dyDescent="0.2">
      <c r="A170" s="669" t="s">
        <v>1670</v>
      </c>
      <c r="B170" s="671" t="s">
        <v>31</v>
      </c>
      <c r="C170" s="616"/>
      <c r="D170" s="616"/>
      <c r="E170" s="616"/>
      <c r="F170" s="616"/>
      <c r="G170" s="616"/>
      <c r="H170" s="569">
        <f>605000+415961</f>
        <v>1020961</v>
      </c>
      <c r="I170" s="616"/>
      <c r="J170" s="616"/>
      <c r="K170" s="1671">
        <f>SUM(C170:J170)</f>
        <v>1020961</v>
      </c>
      <c r="L170" s="569">
        <v>1021000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1280858</v>
      </c>
      <c r="I172" s="638"/>
      <c r="J172" s="616"/>
      <c r="K172" s="1677">
        <f>SUM(K168,K169,K170,K171)</f>
        <v>1280858</v>
      </c>
      <c r="L172" s="1677">
        <f>SUM(L168,L169,L170,L171)</f>
        <v>1282000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1280858</v>
      </c>
      <c r="I174" s="638"/>
      <c r="J174" s="616"/>
      <c r="K174" s="1677">
        <f>SUM(K160,K172,K173)</f>
        <v>1280858</v>
      </c>
      <c r="L174" s="1677">
        <f>SUM(L160,L172,L173)</f>
        <v>1282000</v>
      </c>
    </row>
    <row r="175" spans="1:14" ht="13.5" thickTop="1" x14ac:dyDescent="0.2">
      <c r="A175" s="2156" t="s">
        <v>996</v>
      </c>
      <c r="B175" s="2157"/>
      <c r="C175" s="616"/>
      <c r="D175" s="616"/>
      <c r="E175" s="616"/>
      <c r="F175" s="616"/>
      <c r="G175" s="616"/>
      <c r="H175" s="618"/>
      <c r="I175" s="616"/>
      <c r="J175" s="616"/>
      <c r="K175" s="1684">
        <f>'Revenues 9-14'!E268-'Expenditures 15-22'!K174</f>
        <v>-548512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4940</v>
      </c>
      <c r="D182" s="466">
        <f>707</f>
        <v>707</v>
      </c>
      <c r="E182" s="466">
        <f>689+337020+9391</f>
        <v>347100</v>
      </c>
      <c r="F182" s="466"/>
      <c r="G182" s="466"/>
      <c r="H182" s="466">
        <f>12056</f>
        <v>12056</v>
      </c>
      <c r="I182" s="467"/>
      <c r="J182" s="467"/>
      <c r="K182" s="1671">
        <f>SUM(C182:J182)</f>
        <v>364803</v>
      </c>
      <c r="L182" s="466">
        <v>364855</v>
      </c>
    </row>
    <row r="183" spans="1:14" ht="12.75" customHeight="1" thickBot="1" x14ac:dyDescent="0.25">
      <c r="A183" s="1509" t="s">
        <v>980</v>
      </c>
      <c r="B183" s="677">
        <v>2900</v>
      </c>
      <c r="C183" s="573"/>
      <c r="D183" s="573"/>
      <c r="E183" s="573">
        <f>602+447+2583+4235+1882+3172+1668+3523+1209+2894+1637+3411+1271+138+455</f>
        <v>29127</v>
      </c>
      <c r="F183" s="573"/>
      <c r="G183" s="573"/>
      <c r="H183" s="573"/>
      <c r="I183" s="532"/>
      <c r="J183" s="532"/>
      <c r="K183" s="1677">
        <f>SUM(C183:J183)</f>
        <v>29127</v>
      </c>
      <c r="L183" s="573">
        <v>29300</v>
      </c>
    </row>
    <row r="184" spans="1:14" ht="12.75" customHeight="1" thickTop="1" thickBot="1" x14ac:dyDescent="0.25">
      <c r="A184" s="1691" t="s">
        <v>811</v>
      </c>
      <c r="B184" s="1669" t="s">
        <v>569</v>
      </c>
      <c r="C184" s="1677">
        <f>SUM(C180,C182,C183)</f>
        <v>4940</v>
      </c>
      <c r="D184" s="1677">
        <f t="shared" ref="D184:J184" si="17">SUM(D180,D182,D183)</f>
        <v>707</v>
      </c>
      <c r="E184" s="1677">
        <f t="shared" si="17"/>
        <v>376227</v>
      </c>
      <c r="F184" s="1677">
        <f t="shared" si="17"/>
        <v>0</v>
      </c>
      <c r="G184" s="1677">
        <f t="shared" si="17"/>
        <v>0</v>
      </c>
      <c r="H184" s="1677">
        <f t="shared" si="17"/>
        <v>12056</v>
      </c>
      <c r="I184" s="1677">
        <f t="shared" si="17"/>
        <v>0</v>
      </c>
      <c r="J184" s="1677">
        <f t="shared" si="17"/>
        <v>0</v>
      </c>
      <c r="K184" s="1677">
        <f>SUM(K180,K182,K183)</f>
        <v>393930</v>
      </c>
      <c r="L184" s="1677">
        <f>SUM(L180, L182:L183)</f>
        <v>394155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f>15416+8534+18719+20371</f>
        <v>63040</v>
      </c>
      <c r="F189" s="616"/>
      <c r="G189" s="616"/>
      <c r="H189" s="466"/>
      <c r="I189" s="477"/>
      <c r="J189" s="616"/>
      <c r="K189" s="1671">
        <f t="shared" si="18"/>
        <v>63040</v>
      </c>
      <c r="L189" s="466">
        <v>64000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63040</v>
      </c>
      <c r="F194" s="616"/>
      <c r="G194" s="616"/>
      <c r="H194" s="1670">
        <f>SUM(H188:H193)</f>
        <v>0</v>
      </c>
      <c r="I194" s="477"/>
      <c r="J194" s="616"/>
      <c r="K194" s="1670">
        <f>SUM(K188:K193)</f>
        <v>63040</v>
      </c>
      <c r="L194" s="1670">
        <f>SUM(L188:L193)</f>
        <v>64000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63040</v>
      </c>
      <c r="F196" s="616"/>
      <c r="G196" s="616"/>
      <c r="H196" s="1677">
        <f>SUM(H194,H195)</f>
        <v>0</v>
      </c>
      <c r="I196" s="477"/>
      <c r="J196" s="616"/>
      <c r="K196" s="1677">
        <f>SUM(K194,K195)</f>
        <v>63040</v>
      </c>
      <c r="L196" s="1677">
        <f>SUM(L194,L195)</f>
        <v>64000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4940</v>
      </c>
      <c r="D210" s="1670">
        <f>SUM(D184,D185)</f>
        <v>707</v>
      </c>
      <c r="E210" s="1670">
        <f>SUM(E184,E185,E196)</f>
        <v>439267</v>
      </c>
      <c r="F210" s="1670">
        <f>SUM(F184,F185)</f>
        <v>0</v>
      </c>
      <c r="G210" s="1670">
        <f>SUM(G184,G185)</f>
        <v>0</v>
      </c>
      <c r="H210" s="1670">
        <f>SUM(H184,H185,H196,H208,H209)</f>
        <v>12056</v>
      </c>
      <c r="I210" s="1670">
        <f>SUM(I184,I185)</f>
        <v>0</v>
      </c>
      <c r="J210" s="1670">
        <f>SUM(J184,J185)</f>
        <v>0</v>
      </c>
      <c r="K210" s="1671">
        <f>SUM(K184,K185,K196,K208,K209)</f>
        <v>456970</v>
      </c>
      <c r="L210" s="1670">
        <f>SUM(L184,L185,L196,L208,L209)</f>
        <v>458155</v>
      </c>
    </row>
    <row r="211" spans="1:14" ht="13.5" thickTop="1" x14ac:dyDescent="0.2">
      <c r="A211" s="2156" t="s">
        <v>996</v>
      </c>
      <c r="B211" s="2157"/>
      <c r="C211" s="618"/>
      <c r="D211" s="618"/>
      <c r="E211" s="618"/>
      <c r="F211" s="618"/>
      <c r="G211" s="618"/>
      <c r="H211" s="618"/>
      <c r="I211" s="616"/>
      <c r="J211" s="616"/>
      <c r="K211" s="1684">
        <f>'Revenues 9-14'!F268-'Expenditures 15-22'!K210</f>
        <v>192544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120+27+11+406+200+9188+6657+17+11409+281+11698</f>
        <v>40014</v>
      </c>
      <c r="E215" s="616"/>
      <c r="F215" s="616"/>
      <c r="G215" s="616"/>
      <c r="H215" s="616"/>
      <c r="I215" s="616"/>
      <c r="J215" s="616"/>
      <c r="K215" s="1671">
        <f>D215</f>
        <v>40014</v>
      </c>
      <c r="L215" s="466">
        <v>40500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8421+6350+224+2659</f>
        <v>17654</v>
      </c>
      <c r="E219" s="616"/>
      <c r="F219" s="616"/>
      <c r="G219" s="616"/>
      <c r="H219" s="616"/>
      <c r="I219" s="616"/>
      <c r="J219" s="616"/>
      <c r="K219" s="1671">
        <f t="shared" si="19"/>
        <v>17654</v>
      </c>
      <c r="L219" s="466">
        <v>17800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f>557+924+1335</f>
        <v>2816</v>
      </c>
      <c r="E222" s="616"/>
      <c r="F222" s="616"/>
      <c r="G222" s="616"/>
      <c r="H222" s="616"/>
      <c r="I222" s="616"/>
      <c r="J222" s="616"/>
      <c r="K222" s="1671">
        <f t="shared" si="19"/>
        <v>2816</v>
      </c>
      <c r="L222" s="466">
        <v>3025</v>
      </c>
    </row>
    <row r="223" spans="1:14" x14ac:dyDescent="0.2">
      <c r="A223" s="1504" t="s">
        <v>963</v>
      </c>
      <c r="B223" s="614">
        <v>1500</v>
      </c>
      <c r="C223" s="616"/>
      <c r="D223" s="466">
        <f>4+38+16+18+202+279+7+35+5+18+11+82+66+15+205+105+108+25+285+252+66+245+159+121+136+32+247+149+58+35+295+24+145+118+386+186+92+43+85+42+69+26+98+35+211+225+232</f>
        <v>5336</v>
      </c>
      <c r="E223" s="616"/>
      <c r="F223" s="616"/>
      <c r="G223" s="616"/>
      <c r="H223" s="616"/>
      <c r="I223" s="616"/>
      <c r="J223" s="616"/>
      <c r="K223" s="1671">
        <f t="shared" si="19"/>
        <v>5336</v>
      </c>
      <c r="L223" s="466">
        <v>5690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880</v>
      </c>
      <c r="E226" s="616"/>
      <c r="F226" s="616"/>
      <c r="G226" s="616"/>
      <c r="H226" s="616"/>
      <c r="I226" s="616"/>
      <c r="J226" s="616"/>
      <c r="K226" s="1671">
        <f t="shared" si="19"/>
        <v>880</v>
      </c>
      <c r="L226" s="466">
        <v>885</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66700</v>
      </c>
      <c r="E229" s="616"/>
      <c r="F229" s="616"/>
      <c r="G229" s="616"/>
      <c r="H229" s="616"/>
      <c r="I229" s="616"/>
      <c r="J229" s="616"/>
      <c r="K229" s="1670">
        <f>SUM(K215:K228)</f>
        <v>66700</v>
      </c>
      <c r="L229" s="1670">
        <f>SUM(L215:L228)</f>
        <v>67900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f>161+161+161+161</f>
        <v>644</v>
      </c>
      <c r="E232" s="616"/>
      <c r="F232" s="616"/>
      <c r="G232" s="616"/>
      <c r="H232" s="616"/>
      <c r="I232" s="616"/>
      <c r="J232" s="616"/>
      <c r="K232" s="1671">
        <f t="shared" ref="K232:K237" si="20">D232</f>
        <v>644</v>
      </c>
      <c r="L232" s="466">
        <v>660</v>
      </c>
    </row>
    <row r="233" spans="1:12" x14ac:dyDescent="0.2">
      <c r="A233" s="1504" t="s">
        <v>1090</v>
      </c>
      <c r="B233" s="614">
        <v>2120</v>
      </c>
      <c r="C233" s="616"/>
      <c r="D233" s="466">
        <f>1000</f>
        <v>1000</v>
      </c>
      <c r="E233" s="616"/>
      <c r="F233" s="616"/>
      <c r="G233" s="616"/>
      <c r="H233" s="616"/>
      <c r="I233" s="616"/>
      <c r="J233" s="616"/>
      <c r="K233" s="1671">
        <f t="shared" si="20"/>
        <v>1000</v>
      </c>
      <c r="L233" s="466">
        <v>1000</v>
      </c>
    </row>
    <row r="234" spans="1:12" x14ac:dyDescent="0.2">
      <c r="A234" s="1504" t="s">
        <v>198</v>
      </c>
      <c r="B234" s="614">
        <v>2130</v>
      </c>
      <c r="C234" s="616"/>
      <c r="D234" s="466">
        <f>2819+1549+2086+1146+488+268</f>
        <v>8356</v>
      </c>
      <c r="E234" s="616"/>
      <c r="F234" s="616"/>
      <c r="G234" s="616"/>
      <c r="H234" s="616"/>
      <c r="I234" s="616"/>
      <c r="J234" s="616"/>
      <c r="K234" s="1671">
        <f t="shared" si="20"/>
        <v>8356</v>
      </c>
      <c r="L234" s="466">
        <v>8475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f>269+116+221+163+223+38+52+363+481+87+268+243+249+27</f>
        <v>2800</v>
      </c>
      <c r="E237" s="616"/>
      <c r="F237" s="616"/>
      <c r="G237" s="616"/>
      <c r="H237" s="616"/>
      <c r="I237" s="616"/>
      <c r="J237" s="616"/>
      <c r="K237" s="1671">
        <f t="shared" si="20"/>
        <v>2800</v>
      </c>
      <c r="L237" s="466">
        <v>3035</v>
      </c>
    </row>
    <row r="238" spans="1:12" ht="12.75" customHeight="1" thickBot="1" x14ac:dyDescent="0.25">
      <c r="A238" s="1668" t="s">
        <v>560</v>
      </c>
      <c r="B238" s="1675" t="s">
        <v>716</v>
      </c>
      <c r="C238" s="616"/>
      <c r="D238" s="1670">
        <f>SUM(D232:D237)</f>
        <v>12800</v>
      </c>
      <c r="E238" s="616"/>
      <c r="F238" s="616"/>
      <c r="G238" s="616"/>
      <c r="H238" s="616"/>
      <c r="I238" s="616"/>
      <c r="J238" s="616"/>
      <c r="K238" s="1670">
        <f>SUM(K232:K237)</f>
        <v>12800</v>
      </c>
      <c r="L238" s="1670">
        <f>SUM(L232:L237)</f>
        <v>13170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105+130+51+212+80+1241</f>
        <v>1819</v>
      </c>
      <c r="E240" s="616"/>
      <c r="F240" s="616"/>
      <c r="G240" s="616"/>
      <c r="H240" s="616"/>
      <c r="I240" s="616"/>
      <c r="J240" s="616"/>
      <c r="K240" s="1672">
        <f>D240</f>
        <v>1819</v>
      </c>
      <c r="L240" s="481">
        <v>1840</v>
      </c>
    </row>
    <row r="241" spans="1:12" x14ac:dyDescent="0.2">
      <c r="A241" s="1504" t="s">
        <v>815</v>
      </c>
      <c r="B241" s="614">
        <v>2220</v>
      </c>
      <c r="C241" s="616"/>
      <c r="D241" s="466">
        <f>1096+1063+796+820+186+192</f>
        <v>4153</v>
      </c>
      <c r="E241" s="616"/>
      <c r="F241" s="616"/>
      <c r="G241" s="616"/>
      <c r="H241" s="616"/>
      <c r="I241" s="616"/>
      <c r="J241" s="616"/>
      <c r="K241" s="1672">
        <f>D241</f>
        <v>4153</v>
      </c>
      <c r="L241" s="466">
        <v>4250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5972</v>
      </c>
      <c r="E243" s="616"/>
      <c r="F243" s="616"/>
      <c r="G243" s="616"/>
      <c r="H243" s="616"/>
      <c r="I243" s="616"/>
      <c r="J243" s="616"/>
      <c r="K243" s="1670">
        <f>SUM(K240:K242)</f>
        <v>5972</v>
      </c>
      <c r="L243" s="1670">
        <f>SUM(L240:L242)</f>
        <v>6090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124+93+21+610+143</f>
        <v>991</v>
      </c>
      <c r="E245" s="616"/>
      <c r="F245" s="616"/>
      <c r="G245" s="616"/>
      <c r="H245" s="616"/>
      <c r="I245" s="616"/>
      <c r="J245" s="616"/>
      <c r="K245" s="1672">
        <f>D245</f>
        <v>991</v>
      </c>
      <c r="L245" s="481">
        <v>1120</v>
      </c>
    </row>
    <row r="246" spans="1:12" x14ac:dyDescent="0.2">
      <c r="A246" s="1504" t="s">
        <v>818</v>
      </c>
      <c r="B246" s="614">
        <v>2320</v>
      </c>
      <c r="C246" s="616"/>
      <c r="D246" s="466">
        <f>2597+2048+1491</f>
        <v>6136</v>
      </c>
      <c r="E246" s="616"/>
      <c r="F246" s="616"/>
      <c r="G246" s="616"/>
      <c r="H246" s="616"/>
      <c r="I246" s="616"/>
      <c r="J246" s="616"/>
      <c r="K246" s="1672">
        <f t="shared" ref="K246:K256" si="21">D246</f>
        <v>6136</v>
      </c>
      <c r="L246" s="466">
        <v>6150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7127</v>
      </c>
      <c r="E257" s="616"/>
      <c r="F257" s="616"/>
      <c r="G257" s="616"/>
      <c r="H257" s="616"/>
      <c r="I257" s="616"/>
      <c r="J257" s="616"/>
      <c r="K257" s="1670">
        <f>SUM(K245:K256)</f>
        <v>7127</v>
      </c>
      <c r="L257" s="1670">
        <f>SUM(L245:L256)</f>
        <v>7270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2235+3240+4152+1780+1695+2461+3157+1330+1963+2275+1597+1069</f>
        <v>26954</v>
      </c>
      <c r="E259" s="616"/>
      <c r="F259" s="616"/>
      <c r="G259" s="616"/>
      <c r="H259" s="616"/>
      <c r="I259" s="616"/>
      <c r="J259" s="616"/>
      <c r="K259" s="1672">
        <f>D259</f>
        <v>26954</v>
      </c>
      <c r="L259" s="481">
        <v>27170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26954</v>
      </c>
      <c r="E261" s="616"/>
      <c r="F261" s="616"/>
      <c r="G261" s="616"/>
      <c r="H261" s="616"/>
      <c r="I261" s="616"/>
      <c r="J261" s="616"/>
      <c r="K261" s="1670">
        <f>SUM(K259:K260)</f>
        <v>26954</v>
      </c>
      <c r="L261" s="1670">
        <f>SUM(L259:L260)</f>
        <v>27170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9099+8925+2087</f>
        <v>20111</v>
      </c>
      <c r="E264" s="616"/>
      <c r="F264" s="616"/>
      <c r="G264" s="616"/>
      <c r="H264" s="616"/>
      <c r="I264" s="616"/>
      <c r="J264" s="616"/>
      <c r="K264" s="1672">
        <f t="shared" ref="K264:K269" si="22">D264</f>
        <v>20111</v>
      </c>
      <c r="L264" s="466">
        <v>20175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11462+10816+8777+4193+2182+9153+8082+6692+3312+1692+2141+1890+1565+775+396</f>
        <v>73128</v>
      </c>
      <c r="E266" s="616"/>
      <c r="F266" s="616"/>
      <c r="G266" s="616"/>
      <c r="H266" s="616"/>
      <c r="I266" s="616"/>
      <c r="J266" s="616"/>
      <c r="K266" s="1672">
        <f t="shared" si="22"/>
        <v>73128</v>
      </c>
      <c r="L266" s="466">
        <v>73645</v>
      </c>
    </row>
    <row r="267" spans="1:14" x14ac:dyDescent="0.2">
      <c r="A267" s="1504" t="s">
        <v>953</v>
      </c>
      <c r="B267" s="614">
        <v>2550</v>
      </c>
      <c r="C267" s="616"/>
      <c r="D267" s="466">
        <f>409+307+58+38+77+6</f>
        <v>895</v>
      </c>
      <c r="E267" s="616"/>
      <c r="F267" s="616"/>
      <c r="G267" s="616"/>
      <c r="H267" s="616"/>
      <c r="I267" s="616"/>
      <c r="J267" s="616"/>
      <c r="K267" s="1672">
        <f t="shared" si="22"/>
        <v>895</v>
      </c>
      <c r="L267" s="466">
        <v>940</v>
      </c>
    </row>
    <row r="268" spans="1:14" x14ac:dyDescent="0.2">
      <c r="A268" s="1504" t="s">
        <v>100</v>
      </c>
      <c r="B268" s="614">
        <v>2560</v>
      </c>
      <c r="C268" s="616"/>
      <c r="D268" s="466">
        <f>1819+1369+320</f>
        <v>3508</v>
      </c>
      <c r="E268" s="616"/>
      <c r="F268" s="616"/>
      <c r="G268" s="616"/>
      <c r="H268" s="616"/>
      <c r="I268" s="616"/>
      <c r="J268" s="616"/>
      <c r="K268" s="1672">
        <f t="shared" si="22"/>
        <v>3508</v>
      </c>
      <c r="L268" s="466">
        <v>3625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97642</v>
      </c>
      <c r="E270" s="616"/>
      <c r="F270" s="616"/>
      <c r="G270" s="616"/>
      <c r="H270" s="616"/>
      <c r="I270" s="616"/>
      <c r="J270" s="616"/>
      <c r="K270" s="1670">
        <f>SUM(K263:K269)</f>
        <v>97642</v>
      </c>
      <c r="L270" s="1670">
        <f>SUM(L263:L269)</f>
        <v>98385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150495</v>
      </c>
      <c r="E279" s="616"/>
      <c r="F279" s="616"/>
      <c r="G279" s="616"/>
      <c r="H279" s="616"/>
      <c r="I279" s="616"/>
      <c r="J279" s="616"/>
      <c r="K279" s="1677">
        <f>SUM(K238,K243,K257,K261,K270,K277,K278)</f>
        <v>150495</v>
      </c>
      <c r="L279" s="1677">
        <f>SUM(L238,L243,L257,L261,L270,L277,L278)</f>
        <v>152085</v>
      </c>
    </row>
    <row r="280" spans="1:12" ht="15.75" customHeight="1" thickTop="1" thickBot="1" x14ac:dyDescent="0.25">
      <c r="A280" s="1624" t="s">
        <v>875</v>
      </c>
      <c r="B280" s="1613">
        <v>3000</v>
      </c>
      <c r="C280" s="616"/>
      <c r="D280" s="576">
        <f>430+1957+685+1461+160+342</f>
        <v>5035</v>
      </c>
      <c r="E280" s="616"/>
      <c r="F280" s="616"/>
      <c r="G280" s="616"/>
      <c r="H280" s="616"/>
      <c r="I280" s="616"/>
      <c r="J280" s="616"/>
      <c r="K280" s="1679">
        <f>D280</f>
        <v>5035</v>
      </c>
      <c r="L280" s="576">
        <v>5200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222230</v>
      </c>
      <c r="E295" s="616"/>
      <c r="F295" s="616"/>
      <c r="G295" s="616"/>
      <c r="H295" s="1670">
        <f>H293</f>
        <v>0</v>
      </c>
      <c r="I295" s="616"/>
      <c r="J295" s="616"/>
      <c r="K295" s="1670">
        <f>SUM(K229,K279,K280,K285,K293,K294)</f>
        <v>222230</v>
      </c>
      <c r="L295" s="1670">
        <f>SUM(L229,L279,L280,L285,L293,L294)</f>
        <v>225185</v>
      </c>
    </row>
    <row r="296" spans="1:14" ht="13.5" thickTop="1" x14ac:dyDescent="0.2">
      <c r="A296" s="2156" t="s">
        <v>996</v>
      </c>
      <c r="B296" s="2157"/>
      <c r="C296" s="616"/>
      <c r="D296" s="618"/>
      <c r="E296" s="616"/>
      <c r="F296" s="616"/>
      <c r="G296" s="616"/>
      <c r="H296" s="687"/>
      <c r="I296" s="616"/>
      <c r="J296" s="616"/>
      <c r="K296" s="1684">
        <f>'Revenues 9-14'!G268-'Expenditures 15-22'!K295</f>
        <v>18395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f>43170+280+6500+20851</f>
        <v>70801</v>
      </c>
      <c r="F301" s="466"/>
      <c r="G301" s="466">
        <f>47043+260171+106171+3738</f>
        <v>417123</v>
      </c>
      <c r="H301" s="466"/>
      <c r="I301" s="467"/>
      <c r="J301" s="467"/>
      <c r="K301" s="1671">
        <f>SUM(C301:J301)</f>
        <v>487924</v>
      </c>
      <c r="L301" s="467">
        <v>491810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70801</v>
      </c>
      <c r="F303" s="1677">
        <f t="shared" si="23"/>
        <v>0</v>
      </c>
      <c r="G303" s="1677">
        <f t="shared" si="23"/>
        <v>417123</v>
      </c>
      <c r="H303" s="1677">
        <f t="shared" si="23"/>
        <v>0</v>
      </c>
      <c r="I303" s="1677">
        <f t="shared" si="23"/>
        <v>0</v>
      </c>
      <c r="J303" s="1677">
        <f t="shared" si="23"/>
        <v>0</v>
      </c>
      <c r="K303" s="1677">
        <f t="shared" si="23"/>
        <v>487924</v>
      </c>
      <c r="L303" s="1677">
        <f t="shared" si="23"/>
        <v>491810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70801</v>
      </c>
      <c r="F312" s="1670">
        <f>SUM(F303)</f>
        <v>0</v>
      </c>
      <c r="G312" s="1670">
        <f>SUM(G303)</f>
        <v>417123</v>
      </c>
      <c r="H312" s="1670">
        <f>SUM(H303,H310)</f>
        <v>0</v>
      </c>
      <c r="I312" s="1670">
        <f>SUM(I303)</f>
        <v>0</v>
      </c>
      <c r="J312" s="1670">
        <f>SUM(J303)</f>
        <v>0</v>
      </c>
      <c r="K312" s="1670">
        <f>SUM(K303,K310,K311)</f>
        <v>487924</v>
      </c>
      <c r="L312" s="1670">
        <f>SUM(L303,L310,L311)</f>
        <v>491810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524864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f>85988+28904</f>
        <v>114892</v>
      </c>
      <c r="F322" s="467"/>
      <c r="G322" s="467"/>
      <c r="H322" s="467"/>
      <c r="I322" s="467"/>
      <c r="J322" s="467"/>
      <c r="K322" s="1671">
        <f t="shared" si="24"/>
        <v>114892</v>
      </c>
      <c r="L322" s="467">
        <v>115000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51998</v>
      </c>
      <c r="F327" s="467"/>
      <c r="G327" s="467"/>
      <c r="H327" s="467"/>
      <c r="I327" s="467"/>
      <c r="J327" s="467"/>
      <c r="K327" s="1671">
        <f t="shared" si="24"/>
        <v>51998</v>
      </c>
      <c r="L327" s="467">
        <v>52000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166890</v>
      </c>
      <c r="F330" s="1670">
        <f t="shared" si="25"/>
        <v>0</v>
      </c>
      <c r="G330" s="1670">
        <f t="shared" si="25"/>
        <v>0</v>
      </c>
      <c r="H330" s="1670">
        <f t="shared" si="25"/>
        <v>0</v>
      </c>
      <c r="I330" s="1670">
        <f t="shared" si="25"/>
        <v>0</v>
      </c>
      <c r="J330" s="1670">
        <f t="shared" si="25"/>
        <v>0</v>
      </c>
      <c r="K330" s="1670">
        <f>SUM(K319:K329)</f>
        <v>166890</v>
      </c>
      <c r="L330" s="1670">
        <f>SUM(L319:L329)</f>
        <v>167000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166890</v>
      </c>
      <c r="F342" s="1670">
        <f>SUM(F330)</f>
        <v>0</v>
      </c>
      <c r="G342" s="1670">
        <f>SUM(G330)</f>
        <v>0</v>
      </c>
      <c r="H342" s="1670">
        <f>SUM(H330,H334,H340)</f>
        <v>0</v>
      </c>
      <c r="I342" s="1670">
        <f>SUM(I330)</f>
        <v>0</v>
      </c>
      <c r="J342" s="1670">
        <f>SUM(J330)</f>
        <v>0</v>
      </c>
      <c r="K342" s="1670">
        <f>SUM(K330,K334,K340)</f>
        <v>166890</v>
      </c>
      <c r="L342" s="1677">
        <f>SUM(L330,L340,L341)</f>
        <v>167000</v>
      </c>
    </row>
    <row r="343" spans="1:14" ht="12.75" customHeight="1" thickTop="1" x14ac:dyDescent="0.2">
      <c r="A343" s="2169" t="s">
        <v>996</v>
      </c>
      <c r="B343" s="2170"/>
      <c r="C343" s="616"/>
      <c r="D343" s="616"/>
      <c r="E343" s="616"/>
      <c r="F343" s="616"/>
      <c r="G343" s="616"/>
      <c r="H343" s="616"/>
      <c r="I343" s="616"/>
      <c r="J343" s="616"/>
      <c r="K343" s="1684">
        <f>'Revenues 9-14'!J268-'Expenditures 15-22'!K342</f>
        <v>-5575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f>61630</f>
        <v>61630</v>
      </c>
      <c r="F349" s="466"/>
      <c r="G349" s="466"/>
      <c r="H349" s="466"/>
      <c r="I349" s="467"/>
      <c r="J349" s="467"/>
      <c r="K349" s="1671">
        <f>SUM(C349:J349)</f>
        <v>61630</v>
      </c>
      <c r="L349" s="466">
        <v>63075</v>
      </c>
    </row>
    <row r="350" spans="1:14" ht="12.75" customHeight="1" thickBot="1" x14ac:dyDescent="0.25">
      <c r="A350" s="1668" t="s">
        <v>719</v>
      </c>
      <c r="B350" s="1669" t="s">
        <v>35</v>
      </c>
      <c r="C350" s="1670">
        <f>SUM(C348:C349)</f>
        <v>0</v>
      </c>
      <c r="D350" s="1670">
        <f t="shared" ref="D350:L350" si="26">SUM(D348:D349)</f>
        <v>0</v>
      </c>
      <c r="E350" s="1670">
        <f t="shared" si="26"/>
        <v>61630</v>
      </c>
      <c r="F350" s="1670">
        <f t="shared" si="26"/>
        <v>0</v>
      </c>
      <c r="G350" s="1670">
        <f t="shared" si="26"/>
        <v>0</v>
      </c>
      <c r="H350" s="1670">
        <f t="shared" si="26"/>
        <v>0</v>
      </c>
      <c r="I350" s="1670">
        <f t="shared" si="26"/>
        <v>0</v>
      </c>
      <c r="J350" s="1670">
        <f t="shared" si="26"/>
        <v>0</v>
      </c>
      <c r="K350" s="1670">
        <f t="shared" si="26"/>
        <v>61630</v>
      </c>
      <c r="L350" s="1670">
        <f t="shared" si="26"/>
        <v>63075</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61630</v>
      </c>
      <c r="F352" s="1670">
        <f t="shared" si="27"/>
        <v>0</v>
      </c>
      <c r="G352" s="1670">
        <f t="shared" si="27"/>
        <v>0</v>
      </c>
      <c r="H352" s="1670">
        <f t="shared" si="27"/>
        <v>0</v>
      </c>
      <c r="I352" s="1670">
        <f t="shared" si="27"/>
        <v>0</v>
      </c>
      <c r="J352" s="1670">
        <f t="shared" si="27"/>
        <v>0</v>
      </c>
      <c r="K352" s="1670">
        <f t="shared" si="27"/>
        <v>61630</v>
      </c>
      <c r="L352" s="1670">
        <f t="shared" si="27"/>
        <v>63075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61630</v>
      </c>
      <c r="F367" s="1670">
        <f t="shared" si="28"/>
        <v>0</v>
      </c>
      <c r="G367" s="1670">
        <f t="shared" si="28"/>
        <v>0</v>
      </c>
      <c r="H367" s="1670">
        <f t="shared" si="28"/>
        <v>0</v>
      </c>
      <c r="I367" s="1670">
        <f t="shared" si="28"/>
        <v>0</v>
      </c>
      <c r="J367" s="1670">
        <f t="shared" si="28"/>
        <v>0</v>
      </c>
      <c r="K367" s="1670">
        <f t="shared" si="28"/>
        <v>61630</v>
      </c>
      <c r="L367" s="1670">
        <f t="shared" si="28"/>
        <v>63075</v>
      </c>
    </row>
    <row r="368" spans="1:14" ht="13.5" thickTop="1" x14ac:dyDescent="0.2">
      <c r="A368" s="2156" t="s">
        <v>996</v>
      </c>
      <c r="B368" s="2157"/>
      <c r="C368" s="654"/>
      <c r="D368" s="654"/>
      <c r="E368" s="626"/>
      <c r="F368" s="626"/>
      <c r="G368" s="626"/>
      <c r="H368" s="626"/>
      <c r="I368" s="626"/>
      <c r="J368" s="623"/>
      <c r="K368" s="1671">
        <f>'Revenues 9-14'!K268-'Expenditures 15-22'!K367</f>
        <v>-28657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purl.org/dc/elements/1.1/"/>
    <ds:schemaRef ds:uri="http://schemas.microsoft.com/office/infopath/2007/PartnerControls"/>
    <ds:schemaRef ds:uri="4d435f69-8686-490b-bd6d-b153bf22ab50"/>
    <ds:schemaRef ds:uri="d21dc803-237d-4c68-8692-8d731fd29118"/>
    <ds:schemaRef ds:uri="http://purl.org/dc/dcmitype/"/>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2019-10-02T13:01:54Z</cp:lastPrinted>
  <dcterms:created xsi:type="dcterms:W3CDTF">2003-10-29T19:06:34Z</dcterms:created>
  <dcterms:modified xsi:type="dcterms:W3CDTF">2019-11-05T15:53:54Z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