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Errors Michelle\"/>
    </mc:Choice>
  </mc:AlternateContent>
  <xr:revisionPtr revIDLastSave="0" documentId="13_ncr:1_{72A41667-819D-4056-9EBF-1A28B3EBE7C9}" xr6:coauthVersionLast="36" xr6:coauthVersionMax="45" xr10:uidLastSave="{00000000-0000-0000-0000-000000000000}"/>
  <bookViews>
    <workbookView xWindow="-120" yWindow="-120" windowWidth="25440" windowHeight="153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1" sheetId="183" r:id="rId28"/>
    <sheet name="SEFA-2" sheetId="184" r:id="rId29"/>
    <sheet name="SEFA-3" sheetId="185" r:id="rId30"/>
    <sheet name="SEFA-4" sheetId="186" r:id="rId31"/>
    <sheet name="SEFA NOTES" sheetId="173" r:id="rId32"/>
    <sheet name="SF&amp;QC Sec-1" sheetId="174" r:id="rId33"/>
    <sheet name="SF&amp;QC Sec-2.1" sheetId="175" r:id="rId34"/>
    <sheet name="SF&amp;QC Sec 2.2" sheetId="187" r:id="rId35"/>
    <sheet name="SF&amp;QC Sec-3.1" sheetId="176" r:id="rId36"/>
    <sheet name="SF&amp;QC Sec 3.2" sheetId="188" r:id="rId37"/>
    <sheet name="SSPAF" sheetId="177" r:id="rId38"/>
  </sheets>
  <definedNames>
    <definedName name="_xlnm.Print_Area" localSheetId="31">'SEFA NOTES'!$A$1:$F$52</definedName>
    <definedName name="_xlnm.Print_Area" localSheetId="26">'SEFA Reconcile'!$A$1:$E$49</definedName>
    <definedName name="_xlnm.Print_Area" localSheetId="32">'SF&amp;QC Sec-1'!$A$1:$J$63</definedName>
    <definedName name="_xlnm.Print_Area" localSheetId="35">'SF&amp;QC Sec-3.1'!$A$1:$K$48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5">#REF!</definedName>
    <definedName name="SCHADDRS" localSheetId="25">#REF!</definedName>
    <definedName name="SCHADDRS" localSheetId="24">#REF!</definedName>
    <definedName name="SCHADDRS" localSheetId="37">#REF!</definedName>
    <definedName name="SCHADDRS">#REF!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5">#REF!</definedName>
    <definedName name="SCHCTY" localSheetId="25">#REF!</definedName>
    <definedName name="SCHCTY" localSheetId="24">#REF!</definedName>
    <definedName name="SCHCTY" localSheetId="37">#REF!</definedName>
    <definedName name="SCHCTY">#REF!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5">#REF!</definedName>
    <definedName name="SCHNMBR" localSheetId="25">#REF!</definedName>
    <definedName name="SCHNMBR" localSheetId="24">#REF!</definedName>
    <definedName name="SCHNMBR" localSheetId="37">#REF!</definedName>
    <definedName name="SCHNMBR">#REF!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5">#REF!</definedName>
    <definedName name="SCHNME" localSheetId="25">#REF!</definedName>
    <definedName name="SCHNME" localSheetId="24">#REF!</definedName>
    <definedName name="SCHNME" localSheetId="37">#REF!</definedName>
    <definedName name="SCHNME">#REF!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5">#REF!</definedName>
    <definedName name="SUPT" localSheetId="25">#REF!</definedName>
    <definedName name="SUPT" localSheetId="24">#REF!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8" l="1"/>
  <c r="B4" i="187"/>
  <c r="F32" i="127" l="1"/>
  <c r="F24" i="127"/>
  <c r="F12" i="127"/>
  <c r="F7" i="127"/>
  <c r="M15" i="186" l="1"/>
  <c r="M17" i="186" s="1"/>
  <c r="K15" i="186"/>
  <c r="K17" i="186" s="1"/>
  <c r="J15" i="186"/>
  <c r="J17" i="186" s="1"/>
  <c r="I15" i="186"/>
  <c r="I17" i="186" s="1"/>
  <c r="H15" i="186"/>
  <c r="H17" i="186" s="1"/>
  <c r="G15" i="186"/>
  <c r="L15" i="186" s="1"/>
  <c r="F15" i="186"/>
  <c r="F17" i="186" s="1"/>
  <c r="E15" i="186"/>
  <c r="E17" i="186" s="1"/>
  <c r="M23" i="185"/>
  <c r="K23" i="185"/>
  <c r="J23" i="185"/>
  <c r="I23" i="185"/>
  <c r="H23" i="185"/>
  <c r="G23" i="185"/>
  <c r="F23" i="185"/>
  <c r="E23" i="185"/>
  <c r="M18" i="185"/>
  <c r="K18" i="185"/>
  <c r="J18" i="185"/>
  <c r="I18" i="185"/>
  <c r="H18" i="185"/>
  <c r="G18" i="185"/>
  <c r="F18" i="185"/>
  <c r="E18" i="185"/>
  <c r="M27" i="184"/>
  <c r="M13" i="185" s="1"/>
  <c r="K27" i="184"/>
  <c r="K13" i="185" s="1"/>
  <c r="J27" i="184"/>
  <c r="J13" i="185" s="1"/>
  <c r="I27" i="184"/>
  <c r="I13" i="185" s="1"/>
  <c r="H27" i="184"/>
  <c r="H13" i="185" s="1"/>
  <c r="G27" i="184"/>
  <c r="G13" i="185" s="1"/>
  <c r="F27" i="184"/>
  <c r="F13" i="185" s="1"/>
  <c r="E27" i="184"/>
  <c r="E13" i="185" s="1"/>
  <c r="M22" i="184"/>
  <c r="K22" i="184"/>
  <c r="J22" i="184"/>
  <c r="I22" i="184"/>
  <c r="H22" i="184"/>
  <c r="G22" i="184"/>
  <c r="F22" i="184"/>
  <c r="E22" i="184"/>
  <c r="M16" i="184"/>
  <c r="K16" i="184"/>
  <c r="J16" i="184"/>
  <c r="I16" i="184"/>
  <c r="H16" i="184"/>
  <c r="G16" i="184"/>
  <c r="F16" i="184"/>
  <c r="E16" i="184"/>
  <c r="M24" i="183"/>
  <c r="M26" i="183" s="1"/>
  <c r="M28" i="183" s="1"/>
  <c r="K24" i="183"/>
  <c r="K26" i="183" s="1"/>
  <c r="K28" i="183" s="1"/>
  <c r="J24" i="183"/>
  <c r="J26" i="183" s="1"/>
  <c r="J28" i="183" s="1"/>
  <c r="I24" i="183"/>
  <c r="I26" i="183" s="1"/>
  <c r="I28" i="183" s="1"/>
  <c r="H24" i="183"/>
  <c r="H26" i="183" s="1"/>
  <c r="H28" i="183" s="1"/>
  <c r="G24" i="183"/>
  <c r="G26" i="183" s="1"/>
  <c r="F24" i="183"/>
  <c r="F26" i="183" s="1"/>
  <c r="F28" i="183" s="1"/>
  <c r="E24" i="183"/>
  <c r="E26" i="183" s="1"/>
  <c r="E28" i="183" s="1"/>
  <c r="M15" i="183"/>
  <c r="K15" i="183"/>
  <c r="J15" i="183"/>
  <c r="I15" i="183"/>
  <c r="H15" i="183"/>
  <c r="G15" i="183"/>
  <c r="F15" i="183"/>
  <c r="E15" i="183"/>
  <c r="L14" i="186"/>
  <c r="L13" i="186"/>
  <c r="B4" i="186"/>
  <c r="L22" i="185"/>
  <c r="L21" i="185"/>
  <c r="L18" i="185"/>
  <c r="L17" i="185"/>
  <c r="L16" i="185"/>
  <c r="B4" i="185"/>
  <c r="L26" i="184"/>
  <c r="L25" i="184"/>
  <c r="L22" i="184"/>
  <c r="L21" i="184"/>
  <c r="L20" i="184"/>
  <c r="L19" i="184"/>
  <c r="L16" i="184"/>
  <c r="L15" i="184"/>
  <c r="L14" i="184"/>
  <c r="L13" i="184"/>
  <c r="B4" i="184"/>
  <c r="L23" i="183"/>
  <c r="L22" i="183"/>
  <c r="L21" i="183"/>
  <c r="L20" i="183"/>
  <c r="L19" i="183"/>
  <c r="L18" i="183"/>
  <c r="L14" i="183"/>
  <c r="L13" i="183"/>
  <c r="B4" i="183"/>
  <c r="E25" i="185" l="1"/>
  <c r="E19" i="186" s="1"/>
  <c r="I25" i="185"/>
  <c r="I19" i="186" s="1"/>
  <c r="F25" i="185"/>
  <c r="F19" i="186" s="1"/>
  <c r="J25" i="185"/>
  <c r="J19" i="186" s="1"/>
  <c r="G28" i="183"/>
  <c r="L28" i="183" s="1"/>
  <c r="L26" i="183"/>
  <c r="G25" i="185"/>
  <c r="K25" i="185"/>
  <c r="H25" i="185"/>
  <c r="H19" i="186" s="1"/>
  <c r="M25" i="185"/>
  <c r="M19" i="186"/>
  <c r="L23" i="185"/>
  <c r="L15" i="183"/>
  <c r="G17" i="186"/>
  <c r="G19" i="186" s="1"/>
  <c r="L17" i="186"/>
  <c r="L13" i="185"/>
  <c r="L27" i="184"/>
  <c r="L24" i="183"/>
  <c r="F124" i="29"/>
  <c r="L25" i="185" l="1"/>
  <c r="K19" i="186"/>
  <c r="L19" i="186"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8"/>
  <c r="B1" i="183"/>
  <c r="B1" i="186"/>
  <c r="B1" i="184"/>
  <c r="B1" i="185"/>
  <c r="B2" i="188"/>
  <c r="B2" i="187"/>
  <c r="B2" i="186"/>
  <c r="B2" i="185"/>
  <c r="B2" i="183"/>
  <c r="B2" i="184"/>
  <c r="B2" i="177"/>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B7719" i="106" s="1"/>
  <c r="D7719" i="106" s="1"/>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B5304" i="106" s="1"/>
  <c r="D5304" i="106" s="1"/>
  <c r="C252" i="5"/>
  <c r="B7761" i="106"/>
  <c r="D7761" i="106" s="1"/>
  <c r="L127" i="29"/>
  <c r="L129" i="29" s="1"/>
  <c r="L139" i="29"/>
  <c r="L149" i="29"/>
  <c r="I7" i="145"/>
  <c r="I6" i="145"/>
  <c r="D78" i="36"/>
  <c r="K75" i="29"/>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B6999" i="106" s="1"/>
  <c r="D6999" i="106" s="1"/>
  <c r="K95" i="29"/>
  <c r="K96" i="29"/>
  <c r="K97" i="29"/>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K251" i="29"/>
  <c r="K252" i="29"/>
  <c r="B7090" i="106" s="1"/>
  <c r="D7090" i="106" s="1"/>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9" i="36"/>
  <c r="D71" i="36"/>
  <c r="D72" i="36"/>
  <c r="D79" i="36"/>
  <c r="B62" i="127"/>
  <c r="B63" i="127"/>
  <c r="E26" i="108"/>
  <c r="G26" i="108"/>
  <c r="D27" i="108"/>
  <c r="E27" i="108"/>
  <c r="F27" i="108"/>
  <c r="G27" i="108"/>
  <c r="F31" i="108"/>
  <c r="F36" i="108"/>
  <c r="F37" i="108"/>
  <c r="G28" i="108"/>
  <c r="E29" i="108"/>
  <c r="G29" i="108"/>
  <c r="D31" i="108"/>
  <c r="D36" i="108"/>
  <c r="D37" i="108"/>
  <c r="E31" i="108"/>
  <c r="G31" i="108"/>
  <c r="E33" i="108"/>
  <c r="G33"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29" i="118"/>
  <c r="D11" i="37"/>
  <c r="D22" i="37"/>
  <c r="L22" i="37"/>
  <c r="D24" i="37"/>
  <c r="B4270" i="106" s="1"/>
  <c r="D4270" i="106" s="1"/>
  <c r="D9" i="7"/>
  <c r="B1767" i="106" s="1"/>
  <c r="D1767" i="106" s="1"/>
  <c r="D17" i="7"/>
  <c r="B4104" i="106" s="1"/>
  <c r="D4104" i="106" s="1"/>
  <c r="L15" i="11" l="1"/>
  <c r="B3459" i="106" s="1"/>
  <c r="D3459" i="106" s="1"/>
  <c r="J352" i="29"/>
  <c r="J367" i="29" s="1"/>
  <c r="B7245" i="106" s="1"/>
  <c r="N22" i="3"/>
  <c r="B283" i="106" s="1"/>
  <c r="D283" i="106" s="1"/>
  <c r="H33" i="118"/>
  <c r="B1124" i="106"/>
  <c r="D1124" i="106" s="1"/>
  <c r="F19" i="7"/>
  <c r="B1807" i="106" s="1"/>
  <c r="D1807" i="106" s="1"/>
  <c r="F70" i="34"/>
  <c r="F62" i="34"/>
  <c r="G38" i="108"/>
  <c r="F26" i="108"/>
  <c r="B6995" i="106"/>
  <c r="D6995" i="106" s="1"/>
  <c r="J22" i="37"/>
  <c r="F34" i="34"/>
  <c r="E38" i="108"/>
  <c r="G30" i="108"/>
  <c r="F28" i="108"/>
  <c r="F41" i="108" s="1"/>
  <c r="G43" i="108" s="1"/>
  <c r="D68" i="36"/>
  <c r="B7235" i="106"/>
  <c r="D7235" i="106" s="1"/>
  <c r="H365" i="29"/>
  <c r="B7242" i="106" s="1"/>
  <c r="D7242" i="106" s="1"/>
  <c r="F77" i="4"/>
  <c r="B3255" i="106" s="1"/>
  <c r="D3255" i="106" s="1"/>
  <c r="I24" i="12"/>
  <c r="L5" i="11"/>
  <c r="B2056" i="106" s="1"/>
  <c r="D2056" i="106" s="1"/>
  <c r="E30" i="108"/>
  <c r="E28" i="108"/>
  <c r="D26" i="108"/>
  <c r="D41" i="108" s="1"/>
  <c r="E43" i="108" s="1"/>
  <c r="D54" i="36"/>
  <c r="H76" i="4"/>
  <c r="B3298" i="106" s="1"/>
  <c r="D3298" i="106" s="1"/>
  <c r="J41" i="3"/>
  <c r="D51" i="36" s="1"/>
  <c r="K184" i="29"/>
  <c r="F13" i="4" s="1"/>
  <c r="B2596" i="106" s="1"/>
  <c r="D2596" i="106" s="1"/>
  <c r="G210" i="29"/>
  <c r="G15" i="145"/>
  <c r="K41" i="3"/>
  <c r="C129" i="29"/>
  <c r="C151" i="29" s="1"/>
  <c r="B1226" i="106" s="1"/>
  <c r="D1226" i="106" s="1"/>
  <c r="L367" i="29"/>
  <c r="D7245" i="106"/>
  <c r="D6103" i="106"/>
  <c r="B3647" i="106"/>
  <c r="D3647" i="106" s="1"/>
  <c r="C352" i="29"/>
  <c r="K76" i="4"/>
  <c r="B3586" i="106" s="1"/>
  <c r="D3586" i="106" s="1"/>
  <c r="L13" i="11"/>
  <c r="B2060" i="106" s="1"/>
  <c r="D2060" i="106" s="1"/>
  <c r="B1308" i="106"/>
  <c r="D1308" i="106" s="1"/>
  <c r="E174" i="29"/>
  <c r="B1309" i="106" s="1"/>
  <c r="D1309" i="106" s="1"/>
  <c r="K28" i="118"/>
  <c r="O27" i="118" s="1"/>
  <c r="O29" i="118" s="1"/>
  <c r="L342" i="29"/>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44" i="36" l="1"/>
  <c r="C114" i="29"/>
  <c r="B757" i="106" s="1"/>
  <c r="D757" i="106" s="1"/>
  <c r="F174" i="34"/>
  <c r="B5527" i="106"/>
  <c r="D5527" i="106" s="1"/>
  <c r="B6216" i="106"/>
  <c r="D6216" i="106" s="1"/>
  <c r="B1996" i="106"/>
  <c r="D1996" i="106" s="1"/>
  <c r="I26" i="12"/>
  <c r="B7741" i="106" s="1"/>
  <c r="D7741" i="106" s="1"/>
  <c r="K365" i="29"/>
  <c r="D7253" i="106"/>
  <c r="D7254" i="106"/>
  <c r="J16" i="4"/>
  <c r="B6226" i="106" s="1"/>
  <c r="D6226" i="106" s="1"/>
  <c r="D7250" i="106"/>
  <c r="L16" i="11"/>
  <c r="B2061" i="106" s="1"/>
  <c r="D2061" i="106" s="1"/>
  <c r="L114" i="29"/>
  <c r="B5778" i="106"/>
  <c r="D5778" i="106" s="1"/>
  <c r="G6" i="4"/>
  <c r="B2604" i="106" s="1"/>
  <c r="D2604" i="106" s="1"/>
  <c r="K342" i="29"/>
  <c r="F13" i="34" s="1"/>
  <c r="B1365" i="106"/>
  <c r="D1365" i="106" s="1"/>
  <c r="F65"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20" i="4"/>
  <c r="B6227" i="106"/>
  <c r="D6227"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<sst xmlns="http://schemas.openxmlformats.org/spreadsheetml/2006/main" count="5479" uniqueCount="2243">
  <si>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</si>
  <si>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</si>
  <si>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</si>
  <si>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</si>
  <si>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</si>
  <si>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</si>
  <si>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</si>
  <si>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</si>
  <si>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</si>
  <si>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</si>
  <si>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</si>
  <si>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</si>
  <si>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</si>
  <si>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</si>
  <si>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</si>
  <si>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</si>
  <si>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</si>
  <si>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</si>
  <si>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</si>
  <si>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</si>
  <si>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</si>
  <si>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</si>
  <si>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</si>
  <si>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</si>
  <si>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</si>
  <si>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</si>
  <si>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</si>
  <si>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</si>
  <si>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</si>
  <si>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</si>
  <si>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</si>
  <si>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</si>
  <si>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</si>
  <si>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</si>
  <si>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</si>
  <si>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</si>
  <si>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</si>
  <si>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</si>
  <si>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</si>
  <si>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</si>
  <si>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</si>
  <si>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</si>
  <si>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</si>
  <si>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</si>
  <si>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</si>
  <si>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</si>
  <si>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</si>
  <si>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</si>
  <si>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</si>
  <si>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</si>
  <si>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</si>
  <si>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</si>
  <si>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</si>
  <si>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</si>
  <si>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</si>
  <si>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</si>
  <si>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</si>
  <si>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</si>
  <si>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</si>
  <si>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</si>
  <si>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</si>
  <si>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</si>
  <si>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</si>
  <si>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</si>
  <si>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</si>
  <si>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</si>
  <si>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</si>
  <si>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</si>
  <si>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</si>
  <si>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</si>
  <si>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</si>
  <si>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</si>
  <si>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</si>
  <si>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</si>
  <si>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</si>
  <si>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</si>
  <si>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</si>
  <si>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</si>
  <si>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</si>
  <si>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</si>
  <si>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</si>
  <si>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</si>
  <si>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</si>
  <si>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</si>
  <si>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</si>
  <si>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</si>
  <si>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</si>
  <si>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</si>
  <si>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</si>
  <si>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</si>
  <si>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</si>
  <si>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</si>
  <si>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</si>
  <si>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</si>
  <si>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</si>
  <si>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</si>
  <si>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</si>
  <si>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</si>
  <si>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</si>
  <si>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</si>
  <si>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</si>
  <si>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</si>
  <si>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</si>
  <si>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</si>
  <si>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</si>
  <si>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</si>
  <si>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</si>
  <si>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</si>
  <si>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</si>
  <si>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</si>
  <si>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</si>
  <si>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</si>
  <si>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</si>
  <si>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</si>
  <si>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</si>
  <si>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</si>
  <si>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</si>
  <si>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</si>
  <si>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</si>
  <si>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</si>
  <si>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</si>
  <si>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</si>
  <si>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</si>
  <si>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</si>
  <si>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</si>
  <si>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</si>
  <si>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</si>
  <si>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</si>
  <si>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</si>
  <si>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</si>
  <si>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</si>
  <si>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</si>
  <si>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</si>
  <si>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</si>
  <si>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</si>
  <si>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</si>
  <si>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</si>
  <si>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</si>
  <si>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</si>
  <si>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</si>
  <si>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</si>
  <si>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</si>
  <si>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</si>
  <si>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</si>
  <si>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</si>
  <si>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</si>
  <si>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</si>
  <si>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</si>
  <si>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</si>
  <si>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</si>
  <si>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</si>
  <si>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</si>
  <si>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</si>
  <si>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</si>
  <si>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</si>
  <si>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</si>
  <si>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</si>
  <si>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</si>
  <si>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</si>
  <si>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</si>
  <si>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</si>
  <si>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</si>
  <si>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</si>
  <si>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</si>
  <si>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</si>
  <si>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</si>
  <si>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</si>
  <si>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</si>
  <si>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</si>
  <si>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</si>
  <si>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</si>
  <si>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</si>
  <si>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</si>
  <si>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</si>
  <si>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</si>
  <si>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</si>
  <si>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</si>
  <si>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</si>
  <si>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</si>
  <si>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</si>
  <si>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</si>
  <si>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</si>
  <si>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</si>
  <si>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</si>
  <si>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</si>
  <si>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</si>
  <si>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</si>
  <si>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</si>
  <si>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</si>
  <si>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</si>
  <si>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</si>
  <si>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</si>
  <si>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</si>
  <si>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</si>
  <si>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</si>
  <si>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</si>
  <si>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</si>
  <si>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</si>
  <si>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</si>
  <si>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</si>
  <si>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</si>
  <si>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</si>
  <si>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</si>
  <si>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</si>
  <si>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</si>
  <si>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</si>
  <si>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</si>
  <si>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</si>
  <si>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</si>
  <si>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</si>
  <si>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</si>
  <si>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</si>
  <si>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</si>
  <si>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</si>
  <si>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</si>
  <si>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</si>
  <si>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</si>
  <si>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</si>
  <si>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</si>
  <si>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</si>
  <si>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</si>
  <si>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</si>
  <si>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</si>
  <si>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</si>
  <si>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</si>
  <si>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</si>
  <si>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</si>
  <si>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</si>
  <si>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</si>
  <si>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</si>
  <si>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</si>
  <si>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</si>
  <si>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</si>
  <si>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</si>
  <si>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</si>
  <si>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</si>
  <si>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</si>
  <si>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</si>
  <si>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</si>
  <si>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</si>
  <si>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</si>
  <si>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</si>
  <si>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</si>
  <si>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</si>
  <si>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</si>
  <si>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</si>
  <si>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</si>
  <si>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</si>
  <si>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</si>
  <si>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</si>
  <si>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</si>
  <si>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</si>
  <si>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</si>
  <si>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</si>
  <si>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</si>
  <si>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</si>
  <si>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</si>
  <si>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</si>
  <si>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</si>
  <si>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</si>
  <si>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</si>
  <si>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</si>
  <si>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</si>
  <si>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</si>
  <si>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</si>
  <si>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</si>
  <si>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</si>
  <si>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</si>
  <si>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</si>
  <si>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</si>
  <si>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</si>
  <si>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</si>
  <si>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</si>
  <si>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</si>
  <si>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</si>
  <si>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</si>
  <si>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</si>
  <si>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</si>
  <si>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</si>
  <si>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</si>
  <si>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</si>
  <si>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</si>
  <si>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</si>
  <si>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</si>
  <si>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</si>
  <si>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</si>
  <si>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</si>
  <si>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</si>
  <si>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</si>
  <si>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</si>
  <si>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</si>
  <si>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</si>
  <si>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</si>
  <si>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</si>
  <si>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</si>
  <si>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</si>
  <si>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</si>
  <si>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</si>
  <si>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</si>
  <si>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</si>
  <si>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</si>
  <si>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</si>
  <si>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</si>
  <si>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</si>
  <si>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</si>
  <si>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</si>
  <si>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</si>
  <si>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</si>
  <si>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</si>
  <si>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</si>
  <si>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</si>
  <si>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</si>
  <si>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</si>
  <si>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</si>
  <si>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</si>
  <si>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</si>
  <si>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</si>
  <si>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</si>
  <si>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</si>
  <si>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</si>
  <si>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</si>
  <si>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</si>
  <si>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</si>
  <si>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</si>
  <si>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</si>
  <si>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</si>
  <si>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</si>
  <si>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</si>
  <si>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</si>
  <si>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</si>
  <si>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</si>
  <si>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</si>
  <si>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</si>
  <si>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</si>
  <si>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</si>
  <si>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</si>
  <si>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</si>
  <si>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</si>
  <si>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</si>
  <si>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</si>
  <si>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</si>
  <si>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</si>
  <si>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</si>
  <si>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</si>
  <si>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</si>
  <si>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</si>
  <si>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</si>
  <si>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</si>
  <si>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</si>
  <si>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</si>
  <si>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</si>
  <si>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</si>
  <si>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</si>
  <si>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</si>
  <si>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</si>
  <si>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</si>
  <si>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</si>
  <si>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</si>
  <si>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</si>
  <si>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</si>
  <si>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</si>
  <si>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</si>
  <si>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</si>
  <si>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</si>
  <si>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</si>
  <si>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</si>
  <si>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</si>
  <si>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</si>
  <si>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</si>
  <si>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</si>
  <si>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</si>
  <si>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</si>
  <si>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</si>
  <si>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</si>
  <si>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</si>
  <si>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</si>
  <si>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</si>
  <si>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</si>
  <si>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</si>
  <si>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</si>
  <si>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</si>
  <si>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</si>
  <si>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</si>
  <si>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</si>
  <si>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</si>
  <si>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</si>
  <si>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</si>
  <si>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</si>
  <si>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</si>
  <si>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</si>
  <si>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</si>
  <si>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</si>
  <si>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</si>
  <si>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</si>
  <si>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</si>
  <si>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</si>
  <si>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</si>
  <si>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</si>
  <si>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</si>
  <si>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</si>
  <si>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</si>
  <si>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</si>
  <si>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</si>
  <si>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</si>
  <si>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</si>
  <si>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</si>
  <si>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</si>
  <si>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</si>
  <si>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</si>
  <si>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</si>
  <si>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</si>
  <si>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</si>
  <si>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</si>
  <si>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</si>
  <si>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</si>
  <si>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</si>
  <si>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</si>
  <si>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</si>
  <si>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</si>
  <si>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</si>
  <si>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</si>
  <si>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</si>
  <si>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</si>
  <si>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</si>
  <si>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</si>
  <si>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</si>
  <si>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</si>
  <si>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</si>
  <si>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</si>
  <si>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</si>
  <si>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</si>
  <si>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</si>
  <si>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</si>
  <si>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</si>
  <si>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</si>
  <si>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</si>
  <si>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</si>
  <si>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</si>
  <si>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</si>
  <si>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</si>
  <si>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</si>
  <si>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</si>
  <si>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</si>
  <si>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</si>
  <si>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</si>
  <si>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</si>
  <si>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</si>
  <si>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</si>
  <si>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</si>
  <si>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</si>
  <si>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</si>
  <si>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</si>
  <si>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</si>
  <si>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</si>
  <si>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</si>
  <si>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</si>
  <si>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</si>
  <si>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</si>
  <si>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</si>
  <si>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</si>
  <si>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</si>
  <si>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</si>
  <si>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</si>
  <si>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</si>
  <si>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</si>
  <si>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</si>
  <si>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</si>
  <si>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</si>
  <si>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</si>
  <si>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</si>
  <si>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</si>
  <si>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</si>
  <si>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</si>
  <si>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</si>
  <si>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</si>
  <si>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</si>
  <si>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</si>
  <si>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</si>
  <si>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</si>
  <si>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</si>
  <si>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</si>
  <si>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</si>
  <si>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</si>
  <si>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</si>
  <si>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</si>
  <si>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</si>
  <si>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</si>
  <si>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</si>
  <si>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</si>
  <si>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</si>
  <si>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</si>
  <si>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</si>
  <si>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</si>
  <si>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</si>
  <si>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</si>
  <si>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</si>
  <si>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</si>
  <si>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</si>
  <si>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</si>
  <si>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</si>
  <si>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</si>
  <si>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</si>
  <si>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</si>
  <si>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</si>
  <si>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</si>
  <si>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</si>
  <si>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</si>
  <si>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</si>
  <si>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</si>
  <si>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</si>
  <si>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</si>
  <si>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</si>
  <si>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</si>
  <si>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</si>
  <si>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</si>
  <si>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</si>
  <si>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</si>
  <si>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</si>
  <si>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</si>
  <si>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</si>
  <si>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</si>
  <si>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</si>
  <si>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</si>
  <si>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</si>
  <si>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</si>
  <si>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</si>
  <si>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</si>
  <si>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</si>
  <si>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</si>
  <si>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</si>
  <si>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</si>
  <si>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</si>
  <si>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</si>
  <si>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</si>
  <si>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</si>
  <si>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</si>
  <si>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</si>
  <si>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</si>
  <si>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</si>
  <si>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</si>
  <si>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</si>
  <si>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</si>
  <si>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</si>
  <si>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</si>
  <si>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</si>
  <si>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</si>
  <si>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</si>
  <si>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</si>
  <si>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</si>
  <si>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</si>
  <si>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</si>
  <si>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</si>
  <si>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</si>
  <si>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</si>
  <si>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</si>
  <si>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</si>
  <si>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</si>
  <si>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</si>
  <si>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</si>
  <si>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</si>
  <si>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</si>
  <si>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</si>
  <si>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</si>
  <si>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</si>
  <si>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</si>
  <si>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</si>
  <si>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</si>
  <si>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</si>
  <si>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</si>
  <si>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</si>
  <si>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</si>
  <si>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</si>
  <si>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</si>
  <si>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</si>
  <si>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</si>
  <si>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</si>
  <si>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</si>
  <si>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</si>
  <si>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</si>
  <si>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</si>
  <si>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</si>
  <si>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</si>
  <si>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</si>
  <si>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</si>
  <si>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</si>
  <si>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</si>
  <si>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</si>
  <si>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</si>
  <si>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</si>
  <si>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</si>
  <si>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</si>
  <si>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</si>
  <si>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</si>
  <si>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</si>
  <si>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</si>
  <si>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</si>
  <si>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</si>
  <si>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</si>
  <si>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</si>
  <si>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</si>
  <si>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</si>
  <si>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</si>
  <si>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</si>
  <si>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</si>
  <si>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</si>
  <si>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</si>
  <si>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</si>
  <si>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</si>
  <si>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</si>
  <si>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</si>
  <si>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</si>
  <si>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</si>
  <si>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</si>
  <si>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</si>
  <si>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</si>
  <si>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</si>
  <si>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</si>
  <si>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</si>
  <si>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</si>
  <si>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</si>
  <si>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</si>
  <si>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</si>
  <si>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</si>
  <si>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</si>
  <si>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</si>
  <si>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</si>
  <si>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</si>
  <si>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</si>
  <si>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</si>
  <si>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</si>
  <si>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</si>
  <si>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</si>
  <si>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</si>
  <si>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</si>
  <si>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</si>
  <si>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</si>
  <si>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</si>
  <si>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</si>
  <si>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</si>
  <si>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</si>
  <si>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</si>
  <si>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</si>
  <si>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</si>
  <si>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</si>
  <si>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</si>
  <si>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</si>
  <si>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</si>
  <si>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</si>
  <si>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</si>
  <si>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</si>
  <si>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</si>
  <si>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</si>
  <si>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</si>
  <si>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</si>
  <si>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</si>
  <si>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</si>
  <si>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</si>
  <si>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</si>
  <si>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</si>
  <si>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</si>
  <si>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</si>
  <si>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</si>
  <si>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</si>
  <si>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</si>
  <si>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</si>
  <si>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</si>
  <si>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</si>
  <si>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</si>
  <si>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</si>
  <si>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</si>
  <si>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</si>
  <si>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</si>
  <si>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</si>
  <si>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</si>
  <si>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</si>
  <si>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</si>
  <si>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</si>
  <si>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</si>
  <si>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</si>
  <si>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</si>
  <si>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</si>
  <si>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</si>
  <si>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</si>
  <si>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</si>
  <si>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</si>
  <si>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</si>
  <si>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</si>
  <si>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</si>
  <si>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</si>
  <si>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</si>
  <si>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</si>
  <si>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</si>
  <si>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</si>
  <si>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</si>
  <si>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</si>
  <si>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</si>
  <si>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</si>
  <si>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</si>
  <si>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</si>
  <si>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</si>
  <si>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</si>
  <si>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</si>
  <si>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</si>
  <si>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</si>
  <si>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</si>
  <si>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</si>
  <si>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</si>
  <si>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</si>
  <si>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</si>
  <si>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</si>
  <si>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</si>
  <si>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</si>
  <si>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</si>
  <si>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</si>
  <si>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</si>
  <si>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</si>
  <si>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</si>
  <si>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</si>
  <si>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</si>
  <si>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</si>
  <si>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</si>
  <si>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</si>
  <si>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</si>
  <si>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</si>
  <si>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</si>
  <si>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</si>
  <si>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</si>
  <si>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</si>
  <si>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</si>
  <si>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</si>
  <si>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</si>
  <si>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</si>
  <si>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</si>
  <si>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</si>
  <si>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</si>
  <si>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</si>
  <si>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</si>
  <si>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</si>
  <si>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</si>
  <si>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</si>
  <si>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</si>
  <si>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</si>
  <si>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</si>
  <si>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</si>
  <si>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</si>
  <si>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</si>
  <si>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</si>
  <si>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</si>
  <si>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</si>
  <si>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</si>
  <si>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</si>
  <si>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</si>
  <si>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</si>
  <si>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</si>
  <si>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</si>
  <si>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</si>
  <si>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</si>
  <si>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</si>
  <si>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</si>
  <si>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</si>
  <si>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</si>
  <si>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</si>
  <si>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</si>
  <si>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</si>
  <si>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</si>
  <si>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</si>
  <si>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</si>
  <si>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</si>
  <si>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</si>
  <si>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</si>
  <si>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</si>
  <si>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</si>
  <si>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</si>
  <si>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</si>
  <si>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</si>
  <si>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</si>
  <si>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</si>
  <si>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</si>
  <si>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</si>
  <si>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</si>
  <si>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</si>
  <si>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</si>
  <si>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</si>
  <si>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</si>
  <si>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</si>
  <si>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</si>
  <si>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</si>
  <si>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</si>
  <si>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</si>
  <si>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</si>
  <si>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</si>
  <si>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</si>
  <si>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</si>
  <si>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</si>
  <si>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</si>
  <si>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</si>
  <si>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</si>
  <si>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</si>
  <si>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</si>
  <si>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</si>
  <si>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</si>
  <si>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</si>
  <si>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</si>
  <si>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</si>
  <si>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</si>
  <si>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</si>
  <si>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</si>
  <si>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</si>
  <si>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</si>
  <si>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</si>
  <si>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</si>
  <si>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</si>
  <si>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</si>
  <si>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</si>
  <si>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</si>
  <si>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</si>
  <si>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</si>
  <si>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</si>
  <si>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</si>
  <si>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</si>
  <si>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</si>
  <si>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</si>
  <si>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</si>
  <si>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</si>
  <si>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</si>
  <si>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</si>
  <si>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</si>
  <si>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</si>
  <si>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</si>
  <si>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</si>
  <si>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</si>
  <si>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</si>
  <si>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</si>
  <si>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</si>
  <si>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</si>
  <si>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</si>
  <si>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</si>
  <si>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</si>
  <si>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</si>
  <si>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</si>
  <si>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</si>
  <si>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</si>
  <si>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</si>
  <si>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</si>
  <si>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</si>
  <si>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</si>
  <si>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</si>
  <si>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</si>
  <si>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</si>
  <si>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</si>
  <si>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</si>
  <si>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</si>
  <si>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</si>
  <si>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</si>
  <si>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</si>
  <si>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</si>
  <si>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</si>
  <si>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</si>
  <si>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</si>
  <si>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</si>
  <si>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</si>
  <si>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</si>
  <si>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</si>
  <si>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</si>
  <si>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</si>
  <si>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</si>
  <si>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</si>
  <si>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</si>
  <si>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</si>
  <si>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</si>
  <si>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</si>
  <si>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</si>
  <si>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</si>
  <si>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</si>
  <si>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</si>
  <si>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</si>
  <si>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</si>
  <si>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</si>
  <si>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</si>
  <si>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</si>
  <si>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</si>
  <si>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</si>
  <si>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</si>
  <si>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</si>
  <si>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</si>
  <si>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</si>
  <si>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</si>
  <si>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</si>
  <si>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</si>
  <si>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</si>
  <si>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</si>
  <si>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</si>
  <si>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</si>
  <si>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</si>
  <si>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</si>
  <si>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</si>
  <si>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</si>
  <si>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</si>
  <si>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</si>
  <si>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</si>
  <si>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</si>
  <si>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</si>
  <si>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</si>
  <si>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</si>
  <si>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</si>
  <si>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</si>
  <si>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</si>
  <si>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</si>
  <si>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</si>
  <si>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</si>
  <si>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</si>
  <si>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</si>
  <si>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</si>
  <si>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</si>
  <si>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</si>
  <si>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</si>
  <si>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</si>
  <si>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</si>
  <si>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</si>
  <si>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</si>
  <si>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</si>
  <si>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</si>
  <si>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</si>
  <si>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</si>
  <si>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</si>
  <si>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</si>
  <si>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</si>
  <si>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</si>
  <si>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</si>
  <si>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</si>
  <si>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</si>
  <si>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</si>
  <si>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</si>
  <si>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</si>
  <si>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</si>
  <si>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</si>
  <si>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</si>
  <si>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</si>
  <si>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</si>
  <si>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</si>
  <si>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</si>
  <si>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</si>
  <si>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</si>
  <si>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</si>
  <si>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</si>
  <si>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</si>
  <si>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</si>
  <si>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</si>
  <si>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</si>
  <si>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</si>
  <si>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</si>
  <si>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</si>
  <si>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</si>
  <si>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</si>
  <si>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</si>
  <si>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</si>
  <si>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</si>
  <si>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</si>
  <si>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</si>
  <si>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</si>
  <si>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</si>
  <si>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</si>
  <si>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</si>
  <si>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</si>
  <si>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</si>
  <si>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</si>
  <si>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</si>
  <si>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</si>
  <si>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</si>
  <si>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</si>
  <si>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</si>
  <si>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</si>
  <si>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</si>
  <si>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</si>
  <si>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</si>
  <si>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</si>
  <si>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</si>
  <si>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</si>
  <si>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</si>
  <si>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</si>
  <si>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</si>
  <si>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</si>
  <si>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</si>
  <si>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</si>
  <si>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</si>
  <si>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</si>
  <si>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</si>
  <si>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</si>
  <si>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</si>
  <si>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</si>
  <si>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</si>
  <si>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</si>
  <si>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</si>
  <si>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</si>
  <si>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</si>
  <si>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</si>
  <si>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</si>
  <si>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</si>
  <si>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</si>
  <si>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</si>
  <si>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</si>
  <si>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</si>
  <si>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</si>
  <si>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</si>
  <si>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</si>
  <si>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</si>
  <si>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</si>
  <si>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</si>
  <si>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</si>
  <si>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</si>
  <si>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</si>
  <si>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</si>
  <si>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</si>
  <si>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</si>
  <si>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</si>
  <si>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</si>
  <si>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</si>
  <si>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</si>
  <si>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</si>
  <si>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</si>
  <si>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</si>
  <si>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</si>
  <si>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</si>
  <si>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</si>
  <si>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</si>
  <si>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</si>
  <si>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</si>
  <si>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</si>
  <si>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</si>
  <si>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</si>
  <si>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</si>
  <si>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</si>
  <si>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</si>
  <si>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</si>
  <si>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</si>
  <si>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</si>
  <si>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</si>
  <si>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</si>
  <si>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</si>
  <si>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</si>
  <si>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</si>
  <si>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</si>
  <si>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</si>
  <si>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</si>
  <si>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</si>
  <si>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</si>
  <si>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</si>
  <si>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</si>
  <si>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</si>
  <si>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</si>
  <si>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</si>
  <si>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</si>
  <si>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</si>
  <si>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</si>
  <si>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</si>
  <si>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</si>
  <si>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</si>
  <si>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</si>
  <si>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</si>
  <si>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</si>
  <si>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</si>
  <si>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</si>
  <si>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</si>
  <si>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</si>
  <si>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</si>
  <si>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</si>
  <si>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</si>
  <si>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</si>
  <si>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</si>
  <si>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</si>
  <si>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</si>
  <si>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</si>
  <si>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</si>
  <si>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</si>
  <si>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</si>
  <si>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</si>
  <si>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</si>
  <si>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</si>
  <si>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</si>
  <si>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</si>
  <si>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</si>
  <si>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</si>
  <si>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</si>
  <si>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</si>
  <si>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</si>
  <si>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</si>
  <si>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</si>
  <si>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</si>
  <si>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</si>
  <si>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</si>
  <si>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</si>
  <si>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</si>
  <si>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</si>
  <si>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</si>
  <si>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</si>
  <si>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</si>
  <si>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</si>
  <si>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</si>
  <si>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</si>
  <si>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</si>
  <si>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</si>
  <si>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</si>
  <si>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</si>
  <si>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</si>
  <si>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</si>
  <si>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</si>
  <si>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</si>
  <si>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</si>
  <si>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</si>
  <si>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</si>
  <si>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</si>
  <si>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</si>
  <si>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</si>
  <si>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</si>
  <si>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</si>
  <si>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</si>
  <si>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</si>
  <si>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</si>
  <si>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</si>
  <si>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</si>
  <si>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</si>
  <si>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</si>
  <si>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</si>
  <si>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</si>
  <si>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</si>
  <si>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</si>
  <si>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</si>
  <si>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</si>
  <si>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</si>
  <si>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</si>
  <si>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</si>
  <si>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</si>
  <si>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</si>
  <si>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</si>
  <si>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</si>
  <si>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</si>
  <si>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</si>
  <si>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</si>
  <si>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</si>
  <si>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</si>
  <si>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</si>
  <si>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</si>
  <si>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</si>
  <si>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</si>
  <si>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</si>
  <si>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</si>
  <si>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</si>
  <si>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</si>
  <si>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</si>
  <si>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</si>
  <si>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</si>
  <si>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</si>
  <si>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</si>
  <si>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</si>
  <si>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</si>
  <si>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</si>
  <si>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</si>
  <si>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</si>
  <si>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</si>
  <si>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</si>
  <si>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</si>
  <si>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</si>
  <si>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</si>
  <si>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</si>
  <si>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</si>
  <si>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</si>
  <si>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</si>
  <si>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</si>
  <si>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</si>
  <si>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</si>
  <si>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</si>
  <si>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</si>
  <si>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</si>
  <si>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</si>
  <si>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</si>
  <si>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</si>
  <si>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</si>
  <si>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</si>
  <si>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</si>
  <si>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</si>
  <si>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</si>
  <si>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</si>
  <si>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</si>
  <si>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</si>
  <si>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</si>
  <si>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</si>
  <si>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</si>
  <si>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</si>
  <si>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</si>
  <si>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</si>
  <si>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</si>
  <si>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</si>
  <si>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</si>
  <si>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</si>
  <si>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</si>
  <si>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</si>
  <si>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</si>
  <si>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</si>
  <si>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</si>
  <si>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</si>
  <si>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</si>
  <si>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</si>
  <si>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</si>
  <si>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</si>
  <si>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</si>
  <si>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</si>
  <si>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</si>
  <si>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</si>
  <si>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</si>
  <si>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</si>
  <si>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</si>
  <si>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</si>
  <si>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</si>
  <si>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</si>
  <si>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</si>
  <si>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</si>
  <si>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</si>
  <si>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</si>
  <si>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</si>
  <si>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</si>
  <si>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</si>
  <si>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</si>
  <si>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</si>
  <si>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</si>
  <si>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</si>
  <si>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</si>
  <si>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</si>
  <si>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</si>
  <si>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</si>
  <si>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</si>
  <si>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</si>
  <si>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</si>
  <si>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</si>
  <si>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</si>
  <si>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</si>
  <si>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</si>
  <si>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</si>
  <si>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</si>
  <si>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</si>
  <si>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</si>
  <si>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</si>
  <si>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</si>
  <si>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</si>
  <si>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</si>
  <si>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</si>
  <si>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</si>
  <si>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</si>
  <si>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</si>
  <si>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</si>
  <si>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</si>
  <si>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</si>
  <si>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</si>
  <si>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</si>
  <si>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</si>
  <si>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</si>
  <si>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</si>
  <si>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</si>
  <si>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</si>
  <si>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</si>
  <si>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</si>
  <si>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</si>
  <si>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</si>
  <si>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</si>
  <si>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</si>
  <si>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</si>
  <si>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</si>
  <si>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</si>
  <si>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</si>
  <si>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</si>
  <si>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</si>
  <si>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</si>
  <si>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</si>
  <si>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</si>
  <si>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</si>
  <si>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</si>
  <si>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</si>
  <si>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</si>
  <si>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</si>
  <si>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</si>
  <si>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</si>
  <si>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</si>
  <si>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</si>
  <si>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</si>
  <si>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</si>
  <si>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</si>
  <si>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</si>
  <si>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</si>
  <si>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</si>
  <si>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</si>
  <si>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</si>
  <si>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</si>
  <si>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</si>
  <si>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</si>
  <si>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</si>
  <si>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</si>
  <si>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</si>
  <si>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</si>
  <si>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</si>
  <si>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</si>
  <si>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</si>
  <si>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</si>
  <si>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</si>
  <si>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</si>
  <si>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</si>
  <si>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</si>
  <si>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</si>
  <si>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</si>
  <si>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</si>
  <si>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</si>
  <si>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</si>
  <si>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</si>
  <si>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</si>
  <si>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</si>
  <si>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</si>
  <si>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</si>
  <si>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</si>
  <si>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</si>
  <si>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</si>
  <si>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</si>
  <si>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</si>
  <si>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</si>
  <si>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</si>
  <si>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</si>
  <si>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</si>
  <si>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</si>
  <si>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</si>
  <si>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</si>
  <si>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</si>
  <si>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</si>
  <si>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</si>
  <si>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</si>
  <si>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</si>
  <si>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</si>
  <si>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</si>
  <si>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</si>
  <si>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</si>
  <si>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</si>
  <si>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</si>
  <si>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</si>
  <si>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</si>
  <si>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</si>
  <si>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</si>
  <si>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</si>
  <si>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</si>
  <si>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</si>
  <si>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</si>
  <si>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</si>
  <si>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</si>
  <si>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</si>
  <si>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</si>
  <si>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</si>
  <si>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</si>
  <si>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</si>
  <si>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</si>
  <si>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</si>
  <si>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</si>
  <si>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</si>
  <si>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</si>
  <si>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</si>
  <si>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</si>
  <si>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</si>
  <si>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</si>
  <si>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</si>
  <si>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</si>
  <si>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</si>
  <si>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</si>
  <si>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</si>
  <si>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</si>
  <si>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</si>
  <si>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</si>
  <si>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</si>
  <si>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</si>
  <si>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</si>
  <si>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</si>
  <si>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</si>
  <si>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</si>
  <si>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</si>
  <si>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</si>
  <si>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</si>
  <si>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</si>
  <si>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</si>
  <si>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</si>
  <si>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</si>
  <si>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</si>
  <si>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</si>
  <si>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</si>
  <si>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</si>
  <si>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</si>
  <si>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</si>
  <si>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</si>
  <si>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</si>
  <si>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</si>
  <si>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</si>
  <si>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</si>
  <si>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</si>
  <si>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</si>
  <si>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</si>
  <si>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</si>
  <si>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</si>
  <si>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</si>
  <si>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</si>
  <si>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</si>
  <si>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</si>
  <si>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</si>
  <si>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</si>
  <si>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</si>
  <si>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</si>
  <si>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</si>
  <si>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</si>
  <si>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</si>
  <si>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</si>
  <si>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</si>
  <si>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</si>
  <si>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</si>
  <si>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</si>
  <si>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</si>
  <si>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</si>
  <si>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</si>
  <si>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</si>
  <si>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</si>
  <si>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</si>
  <si>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</si>
  <si>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</si>
  <si>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</si>
  <si>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</si>
  <si>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</si>
  <si>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</si>
  <si>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</si>
  <si>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</si>
  <si>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</si>
  <si>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</si>
  <si>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</si>
  <si>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</si>
  <si>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</si>
  <si>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</si>
  <si>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</si>
  <si>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</si>
  <si>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</si>
  <si>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</si>
  <si>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</si>
  <si>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</si>
  <si>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</si>
  <si>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</si>
  <si>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</si>
  <si>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</si>
  <si>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</si>
  <si>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</si>
  <si>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</si>
  <si>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</si>
  <si>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</si>
  <si>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</si>
  <si>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</si>
  <si>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</si>
  <si>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</si>
  <si>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</si>
  <si>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</si>
  <si>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</si>
  <si>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</si>
  <si>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</si>
  <si>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</si>
  <si>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</si>
  <si>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</si>
  <si>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</si>
  <si>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</si>
  <si>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</si>
  <si>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</si>
  <si>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</si>
  <si>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</si>
  <si>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</si>
  <si>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</si>
  <si>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</si>
  <si>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</si>
  <si>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</si>
  <si>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</si>
  <si>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</si>
  <si>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</si>
  <si>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</si>
  <si>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</si>
  <si>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</si>
  <si>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</si>
  <si>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</si>
  <si>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</si>
  <si>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</si>
  <si>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</si>
  <si>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</si>
  <si>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</si>
  <si>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</si>
  <si>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</si>
  <si>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</si>
  <si>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</si>
  <si>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</si>
  <si>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</si>
  <si>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</si>
  <si>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</si>
  <si>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</si>
  <si>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</si>
  <si>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</si>
  <si>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</si>
  <si>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</si>
  <si>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</si>
  <si>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</si>
  <si>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</si>
  <si>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</si>
  <si>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</si>
  <si>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</si>
  <si>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</si>
  <si>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</si>
  <si>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</si>
  <si>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</si>
  <si>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</si>
  <si>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</si>
  <si>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</si>
  <si>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</si>
  <si>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</si>
  <si>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</si>
  <si>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</si>
  <si>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</si>
  <si>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</si>
  <si>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</si>
  <si>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</si>
  <si>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</si>
  <si>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</si>
  <si>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</si>
  <si>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</si>
  <si>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</si>
  <si>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</si>
  <si>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</si>
  <si>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</si>
  <si>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</si>
  <si>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</si>
  <si>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</si>
  <si>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</si>
  <si>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</si>
  <si>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</si>
  <si>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</si>
  <si>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</si>
  <si>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</si>
  <si>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</si>
  <si>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</si>
  <si>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</si>
  <si>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</si>
  <si>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</si>
  <si>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</si>
  <si>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</si>
  <si>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</si>
  <si>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</si>
  <si>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</si>
  <si>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</si>
  <si>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</si>
  <si>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</si>
  <si>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</si>
  <si>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</si>
  <si>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</si>
  <si>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</si>
  <si>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</si>
  <si>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</si>
  <si>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</si>
  <si>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</si>
  <si>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</si>
  <si>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</si>
  <si>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</si>
  <si>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</si>
  <si>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</si>
  <si>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</si>
  <si>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</si>
  <si>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</si>
  <si>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</si>
  <si>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</si>
  <si>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</si>
  <si>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</si>
  <si>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</si>
  <si>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</si>
  <si>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</si>
  <si>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</si>
  <si>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</si>
  <si>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</si>
  <si>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</si>
  <si>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</si>
  <si>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</si>
  <si>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</si>
  <si>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</si>
  <si>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</si>
  <si>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</si>
  <si>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</si>
  <si>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</si>
  <si>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</si>
  <si>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</si>
  <si>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</si>
  <si>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</si>
  <si>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</si>
  <si>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</si>
  <si>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</si>
  <si>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</si>
  <si>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</si>
  <si>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</si>
  <si>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</si>
  <si>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</si>
  <si>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</si>
  <si>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</si>
  <si>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</si>
  <si>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</si>
  <si>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</si>
  <si>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</si>
  <si>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</si>
  <si>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</si>
  <si>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</si>
  <si>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</si>
  <si>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</si>
  <si>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</si>
  <si>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</si>
  <si>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</si>
  <si>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</si>
  <si>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</si>
  <si>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</si>
  <si>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</si>
  <si>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</si>
  <si>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</si>
  <si>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</si>
  <si>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</si>
  <si>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</si>
  <si>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</si>
  <si>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</si>
  <si>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</si>
  <si>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</si>
  <si>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</si>
  <si>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</si>
  <si>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</si>
  <si>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</si>
  <si>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</si>
  <si>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</si>
  <si>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</si>
  <si>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</si>
  <si>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</si>
  <si>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</si>
  <si>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</si>
  <si>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</si>
  <si>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</si>
  <si>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</si>
  <si>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</si>
  <si>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</si>
  <si>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</si>
  <si>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</si>
  <si>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</si>
  <si>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</si>
  <si>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</si>
  <si>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</si>
  <si>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</si>
  <si>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</si>
  <si>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</si>
  <si>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</si>
  <si>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</si>
  <si>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</si>
  <si>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</si>
  <si>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</si>
  <si>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</si>
  <si>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</si>
  <si>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</si>
  <si>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</si>
  <si>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</si>
  <si>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</si>
  <si>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</si>
  <si>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</si>
  <si>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</si>
  <si>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</si>
  <si>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</si>
  <si>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</si>
  <si>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</si>
  <si>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</si>
  <si>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</si>
  <si>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</si>
  <si>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</si>
  <si>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</si>
  <si>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</si>
  <si>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</si>
  <si>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</si>
  <si>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</si>
  <si>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</si>
  <si>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</si>
  <si>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</si>
  <si>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</si>
  <si>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</si>
  <si>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</si>
  <si>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</si>
  <si>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</si>
  <si>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</si>
  <si>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</si>
  <si>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</si>
  <si>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</si>
  <si>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</si>
  <si>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</si>
  <si>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</si>
  <si>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</si>
  <si>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</si>
  <si>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</si>
  <si>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</si>
  <si>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</si>
  <si>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</si>
  <si>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</si>
  <si>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</si>
  <si>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</si>
  <si>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</si>
  <si>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</si>
  <si>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</si>
  <si>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</si>
  <si>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</si>
  <si>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</si>
  <si>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</si>
  <si>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</si>
  <si>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</si>
  <si>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</si>
  <si>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</si>
  <si>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</si>
  <si>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</si>
  <si>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</si>
  <si>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</si>
  <si>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</si>
  <si>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</si>
  <si>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</si>
  <si>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</si>
  <si>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</si>
  <si>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</si>
  <si>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</si>
  <si>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</si>
  <si>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</si>
  <si>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</si>
  <si>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</si>
  <si>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</si>
  <si>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</si>
  <si>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</si>
  <si>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</si>
  <si>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</si>
  <si>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</si>
  <si>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</si>
  <si>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</si>
  <si>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</si>
  <si>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</si>
  <si>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</si>
  <si>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</si>
  <si>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</si>
  <si>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</si>
  <si>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</si>
  <si>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</si>
  <si>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</si>
  <si>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</si>
  <si>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</si>
  <si>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</si>
  <si>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</si>
  <si>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</si>
  <si>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</si>
  <si>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</si>
  <si>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</si>
  <si>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</si>
  <si>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</si>
  <si>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</si>
  <si>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</si>
  <si>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</si>
  <si>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</si>
  <si>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</si>
  <si>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</si>
  <si>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</si>
  <si>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</si>
  <si>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</si>
  <si>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</si>
  <si>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</si>
  <si>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</si>
  <si>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</si>
  <si>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</si>
  <si>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</si>
  <si>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</si>
  <si>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</si>
  <si>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</si>
  <si>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</si>
  <si>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</si>
  <si>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</si>
  <si>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</si>
  <si>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</si>
  <si>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</si>
  <si>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</si>
  <si>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</si>
  <si>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</si>
  <si>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</si>
  <si>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</si>
  <si>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</si>
  <si>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</si>
  <si>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</si>
  <si>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</si>
  <si>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</si>
  <si>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</si>
  <si>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</si>
  <si>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</si>
  <si>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</si>
  <si>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</si>
  <si>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</si>
  <si>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</si>
  <si>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</si>
  <si>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</si>
  <si>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</si>
  <si>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</si>
  <si>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</si>
  <si>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</si>
  <si>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</si>
  <si>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</si>
  <si>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</si>
  <si>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</si>
  <si>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</si>
  <si>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</si>
  <si>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</si>
  <si>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</si>
  <si>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</si>
  <si>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</si>
  <si>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</si>
  <si>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</si>
  <si>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</si>
  <si>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</si>
  <si>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</si>
  <si>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</si>
  <si>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</si>
  <si>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</si>
  <si>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</si>
  <si>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</si>
  <si>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</si>
  <si>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</si>
  <si>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</si>
  <si>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</si>
  <si>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</si>
  <si>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</si>
  <si>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</si>
  <si>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</si>
  <si>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</si>
  <si>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</si>
  <si>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</si>
  <si>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</si>
  <si>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</si>
  <si>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</si>
  <si>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</si>
  <si>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</si>
  <si>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</si>
  <si>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</si>
  <si>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</si>
  <si>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</si>
  <si>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</si>
  <si>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</si>
  <si>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</si>
  <si>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</si>
  <si>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</si>
  <si>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</si>
  <si>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</si>
  <si>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</si>
  <si>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</si>
  <si>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</si>
  <si>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</si>
  <si>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</si>
  <si>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</si>
  <si>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</si>
  <si>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</si>
  <si>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</si>
  <si>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</si>
  <si>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</si>
  <si>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</si>
  <si>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</si>
  <si>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</si>
  <si>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</si>
  <si>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</si>
  <si>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</si>
  <si>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</si>
  <si>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</si>
  <si>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</si>
  <si>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</si>
  <si>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</si>
  <si>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</si>
  <si>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</si>
  <si>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</si>
  <si>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</si>
  <si>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</si>
  <si>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</si>
  <si>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</si>
  <si>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</si>
  <si>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</si>
  <si>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</si>
  <si>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</si>
  <si>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</si>
  <si>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</si>
  <si>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</si>
  <si>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</si>
  <si>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</si>
  <si>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</si>
  <si>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</si>
  <si>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</si>
  <si>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</si>
  <si>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</si>
  <si>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</si>
  <si>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</si>
  <si>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</si>
  <si>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</si>
  <si>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</si>
  <si>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</si>
  <si>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</si>
  <si>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</si>
  <si>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</si>
  <si>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</si>
  <si>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</si>
  <si>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</si>
  <si>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</si>
  <si>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</si>
  <si>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</si>
  <si>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</si>
  <si>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</si>
  <si>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</si>
  <si>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</si>
  <si>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</si>
  <si>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</si>
  <si>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</si>
  <si>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</si>
  <si>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</si>
  <si>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</si>
  <si>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</si>
  <si>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</si>
  <si>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</si>
  <si>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</si>
  <si>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</si>
  <si>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</si>
  <si>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</si>
  <si>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</si>
  <si>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</si>
  <si>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</si>
  <si>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</si>
  <si>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</si>
  <si>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</si>
  <si>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</si>
  <si>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</si>
  <si>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</si>
  <si>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</si>
  <si>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</si>
  <si>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</si>
  <si>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</si>
  <si>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</si>
  <si>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</si>
  <si>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</si>
  <si>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</si>
  <si>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</si>
  <si>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</si>
  <si>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</si>
  <si>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</si>
  <si>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</si>
  <si>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</si>
  <si>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</si>
  <si>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</si>
  <si>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</si>
  <si>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</si>
  <si>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</si>
  <si>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</si>
  <si>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</si>
  <si>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</si>
  <si>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</si>
  <si>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</si>
  <si>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</si>
  <si>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</si>
  <si>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</si>
  <si>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</si>
  <si>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</si>
  <si>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</si>
  <si>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</si>
  <si>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</si>
  <si>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</si>
  <si>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</si>
  <si>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</si>
  <si>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</si>
  <si>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</si>
  <si>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</si>
  <si>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</si>
  <si>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</si>
  <si>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</si>
  <si>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</si>
  <si>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</si>
  <si>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</si>
  <si>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</si>
  <si>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</si>
  <si>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</si>
  <si>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</si>
  <si>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</si>
  <si>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</si>
  <si>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</si>
  <si>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</si>
  <si>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</si>
  <si>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</si>
  <si>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</si>
  <si>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</si>
  <si>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</si>
  <si>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</si>
  <si>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</si>
  <si>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</si>
  <si>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</si>
  <si>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</si>
  <si>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</si>
  <si>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</si>
  <si>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</si>
  <si>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</si>
  <si>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</si>
  <si>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</si>
  <si>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</si>
  <si>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</si>
  <si>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</si>
  <si>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</si>
  <si>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</si>
  <si>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</si>
  <si>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</si>
  <si>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</si>
  <si>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</si>
  <si>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</si>
  <si>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</si>
  <si>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</si>
  <si>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</si>
  <si>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</si>
  <si>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</si>
  <si>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</si>
  <si>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</si>
  <si>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</si>
  <si>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</si>
  <si>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</si>
  <si>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</si>
  <si>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</si>
  <si>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</si>
  <si>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</si>
  <si>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</si>
  <si>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</si>
  <si>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</si>
  <si>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</si>
  <si>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</si>
  <si>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</si>
  <si>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</si>
  <si>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</si>
  <si>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</si>
  <si>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</si>
  <si>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</si>
  <si>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</si>
  <si>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</si>
  <si>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</si>
  <si>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</si>
  <si>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</si>
  <si>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</si>
  <si>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</si>
  <si>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</si>
  <si>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</si>
  <si>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</si>
  <si>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</si>
  <si>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</si>
  <si>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</si>
  <si>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</si>
  <si>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</si>
  <si>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</si>
  <si>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</si>
  <si>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</si>
  <si>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</si>
  <si>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</si>
  <si>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</si>
  <si>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</si>
  <si>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</si>
  <si>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</si>
  <si>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</si>
  <si>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</si>
  <si>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</si>
  <si>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Massac</t>
  </si>
  <si>
    <t>401 Metropolis Street</t>
  </si>
  <si>
    <t>Metropolis</t>
  </si>
  <si>
    <t>jmitchell@massac.org</t>
  </si>
  <si>
    <t>Beussink, Hey, Roe &amp; Stroder, L.L.C.</t>
  </si>
  <si>
    <t>Jeffrey C. Stroder, CPA</t>
  </si>
  <si>
    <t>16 South Silver Springs Road</t>
  </si>
  <si>
    <t>Cape Girardeau</t>
  </si>
  <si>
    <t>MO</t>
  </si>
  <si>
    <t>573-334-7971</t>
  </si>
  <si>
    <t>573-334-8875</t>
  </si>
  <si>
    <t>066-003889</t>
  </si>
  <si>
    <t>jstroder@bhrcpas.com</t>
  </si>
  <si>
    <t>The financial statements are prepared in a format that complies with regulatory provisions prescribed by the Illinois State Board of Education, whose practices differ from accounting principles generally accepted in the United States of America. In addition, the notes to the financial statements do not include the note disclosures required under GASB Statement No. 75 for one of the school's defined contribution OPEB plans.</t>
  </si>
  <si>
    <t>General Obligation Refunding Bond, Series 2015</t>
  </si>
  <si>
    <t>General Obligation Refunding Bond, Series 2016</t>
  </si>
  <si>
    <t>ED-Educational Medi Services-Purchased Services</t>
  </si>
  <si>
    <t>Alma</t>
  </si>
  <si>
    <t>Assured Partners NL, LLC</t>
  </si>
  <si>
    <t>TF-Insurance Payments-Purchased Services</t>
  </si>
  <si>
    <t>TF-Workers' compensation-Purchased Services</t>
  </si>
  <si>
    <t>Berkshire Hathaway</t>
  </si>
  <si>
    <t>20-2540-300</t>
  </si>
  <si>
    <t>Clearwave</t>
  </si>
  <si>
    <t>O&amp;M-Oper &amp; Maint of Plant Services-Purch Services</t>
  </si>
  <si>
    <t>Republic Services #796</t>
  </si>
  <si>
    <t>ED-Food Services-Supplies &amp; Materials</t>
  </si>
  <si>
    <t>10-2560-400</t>
  </si>
  <si>
    <t>Domino's Pizza</t>
  </si>
  <si>
    <t>TR-Pupil Transportation Services-Purchased Services</t>
  </si>
  <si>
    <t>40-2550-300</t>
  </si>
  <si>
    <t>Durham School Services</t>
  </si>
  <si>
    <t>ED-Health Services-Purchased Services</t>
  </si>
  <si>
    <t>Helping Hands OT Services, LLC</t>
  </si>
  <si>
    <t>Kohl Wholesale</t>
  </si>
  <si>
    <t>Mic Wright Specialty</t>
  </si>
  <si>
    <t>Prairie Farms Dairy, Inc.</t>
  </si>
  <si>
    <t>Triangle Enterprises, Inc.</t>
  </si>
  <si>
    <t>TF-Legal Services-Purchased Services</t>
  </si>
  <si>
    <t>Tueth, Keeney, Cooper</t>
  </si>
  <si>
    <t>ED-Pymts for Spec Ed Porgrams-Tuition-Other Objects</t>
  </si>
  <si>
    <t>10-4220-600</t>
  </si>
  <si>
    <t>Williamson Co. Special Education</t>
  </si>
  <si>
    <t>shared service - Five County Regional Vocational System</t>
  </si>
  <si>
    <t>shared service- Williamson County Special Education Services</t>
  </si>
  <si>
    <t>U.S. DEPARTMENT OF AGRICULTURE</t>
  </si>
  <si>
    <t>Passed Through the Illinois State Board of Education</t>
  </si>
  <si>
    <t xml:space="preserve">  School Breakfast Program (M)</t>
  </si>
  <si>
    <t>18-4220</t>
  </si>
  <si>
    <t>19-4220</t>
  </si>
  <si>
    <t xml:space="preserve">  National School Lunch Program (M)</t>
  </si>
  <si>
    <t>18-4210</t>
  </si>
  <si>
    <t>19-4210</t>
  </si>
  <si>
    <t xml:space="preserve">  Commodities (Non-Cash) (M)</t>
  </si>
  <si>
    <t>N/A - 18</t>
  </si>
  <si>
    <t>N/A - 19</t>
  </si>
  <si>
    <t xml:space="preserve">  Sept. of Defense Fresh Fruits &amp; Vegetables (M)</t>
  </si>
  <si>
    <t>Total Child Nutrition Cluster (CDFA Numbers 10.553 and 10.555)</t>
  </si>
  <si>
    <t>TOTAL U.S. DEPARTMENT OF AGRICULTURE</t>
  </si>
  <si>
    <t>U.S. DEPARTMENT OF EDUCATION</t>
  </si>
  <si>
    <t>Title I:  Grants to Local Education Agencies (M)</t>
  </si>
  <si>
    <t>18-4300</t>
  </si>
  <si>
    <t>19-4300</t>
  </si>
  <si>
    <t>19-4331</t>
  </si>
  <si>
    <t xml:space="preserve">  Special Education - IDEA - Flow-Through</t>
  </si>
  <si>
    <t>18-4620</t>
  </si>
  <si>
    <t>19-4620</t>
  </si>
  <si>
    <t>18-4625</t>
  </si>
  <si>
    <t xml:space="preserve">  Special Education - Pre-School - Flow-Through</t>
  </si>
  <si>
    <t xml:space="preserve">    Total for CFDA# 84.027</t>
  </si>
  <si>
    <t xml:space="preserve">    Total for CFDA# 84.173</t>
  </si>
  <si>
    <t xml:space="preserve">    Total for CFDA# 84.010</t>
  </si>
  <si>
    <t xml:space="preserve">    Total for CFDA# 10.553</t>
  </si>
  <si>
    <t xml:space="preserve">    Total for CFDA# 10.555</t>
  </si>
  <si>
    <t>18-4600</t>
  </si>
  <si>
    <t>19-4600</t>
  </si>
  <si>
    <t>Total Special Education Cluster IDEA (CFDA Numbers 84.027 and 84.173)</t>
  </si>
  <si>
    <t xml:space="preserve">  Title V - Rural Education Initiative</t>
  </si>
  <si>
    <t>18-4107</t>
  </si>
  <si>
    <t>19-4107</t>
  </si>
  <si>
    <t xml:space="preserve">    Total for CFDA# 84.358</t>
  </si>
  <si>
    <t xml:space="preserve">  Improving Teacher Quality State Grants</t>
  </si>
  <si>
    <t xml:space="preserve">    Total for CFDA# 84.367</t>
  </si>
  <si>
    <t>18-4932</t>
  </si>
  <si>
    <t>19-4932</t>
  </si>
  <si>
    <t>TOTAL U.S. DEPARTMENT OF EDUCATION</t>
  </si>
  <si>
    <t>U.S. DEPARTMENT OF HEALTH &amp; HUMAN SERVICES</t>
  </si>
  <si>
    <t>Passed through the IL Department of Healthcare &amp; Family Services</t>
  </si>
  <si>
    <t xml:space="preserve">  Medical Assistance Program</t>
  </si>
  <si>
    <t>18-4991</t>
  </si>
  <si>
    <t>19-4991</t>
  </si>
  <si>
    <t xml:space="preserve">    Total for CFDA# 93.778</t>
  </si>
  <si>
    <t>TOTAL U.S. DEPARTMENT OF HEALTH &amp; HUMAN SERVICES</t>
  </si>
  <si>
    <t>TOTAL FEDERAL AWARDS</t>
  </si>
  <si>
    <r>
      <t xml:space="preserve">The accompanying Schedule of Expenditures of Federal Awards includes the federal grant activity of </t>
    </r>
    <r>
      <rPr>
        <b/>
        <sz val="9"/>
        <rFont val="Calibri"/>
        <family val="2"/>
        <scheme val="minor"/>
      </rPr>
      <t>Massac County Community Unit S.D. #1</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</si>
  <si>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N/A</t>
  </si>
  <si>
    <r>
      <t xml:space="preserve">The following amounts were expended in the form of non-cash assistance by </t>
    </r>
    <r>
      <rPr>
        <b/>
        <sz val="9"/>
        <rFont val="Calibri"/>
        <family val="2"/>
        <scheme val="minor"/>
      </rPr>
      <t>Massac County Community Unit S.D. #1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</si>
  <si>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Qualified 10.553 and 10.555  Unmodifed 84.010</t>
  </si>
  <si>
    <t>10.553 and 10.555</t>
  </si>
  <si>
    <t>Child Nutrition Cluster</t>
  </si>
  <si>
    <t>Title I:  Grants to Local Education Agencies</t>
  </si>
  <si>
    <t>Account Number</t>
  </si>
  <si>
    <t>Object Code</t>
  </si>
  <si>
    <t>Regional Alternative Meals</t>
  </si>
  <si>
    <t xml:space="preserve">  Total</t>
  </si>
  <si>
    <t>AP Exam Fee Refunds</t>
  </si>
  <si>
    <t>Workers Comp Reimbursement</t>
  </si>
  <si>
    <t>Miscellaneous Receipts</t>
  </si>
  <si>
    <t>IL Dept of Healthcare &amp; Family Services Administrative Contract</t>
  </si>
  <si>
    <t>State Library Grant</t>
  </si>
  <si>
    <t>PSAT Grant</t>
  </si>
  <si>
    <t>Homeless Student Grant</t>
  </si>
  <si>
    <t>Extracurricular Payroll</t>
  </si>
  <si>
    <t>Extracurricular Benefits</t>
  </si>
  <si>
    <t>Driver's Ed Vehicle Rental</t>
  </si>
  <si>
    <t>Miscellaneous</t>
  </si>
  <si>
    <t>Extracurricular Supplies</t>
  </si>
  <si>
    <t>Extracurricular Other Objects</t>
  </si>
  <si>
    <t>School Administration Salary</t>
  </si>
  <si>
    <t>School Administration Benefits</t>
  </si>
  <si>
    <t>ROE Tuition</t>
  </si>
  <si>
    <t>2018-001</t>
  </si>
  <si>
    <t>controls over credit card purchases.</t>
  </si>
  <si>
    <t>2018-002</t>
  </si>
  <si>
    <t>One of the applications selected for sampling</t>
  </si>
  <si>
    <t>was not selected from error prone applications.</t>
  </si>
  <si>
    <t>There was no confirming or verifying official's</t>
  </si>
  <si>
    <t>signature on three applications.  One application</t>
  </si>
  <si>
    <t xml:space="preserve">was marked as meeting free lunches when the </t>
  </si>
  <si>
    <t>income documentation actually supported</t>
  </si>
  <si>
    <t>meeting reduced lunches.</t>
  </si>
  <si>
    <t>2018-03</t>
  </si>
  <si>
    <t>Meal counts are submitted to the Illinois</t>
  </si>
  <si>
    <t>State Board of Education without review for</t>
  </si>
  <si>
    <t>accuracy by a responsible official.</t>
  </si>
  <si>
    <t>For interim financial statements to be relevant and reliable, transactions should be recorded in accordance with accounting principles generally accepted in the United States of America.</t>
  </si>
  <si>
    <t>The District did not record the debt service payment made or the payment received on the local school district bonds it owns.</t>
  </si>
  <si>
    <t>Section 105 ILCS 5/34-48 prohibits the Board from authorizing expenditures in excess of budgetary limitations.</t>
  </si>
  <si>
    <t>Actual expenditures of the Operations &amp; Maintenance Fund exceeded budgetary limits by $43,245.</t>
  </si>
  <si>
    <t>Total budgeted expenditures for the Operations &amp; Maintenance Fund were $2,202,228.</t>
  </si>
  <si>
    <t>The District incurred expenditures in total greater than what was provided for in the budget.</t>
  </si>
  <si>
    <t>The District did not budget for all anticipated expenditures.</t>
  </si>
  <si>
    <t>The Administration and Board should refrain from authorizing expenditures that exceed what is permitted in the budget.  If additional expenditures become necessary, the Board should amend the budget sufficiently to provide for the previously unanticipated expenditures.</t>
  </si>
  <si>
    <t>Child Nutrition Cluster 2019</t>
  </si>
  <si>
    <t>19-4210 and 19-4220</t>
  </si>
  <si>
    <t>Illinois State Board of Education</t>
  </si>
  <si>
    <t>U.S. Department of Agriculture</t>
  </si>
  <si>
    <t>There were no confirming official's signature on four applications.  One application was marked as meeting free lunches despite the income documentation showed the applicant didn't qualify for free or reduced lunches.  One application was marked as meeting free lunches when the income documentation actually supports meeting reduced lunches.</t>
  </si>
  <si>
    <t>None</t>
  </si>
  <si>
    <t>Expenditures from the child nutrition cluster grant totaled $792,902 during the fiscal year ended June 30, 2019.  In addition, eligibility for several other grants is based on the number of students eligible for free and reduced breakfasts and lunches.</t>
  </si>
  <si>
    <t>The District could provide benefits to ineligible children.</t>
  </si>
  <si>
    <t>The District had ineffective controls in place for the determination of free and reduced applications.</t>
  </si>
  <si>
    <t>Title I:  Grants to Local Education Agencies 2019</t>
  </si>
  <si>
    <t>U.S. Department of Education</t>
  </si>
  <si>
    <t>Total expenditures for the Title I grant were $960,991 for the year ended June 30, 2019.</t>
  </si>
  <si>
    <t>We recommend that the District record the debt service transactions required on the date the local bonds mature each year.</t>
  </si>
  <si>
    <t>There was an operational weakness in the District's</t>
  </si>
  <si>
    <t xml:space="preserve">                                      Implemented</t>
  </si>
  <si>
    <t xml:space="preserve">                                        Implemented.</t>
  </si>
  <si>
    <t>Total Federal Expenditures for 7/1/18-6/30/19</t>
  </si>
  <si>
    <t>Of the federal expenditures presented in the schedule, Massac County CUSD #1 provided federal awards to subrecipients as follows:</t>
  </si>
  <si>
    <t>Not Implemented.  See current year finding 2019-003.</t>
  </si>
  <si>
    <t>Allowable costs are those necessary and reasonable for the performance and administration of fedetral grants.</t>
  </si>
  <si>
    <t>An employee's salary was charged to the Title I grant, but the employee did not perform duties allowable for this grant.</t>
  </si>
  <si>
    <t>$8,627.  This represents the costs paid to the employee.  This condition was not detected with statistical sampling.</t>
  </si>
  <si>
    <t>Salaries and benefits claimed for reimbursement were overstated $8,627.</t>
  </si>
  <si>
    <t>The employee was hired for a Title I position at the end of fiscal year 2019, but was not supposed to start working under Title I until the next fiscal year.  The employee's salary for fiscal year 2019 was mistakenly charged to Title I.</t>
  </si>
  <si>
    <t>We recommend the District only claim reimbursement for salaries and benefits of employees performing allowable duties.</t>
  </si>
  <si>
    <t>We recommend all applications be signed by both the confirming and verifying official.  The District should follow the USDA income eligibility guideleines when making deteminations of free and reduced breakfasts and lunches.</t>
  </si>
  <si>
    <t>Principal and interest expense was not recorded in preliminary financial reports totaling $125,307.</t>
  </si>
  <si>
    <t>Expenditures were understated by $125,307 and cash was overstated $125,307 in the Debt Services Fund.  Cash was understated $125,307, investments were overstated $71,700 and interest income was understated $53,607 in the Educational Fund.  The accompanying financial statements reflect these corrections.</t>
  </si>
  <si>
    <t>The District overlooked making the entries to record the payment of the the local bonds.  This is normally done just once each year.</t>
  </si>
  <si>
    <t>Various Other Misc. Income Items</t>
  </si>
  <si>
    <t>By December 15 of each year, the school must verify the current free and reduced price eligibility of households selected from a sample of applicants that it have already been approved.  Applications considered error prone must be selected first for verification.</t>
  </si>
  <si>
    <t>The District has employed a new Food Service Director, and she will be following the eligibility guidelines.  She has been sent to training on the verification process and will be reviewing all verifications for the District.  It has been stressed to the confirming and verifying officials how important the verifying sample is.</t>
  </si>
  <si>
    <t xml:space="preserve">The District will ensure that only eligible salaries are claimed. </t>
  </si>
  <si>
    <t>The District will ensure that all year end closing entries are properly posted in the coming year.</t>
  </si>
  <si>
    <t>The Board will refrain from over-expending the annual budgets.  If additional spending becomes necessary, we will properly amend the budgets before making such payments.</t>
  </si>
  <si>
    <t>Massac UD 1</t>
  </si>
  <si>
    <t>10-2200-300</t>
  </si>
  <si>
    <t>80-2300-300</t>
  </si>
  <si>
    <t>10-2100-300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</si>
</sst>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double"/>
      <sz val="10"/>
      <name val="Calibri"/>
      <family val="2"/>
      <scheme val="minor"/>
    </font>
    <font>
      <u val="singleAccounting"/>
      <sz val="10"/>
      <name val="Calibri"/>
      <family val="2"/>
      <scheme val="minor"/>
    </font>
    <font>
      <u val="doubleAccounting"/>
      <sz val="10"/>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cellStyleXfs>
  <cellXfs count="250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7" xfId="17" applyNumberFormat="1" applyFont="1" applyFill="1" applyBorder="1" applyAlignment="1" applyProtection="1">
      <alignment horizontal="right" vertical="top"/>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0" fontId="3" fillId="0" borderId="157" xfId="17" applyFont="1" applyBorder="1" applyAlignment="1" applyProtection="1">
      <alignment horizontal="left" vertical="top" wrapText="1"/>
      <protection locked="0"/>
    </xf>
    <xf numFmtId="0" fontId="3" fillId="0" borderId="157" xfId="17" applyFont="1" applyBorder="1" applyAlignment="1" applyProtection="1">
      <alignment vertical="top"/>
      <protection locked="0"/>
    </xf>
    <xf numFmtId="0" fontId="55" fillId="0" borderId="0" xfId="3" applyFont="1" applyAlignment="1" applyProtection="1">
      <alignment horizontal="center" vertical="center"/>
    </xf>
    <xf numFmtId="0" fontId="2" fillId="0" borderId="157" xfId="17" applyFont="1" applyBorder="1" applyAlignment="1" applyProtection="1">
      <alignment vertical="top"/>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42" fontId="58" fillId="0" borderId="0" xfId="0" applyNumberFormat="1" applyFont="1"/>
    <xf numFmtId="42" fontId="139" fillId="0" borderId="0" xfId="0" applyNumberFormat="1" applyFont="1"/>
    <xf numFmtId="42" fontId="141" fillId="0" borderId="0" xfId="0" applyNumberFormat="1" applyFont="1"/>
    <xf numFmtId="41" fontId="140" fillId="0" borderId="0" xfId="0" applyNumberFormat="1" applyFont="1"/>
    <xf numFmtId="41" fontId="76" fillId="0" borderId="0" xfId="0" applyNumberFormat="1" applyFont="1"/>
    <xf numFmtId="41" fontId="58" fillId="0" borderId="0" xfId="0" applyNumberFormat="1" applyFont="1"/>
    <xf numFmtId="0" fontId="58" fillId="0" borderId="0" xfId="0" applyFont="1" applyAlignment="1">
      <alignment horizontal="center"/>
    </xf>
    <xf numFmtId="0" fontId="58" fillId="0" borderId="78" xfId="0" applyFont="1" applyBorder="1" applyAlignment="1">
      <alignment horizontal="center"/>
    </xf>
    <xf numFmtId="42" fontId="58" fillId="0" borderId="78" xfId="0" applyNumberFormat="1" applyFont="1" applyBorder="1" applyAlignment="1">
      <alignment horizontal="center"/>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169" fontId="66" fillId="0" borderId="74" xfId="3" applyNumberFormat="1" applyFont="1" applyBorder="1" applyAlignment="1" applyProtection="1">
      <alignment horizontal="center"/>
      <protection locked="0"/>
    </xf>
    <xf numFmtId="6" fontId="58" fillId="0" borderId="0" xfId="3" applyNumberFormat="1" applyFont="1" applyAlignment="1" applyProtection="1">
      <alignment horizontal="left" vertical="top" wrapText="1"/>
      <protection locked="0"/>
    </xf>
    <xf numFmtId="0" fontId="55"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876300</xdr:colOff>
          <xdr:row>8</xdr:row>
          <xdr:rowOff>28575</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38100</xdr:rowOff>
    </xdr:to>
    <xdr:sp macro="" textlink="">
      <xdr:nvSpPr>
        <xdr:cNvPr id="4" name="Text 1">
          <a:extLst>
            <a:ext uri="{FF2B5EF4-FFF2-40B4-BE49-F238E27FC236}">
              <a16:creationId xmlns:a16="http://schemas.microsoft.com/office/drawing/2014/main" id="{32934155-B6F5-4186-96D8-3951489C4F5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5" name="Rectangle 4">
          <a:extLst>
            <a:ext uri="{FF2B5EF4-FFF2-40B4-BE49-F238E27FC236}">
              <a16:creationId xmlns:a16="http://schemas.microsoft.com/office/drawing/2014/main" id="{9EE11940-162E-4AA2-89F2-1320C945E12A}"/>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38100</xdr:rowOff>
    </xdr:to>
    <xdr:sp macro="" textlink="">
      <xdr:nvSpPr>
        <xdr:cNvPr id="2" name="Text 1">
          <a:extLst>
            <a:ext uri="{FF2B5EF4-FFF2-40B4-BE49-F238E27FC236}">
              <a16:creationId xmlns:a16="http://schemas.microsoft.com/office/drawing/2014/main" id="{B0F8DAE0-3735-4658-80D7-5F2B7C9A9D03}"/>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97527B08-514C-4D2E-B9B9-11132A7947C3}"/>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1994" t="s">
        <v>405</v>
      </c>
      <c r="J1" s="1995"/>
      <c r="K1" s="1995"/>
      <c r="L1" s="1995"/>
      <c r="M1" s="1995"/>
      <c r="N1" s="1995"/>
      <c r="O1" s="1995"/>
      <c r="P1" s="1995"/>
      <c r="Q1" s="1995"/>
      <c r="R1" s="1995"/>
      <c r="S1" s="1995"/>
    </row>
    <row r="2" spans="1:28" ht="12" customHeight="1" x14ac:dyDescent="0.2">
      <c r="A2" s="47" t="s">
        <v>1989</v>
      </c>
      <c r="D2" s="48"/>
      <c r="I2" s="1996" t="s">
        <v>979</v>
      </c>
      <c r="J2" s="1995"/>
      <c r="K2" s="1995"/>
      <c r="L2" s="1995"/>
      <c r="M2" s="1995"/>
      <c r="N2" s="1995"/>
      <c r="O2" s="1995"/>
      <c r="P2" s="1995"/>
      <c r="Q2" s="1995"/>
      <c r="R2" s="1995"/>
      <c r="S2" s="1995"/>
    </row>
    <row r="3" spans="1:28" ht="12" customHeight="1" x14ac:dyDescent="0.2">
      <c r="A3" s="155" t="s">
        <v>1941</v>
      </c>
      <c r="B3" s="156"/>
      <c r="C3" s="156"/>
      <c r="D3" s="157"/>
      <c r="I3" s="1996" t="s">
        <v>52</v>
      </c>
      <c r="J3" s="1995"/>
      <c r="K3" s="1995"/>
      <c r="L3" s="1995"/>
      <c r="M3" s="1995"/>
      <c r="N3" s="1995"/>
      <c r="O3" s="1995"/>
      <c r="P3" s="1995"/>
      <c r="Q3" s="1995"/>
      <c r="R3" s="1995"/>
      <c r="S3" s="1995"/>
    </row>
    <row r="4" spans="1:28" ht="12" customHeight="1" x14ac:dyDescent="0.2">
      <c r="A4" s="37"/>
      <c r="I4" s="1996" t="s">
        <v>524</v>
      </c>
      <c r="J4" s="1995"/>
      <c r="K4" s="1995"/>
      <c r="L4" s="1995"/>
      <c r="M4" s="1995"/>
      <c r="N4" s="1995"/>
      <c r="O4" s="1995"/>
      <c r="P4" s="1995"/>
      <c r="Q4" s="1995"/>
      <c r="R4" s="1995"/>
      <c r="S4" s="1995"/>
    </row>
    <row r="5" spans="1:28" ht="14.1" customHeight="1" x14ac:dyDescent="0.2">
      <c r="B5" s="104" t="s">
        <v>2060</v>
      </c>
      <c r="C5" s="26" t="s">
        <v>910</v>
      </c>
      <c r="D5" s="84"/>
      <c r="E5" s="84"/>
      <c r="H5" s="38"/>
      <c r="I5" s="2004" t="s">
        <v>680</v>
      </c>
      <c r="J5" s="2003"/>
      <c r="K5" s="2003"/>
      <c r="L5" s="2003"/>
      <c r="M5" s="2003"/>
      <c r="N5" s="2003"/>
      <c r="O5" s="2003"/>
      <c r="P5" s="2003"/>
      <c r="Q5" s="2003"/>
      <c r="R5" s="2003"/>
      <c r="S5" s="2003"/>
    </row>
    <row r="6" spans="1:28" ht="14.1" customHeight="1" x14ac:dyDescent="0.2">
      <c r="B6" s="104"/>
      <c r="C6" s="26" t="s">
        <v>911</v>
      </c>
      <c r="D6" s="84"/>
      <c r="E6" s="84"/>
      <c r="I6" s="2002" t="s">
        <v>883</v>
      </c>
      <c r="J6" s="2003"/>
      <c r="K6" s="2003"/>
      <c r="L6" s="2003"/>
      <c r="M6" s="2003"/>
      <c r="N6" s="2003"/>
      <c r="O6" s="2003"/>
      <c r="P6" s="2003"/>
      <c r="Q6" s="2003"/>
      <c r="R6" s="2003"/>
      <c r="S6" s="2003"/>
    </row>
    <row r="7" spans="1:28" ht="12.2" customHeight="1" x14ac:dyDescent="0.2">
      <c r="I7" s="1997">
        <v>43646</v>
      </c>
      <c r="J7" s="1998"/>
      <c r="K7" s="1998"/>
      <c r="L7" s="1998"/>
      <c r="M7" s="1998"/>
      <c r="N7" s="1998"/>
      <c r="O7" s="1998"/>
      <c r="P7" s="1998"/>
      <c r="Q7" s="1998"/>
      <c r="R7" s="1998"/>
      <c r="S7" s="199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9" t="s">
        <v>674</v>
      </c>
      <c r="J9" s="2000"/>
      <c r="K9" s="2000"/>
      <c r="L9" s="2000"/>
      <c r="M9" s="2000"/>
      <c r="N9" s="2000"/>
      <c r="O9" s="2000"/>
      <c r="P9" s="2000"/>
      <c r="Q9" s="2000"/>
      <c r="R9" s="2000"/>
      <c r="S9" s="2001"/>
      <c r="T9" s="2015" t="s">
        <v>533</v>
      </c>
      <c r="U9" s="2016"/>
      <c r="V9" s="2016"/>
      <c r="W9" s="2016"/>
      <c r="X9" s="2016"/>
      <c r="Y9" s="2016"/>
      <c r="Z9" s="2016"/>
      <c r="AA9" s="2017"/>
    </row>
    <row r="10" spans="1:28" ht="13.5" customHeight="1" x14ac:dyDescent="0.2">
      <c r="A10" s="2022" t="s">
        <v>675</v>
      </c>
      <c r="B10" s="2023"/>
      <c r="C10" s="2023"/>
      <c r="D10" s="2023"/>
      <c r="E10" s="2023"/>
      <c r="F10" s="2023"/>
      <c r="G10" s="2023"/>
      <c r="H10" s="2024"/>
      <c r="I10" s="29"/>
      <c r="J10" s="30"/>
      <c r="K10" s="28"/>
      <c r="R10" s="30"/>
      <c r="S10" s="30"/>
      <c r="T10" s="2018"/>
      <c r="U10" s="2003"/>
      <c r="V10" s="2003"/>
      <c r="W10" s="2003"/>
      <c r="X10" s="2003"/>
      <c r="Y10" s="2003"/>
      <c r="Z10" s="2003"/>
      <c r="AA10" s="2009"/>
    </row>
    <row r="11" spans="1:28" ht="14.25" customHeight="1" x14ac:dyDescent="0.2">
      <c r="A11" s="2025" t="s">
        <v>955</v>
      </c>
      <c r="B11" s="2026"/>
      <c r="C11" s="2026"/>
      <c r="D11" s="2026"/>
      <c r="E11" s="2026"/>
      <c r="F11" s="2026"/>
      <c r="G11" s="2026"/>
      <c r="H11" s="2027"/>
      <c r="I11" s="27"/>
      <c r="J11" s="74"/>
      <c r="K11" s="27"/>
      <c r="O11" s="148" t="s">
        <v>2060</v>
      </c>
      <c r="P11" s="100" t="s">
        <v>201</v>
      </c>
      <c r="Q11" s="30"/>
      <c r="R11" s="28"/>
      <c r="S11" s="27"/>
      <c r="T11" s="2019"/>
      <c r="U11" s="2020"/>
      <c r="V11" s="2020"/>
      <c r="W11" s="2020"/>
      <c r="X11" s="2020"/>
      <c r="Y11" s="2020"/>
      <c r="Z11" s="2020"/>
      <c r="AA11" s="202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9">
        <v>21061001026</v>
      </c>
      <c r="B13" s="2030"/>
      <c r="C13" s="2030"/>
      <c r="D13" s="2030"/>
      <c r="E13" s="2030"/>
      <c r="F13" s="2030"/>
      <c r="G13" s="2030"/>
      <c r="H13" s="2031"/>
      <c r="I13" s="31"/>
      <c r="J13" s="30"/>
      <c r="K13" s="28"/>
      <c r="L13" s="30"/>
      <c r="M13" s="30"/>
      <c r="N13" s="30"/>
      <c r="O13" s="30"/>
      <c r="P13" s="30"/>
      <c r="Q13" s="30"/>
      <c r="R13" s="30"/>
      <c r="S13" s="30"/>
      <c r="T13" s="2034" t="s">
        <v>2065</v>
      </c>
      <c r="U13" s="2035"/>
      <c r="V13" s="2035"/>
      <c r="W13" s="2035"/>
      <c r="X13" s="2035"/>
      <c r="Y13" s="2036"/>
      <c r="Z13" s="2036"/>
      <c r="AA13" s="203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8" t="s">
        <v>2061</v>
      </c>
      <c r="B15" s="2032"/>
      <c r="C15" s="2032"/>
      <c r="D15" s="2032"/>
      <c r="E15" s="2032"/>
      <c r="F15" s="2032"/>
      <c r="G15" s="2032"/>
      <c r="H15" s="2033"/>
      <c r="T15" s="2038" t="s">
        <v>2066</v>
      </c>
      <c r="U15" s="1982"/>
      <c r="V15" s="1982"/>
      <c r="W15" s="1982"/>
      <c r="X15" s="1982"/>
      <c r="Y15" s="2039"/>
      <c r="Z15" s="2039"/>
      <c r="AA15" s="204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8" t="s">
        <v>2239</v>
      </c>
      <c r="B17" s="1989"/>
      <c r="C17" s="1989"/>
      <c r="D17" s="1989"/>
      <c r="E17" s="1989"/>
      <c r="F17" s="1989"/>
      <c r="G17" s="1989"/>
      <c r="H17" s="2014"/>
      <c r="T17" s="2045" t="s">
        <v>2067</v>
      </c>
      <c r="U17" s="2046"/>
      <c r="V17" s="2046"/>
      <c r="W17" s="2046"/>
      <c r="X17" s="2046"/>
      <c r="Y17" s="2046"/>
      <c r="Z17" s="2046"/>
      <c r="AA17" s="2047"/>
    </row>
    <row r="18" spans="1:27" ht="13.5" customHeight="1" x14ac:dyDescent="0.2">
      <c r="A18" s="85" t="s">
        <v>530</v>
      </c>
      <c r="B18" s="76"/>
      <c r="C18" s="72"/>
      <c r="D18" s="76"/>
      <c r="E18" s="76"/>
      <c r="F18" s="76"/>
      <c r="G18" s="76"/>
      <c r="H18" s="56"/>
      <c r="I18" s="2013" t="s">
        <v>676</v>
      </c>
      <c r="J18" s="1964"/>
      <c r="K18" s="1964"/>
      <c r="L18" s="1964"/>
      <c r="M18" s="1964"/>
      <c r="N18" s="1964"/>
      <c r="O18" s="1964"/>
      <c r="P18" s="1964"/>
      <c r="Q18" s="1964"/>
      <c r="R18" s="1964"/>
      <c r="S18" s="1965"/>
      <c r="T18" s="85" t="s">
        <v>711</v>
      </c>
      <c r="U18" s="51"/>
      <c r="V18" s="72"/>
      <c r="W18" s="50"/>
      <c r="X18" s="85" t="s">
        <v>266</v>
      </c>
      <c r="Y18" s="81"/>
      <c r="Z18" s="159" t="s">
        <v>677</v>
      </c>
      <c r="AA18" s="46"/>
    </row>
    <row r="19" spans="1:27" ht="13.5" customHeight="1" x14ac:dyDescent="0.2">
      <c r="A19" s="2028" t="s">
        <v>2062</v>
      </c>
      <c r="B19" s="1974"/>
      <c r="C19" s="1974"/>
      <c r="D19" s="1974"/>
      <c r="E19" s="1974"/>
      <c r="F19" s="1974"/>
      <c r="G19" s="1974"/>
      <c r="H19" s="1954"/>
      <c r="I19" s="30"/>
      <c r="J19" s="99"/>
      <c r="K19" s="40"/>
      <c r="L19" s="38"/>
      <c r="M19" s="112" t="s">
        <v>315</v>
      </c>
      <c r="P19" s="27"/>
      <c r="Q19" s="27"/>
      <c r="R19" s="27"/>
      <c r="S19" s="31"/>
      <c r="T19" s="2028" t="s">
        <v>2068</v>
      </c>
      <c r="U19" s="1953"/>
      <c r="V19" s="1953"/>
      <c r="W19" s="1954"/>
      <c r="X19" s="2043" t="s">
        <v>2069</v>
      </c>
      <c r="Y19" s="2044"/>
      <c r="Z19" s="2041">
        <v>63703</v>
      </c>
      <c r="AA19" s="204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2" t="s">
        <v>2063</v>
      </c>
      <c r="B21" s="1953"/>
      <c r="C21" s="1953"/>
      <c r="D21" s="1953"/>
      <c r="E21" s="1953"/>
      <c r="F21" s="1953"/>
      <c r="G21" s="1953"/>
      <c r="H21" s="1954"/>
      <c r="I21" s="2008" t="s">
        <v>678</v>
      </c>
      <c r="J21" s="2003"/>
      <c r="K21" s="2003"/>
      <c r="L21" s="2003"/>
      <c r="M21" s="2003"/>
      <c r="N21" s="2003"/>
      <c r="O21" s="2003"/>
      <c r="P21" s="2003"/>
      <c r="Q21" s="2003"/>
      <c r="R21" s="2003"/>
      <c r="S21" s="2009"/>
      <c r="T21" s="2052" t="s">
        <v>2070</v>
      </c>
      <c r="U21" s="2053"/>
      <c r="V21" s="2053"/>
      <c r="W21" s="2053"/>
      <c r="X21" s="2058" t="s">
        <v>2071</v>
      </c>
      <c r="Y21" s="2059"/>
      <c r="Z21" s="2059"/>
      <c r="AA21" s="2060"/>
    </row>
    <row r="22" spans="1:27" ht="13.5" customHeight="1" x14ac:dyDescent="0.2">
      <c r="A22" s="87" t="s">
        <v>531</v>
      </c>
      <c r="B22" s="59"/>
      <c r="C22" s="59"/>
      <c r="D22" s="59"/>
      <c r="E22" s="59"/>
      <c r="F22" s="59"/>
      <c r="G22" s="59"/>
      <c r="H22" s="60"/>
      <c r="I22" s="2010" t="s">
        <v>1429</v>
      </c>
      <c r="J22" s="2011"/>
      <c r="K22" s="2011"/>
      <c r="L22" s="2011"/>
      <c r="M22" s="2011"/>
      <c r="N22" s="2011"/>
      <c r="O22" s="2011"/>
      <c r="P22" s="2011"/>
      <c r="Q22" s="2011"/>
      <c r="R22" s="2011"/>
      <c r="S22" s="2012"/>
      <c r="T22" s="85" t="s">
        <v>1516</v>
      </c>
      <c r="U22" s="51"/>
      <c r="V22" s="72"/>
      <c r="W22" s="51"/>
      <c r="X22" s="160" t="s">
        <v>1318</v>
      </c>
      <c r="Z22" s="45"/>
      <c r="AA22" s="46"/>
    </row>
    <row r="23" spans="1:27" ht="13.5" customHeight="1" x14ac:dyDescent="0.2">
      <c r="A23" s="2005" t="s">
        <v>2064</v>
      </c>
      <c r="B23" s="2006"/>
      <c r="C23" s="2006"/>
      <c r="D23" s="2006"/>
      <c r="E23" s="2006"/>
      <c r="F23" s="2006"/>
      <c r="G23" s="2006"/>
      <c r="H23" s="2007"/>
      <c r="T23" s="1988" t="s">
        <v>2072</v>
      </c>
      <c r="U23" s="2051"/>
      <c r="V23" s="2051"/>
      <c r="W23" s="2051"/>
      <c r="X23" s="2055">
        <v>44530</v>
      </c>
      <c r="Y23" s="2056"/>
      <c r="Z23" s="2056"/>
      <c r="AA23" s="2057"/>
    </row>
    <row r="24" spans="1:27" ht="14.1" customHeight="1" x14ac:dyDescent="0.2">
      <c r="A24" s="88" t="s">
        <v>677</v>
      </c>
      <c r="B24" s="49"/>
      <c r="C24" s="49"/>
      <c r="D24" s="49"/>
      <c r="E24" s="49"/>
      <c r="F24" s="49"/>
      <c r="G24" s="49"/>
      <c r="H24" s="61"/>
      <c r="J24" s="1975">
        <f>IF(B5="x",IF(AUDITCHECK!D29="AFR form Incomplete.","",IF(AUDITCHECK!D29="Deficit reduction plan is required.","School District must complete a deficit reduction plan in the 2019-2020 Budget",)),"")</f>
        <v>0</v>
      </c>
      <c r="K24" s="1975"/>
      <c r="L24" s="1975"/>
      <c r="M24" s="1975"/>
      <c r="N24" s="1975"/>
      <c r="O24" s="1975"/>
      <c r="P24" s="1975"/>
      <c r="Q24" s="1975"/>
      <c r="R24" s="1975"/>
      <c r="S24" s="1976"/>
      <c r="T24" s="105" t="s">
        <v>531</v>
      </c>
      <c r="U24" s="106"/>
      <c r="V24" s="106"/>
      <c r="W24" s="106"/>
      <c r="X24" s="107"/>
      <c r="Y24" s="107"/>
      <c r="Z24" s="107"/>
      <c r="AA24" s="108"/>
    </row>
    <row r="25" spans="1:27" ht="14.1" customHeight="1" x14ac:dyDescent="0.2">
      <c r="A25" s="1952">
        <v>62960</v>
      </c>
      <c r="B25" s="1953"/>
      <c r="C25" s="1953"/>
      <c r="D25" s="1953"/>
      <c r="E25" s="1953"/>
      <c r="F25" s="1953"/>
      <c r="G25" s="1953"/>
      <c r="H25" s="1954"/>
      <c r="I25" s="113"/>
      <c r="J25" s="1977"/>
      <c r="K25" s="1977"/>
      <c r="L25" s="1977"/>
      <c r="M25" s="1977"/>
      <c r="N25" s="1977"/>
      <c r="O25" s="1977"/>
      <c r="P25" s="1977"/>
      <c r="Q25" s="1977"/>
      <c r="R25" s="1977"/>
      <c r="S25" s="1978"/>
      <c r="T25" s="2048" t="s">
        <v>2073</v>
      </c>
      <c r="U25" s="2049"/>
      <c r="V25" s="2049"/>
      <c r="W25" s="2049"/>
      <c r="X25" s="2049"/>
      <c r="Y25" s="2049"/>
      <c r="Z25" s="2049"/>
      <c r="AA25" s="205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3" t="s">
        <v>1511</v>
      </c>
      <c r="J27" s="1964"/>
      <c r="K27" s="1964"/>
      <c r="L27" s="1964"/>
      <c r="M27" s="1964"/>
      <c r="N27" s="1964"/>
      <c r="O27" s="1964"/>
      <c r="P27" s="1964"/>
      <c r="Q27" s="1964"/>
      <c r="R27" s="1964"/>
      <c r="S27" s="196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2060</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2060</v>
      </c>
      <c r="C30" s="124" t="s">
        <v>1164</v>
      </c>
      <c r="D30" s="28"/>
      <c r="E30" s="28"/>
      <c r="F30" s="140"/>
      <c r="G30" s="114"/>
      <c r="H30" s="114"/>
      <c r="I30" s="54"/>
      <c r="J30" s="148" t="s">
        <v>2060</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2060</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4"/>
      <c r="Q35" s="1953"/>
      <c r="R35" s="195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8"/>
      <c r="B38" s="1989"/>
      <c r="C38" s="1989"/>
      <c r="D38" s="1989"/>
      <c r="E38" s="1989"/>
      <c r="F38" s="1953"/>
      <c r="G38" s="1953"/>
      <c r="H38" s="1954"/>
      <c r="I38" s="1981"/>
      <c r="J38" s="1982"/>
      <c r="K38" s="1982"/>
      <c r="L38" s="1982"/>
      <c r="M38" s="1982"/>
      <c r="N38" s="1982"/>
      <c r="O38" s="1982"/>
      <c r="P38" s="1983"/>
      <c r="Q38" s="1983"/>
      <c r="R38" s="1983"/>
      <c r="S38" s="1984"/>
      <c r="T38" s="2038"/>
      <c r="U38" s="1982"/>
      <c r="V38" s="1982"/>
      <c r="W38" s="1982"/>
      <c r="X38" s="1983"/>
      <c r="Y38" s="1983"/>
      <c r="Z38" s="1983"/>
      <c r="AA38" s="1984"/>
    </row>
    <row r="39" spans="1:27" ht="12" customHeight="1" x14ac:dyDescent="0.2">
      <c r="A39" s="1958" t="s">
        <v>531</v>
      </c>
      <c r="B39" s="1959"/>
      <c r="C39" s="72"/>
      <c r="D39" s="69"/>
      <c r="E39" s="69"/>
      <c r="F39" s="79"/>
      <c r="G39" s="69"/>
      <c r="H39" s="56"/>
      <c r="I39" s="1958" t="s">
        <v>531</v>
      </c>
      <c r="J39" s="1959"/>
      <c r="K39" s="1959"/>
      <c r="L39" s="1959"/>
      <c r="M39" s="1959"/>
      <c r="N39" s="67"/>
      <c r="O39" s="72"/>
      <c r="P39" s="72"/>
      <c r="Q39" s="78"/>
      <c r="R39" s="72"/>
      <c r="S39" s="56"/>
      <c r="T39" s="72" t="s">
        <v>531</v>
      </c>
      <c r="U39" s="51"/>
      <c r="V39" s="72"/>
      <c r="W39" s="50"/>
      <c r="X39" s="78"/>
      <c r="Y39" s="45"/>
      <c r="Z39" s="45"/>
      <c r="AA39" s="46"/>
    </row>
    <row r="40" spans="1:27" ht="13.5" customHeight="1" x14ac:dyDescent="0.2">
      <c r="A40" s="1966"/>
      <c r="B40" s="1967"/>
      <c r="C40" s="1968"/>
      <c r="D40" s="1968"/>
      <c r="E40" s="1968"/>
      <c r="F40" s="1969"/>
      <c r="G40" s="1969"/>
      <c r="H40" s="1970"/>
      <c r="I40" s="1991"/>
      <c r="J40" s="1992"/>
      <c r="K40" s="1992"/>
      <c r="L40" s="1992"/>
      <c r="M40" s="1992"/>
      <c r="N40" s="1992"/>
      <c r="O40" s="1992"/>
      <c r="P40" s="1992"/>
      <c r="Q40" s="1992"/>
      <c r="R40" s="1992"/>
      <c r="S40" s="1993"/>
      <c r="T40" s="1991"/>
      <c r="U40" s="2054"/>
      <c r="V40" s="1992"/>
      <c r="W40" s="1992"/>
      <c r="X40" s="1992"/>
      <c r="Y40" s="1992"/>
      <c r="Z40" s="1992"/>
      <c r="AA40" s="199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0"/>
      <c r="B42" s="1972"/>
      <c r="C42" s="1973"/>
      <c r="D42" s="1971"/>
      <c r="E42" s="1972"/>
      <c r="F42" s="1972"/>
      <c r="G42" s="1972"/>
      <c r="H42" s="1973"/>
      <c r="I42" s="1955"/>
      <c r="J42" s="1956"/>
      <c r="K42" s="1956"/>
      <c r="L42" s="1956"/>
      <c r="M42" s="1956"/>
      <c r="N42" s="1956"/>
      <c r="O42" s="1957"/>
      <c r="P42" s="1990"/>
      <c r="Q42" s="1956"/>
      <c r="R42" s="1956"/>
      <c r="S42" s="1957"/>
      <c r="T42" s="1955"/>
      <c r="U42" s="1956"/>
      <c r="V42" s="1956"/>
      <c r="W42" s="1957"/>
      <c r="X42" s="1990"/>
      <c r="Y42" s="1956"/>
      <c r="Z42" s="1956"/>
      <c r="AA42" s="195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5"/>
      <c r="B44" s="1986"/>
      <c r="C44" s="1986"/>
      <c r="D44" s="1986"/>
      <c r="E44" s="1986"/>
      <c r="F44" s="1986"/>
      <c r="G44" s="1986"/>
      <c r="H44" s="1987"/>
      <c r="I44" s="1960"/>
      <c r="J44" s="1961"/>
      <c r="K44" s="1961"/>
      <c r="L44" s="1961"/>
      <c r="M44" s="1961"/>
      <c r="N44" s="1961"/>
      <c r="O44" s="1961"/>
      <c r="P44" s="1961"/>
      <c r="Q44" s="1961"/>
      <c r="R44" s="1961"/>
      <c r="S44" s="1962"/>
      <c r="T44" s="1960"/>
      <c r="U44" s="1979"/>
      <c r="V44" s="1979"/>
      <c r="W44" s="1979"/>
      <c r="X44" s="1979"/>
      <c r="Y44" s="1979"/>
      <c r="Z44" s="1961"/>
      <c r="AA44" s="196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1940</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8" sqref="E8"/>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4" t="s">
        <v>1799</v>
      </c>
      <c r="B2" s="1528" t="s">
        <v>1947</v>
      </c>
      <c r="C2" s="714" t="s">
        <v>1948</v>
      </c>
      <c r="D2" s="714" t="s">
        <v>1949</v>
      </c>
      <c r="E2" s="714" t="s">
        <v>1950</v>
      </c>
      <c r="F2" s="714" t="s">
        <v>1951</v>
      </c>
    </row>
    <row r="3" spans="1:6" ht="12" customHeight="1" x14ac:dyDescent="0.2">
      <c r="A3" s="2195"/>
      <c r="B3" s="1525"/>
      <c r="C3" s="1526"/>
      <c r="D3" s="1527" t="s">
        <v>256</v>
      </c>
      <c r="E3" s="1526"/>
      <c r="F3" s="1527" t="s">
        <v>257</v>
      </c>
    </row>
    <row r="4" spans="1:6" ht="13.7" customHeight="1" x14ac:dyDescent="0.2">
      <c r="A4" s="715" t="s">
        <v>1155</v>
      </c>
      <c r="B4" s="1749">
        <f>'Revenues 9-14'!C5</f>
        <v>3830436</v>
      </c>
      <c r="C4" s="1524"/>
      <c r="D4" s="1752">
        <f>B4-C4</f>
        <v>3830436</v>
      </c>
      <c r="E4" s="1524">
        <v>3938296</v>
      </c>
      <c r="F4" s="1752">
        <f>E4-C4</f>
        <v>3938296</v>
      </c>
    </row>
    <row r="5" spans="1:6" ht="13.7" customHeight="1" x14ac:dyDescent="0.2">
      <c r="A5" s="715" t="s">
        <v>870</v>
      </c>
      <c r="B5" s="1750">
        <f>'Revenues 9-14'!D5</f>
        <v>728836</v>
      </c>
      <c r="C5" s="585"/>
      <c r="D5" s="1753">
        <f t="shared" ref="D5:D18" si="0">B5-C5</f>
        <v>728836</v>
      </c>
      <c r="E5" s="585">
        <v>749364</v>
      </c>
      <c r="F5" s="1753">
        <f>E5-C5</f>
        <v>749364</v>
      </c>
    </row>
    <row r="6" spans="1:6" ht="13.7" customHeight="1" x14ac:dyDescent="0.2">
      <c r="A6" s="715" t="s">
        <v>411</v>
      </c>
      <c r="B6" s="1750">
        <f>'Revenues 9-14'!E5</f>
        <v>709089</v>
      </c>
      <c r="C6" s="585"/>
      <c r="D6" s="1753">
        <f t="shared" si="0"/>
        <v>709089</v>
      </c>
      <c r="E6" s="585">
        <v>715310</v>
      </c>
      <c r="F6" s="1753">
        <f t="shared" ref="F6:F18" si="1">E6-C6</f>
        <v>715310</v>
      </c>
    </row>
    <row r="7" spans="1:6" ht="13.7" customHeight="1" x14ac:dyDescent="0.2">
      <c r="A7" s="715" t="s">
        <v>155</v>
      </c>
      <c r="B7" s="1750">
        <f>'Revenues 9-14'!F5</f>
        <v>277085</v>
      </c>
      <c r="C7" s="585"/>
      <c r="D7" s="1753">
        <f t="shared" si="0"/>
        <v>277085</v>
      </c>
      <c r="E7" s="585">
        <v>278593</v>
      </c>
      <c r="F7" s="1753">
        <f t="shared" si="1"/>
        <v>278593</v>
      </c>
    </row>
    <row r="8" spans="1:6" ht="13.7" customHeight="1" x14ac:dyDescent="0.2">
      <c r="A8" s="715" t="s">
        <v>1179</v>
      </c>
      <c r="B8" s="1750">
        <f>'Revenues 9-14'!G5</f>
        <v>227751</v>
      </c>
      <c r="C8" s="585"/>
      <c r="D8" s="1753">
        <f t="shared" si="0"/>
        <v>227751</v>
      </c>
      <c r="E8" s="585">
        <v>234174</v>
      </c>
      <c r="F8" s="1753">
        <f t="shared" si="1"/>
        <v>234174</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67599</v>
      </c>
      <c r="C10" s="585"/>
      <c r="D10" s="1753">
        <f t="shared" si="0"/>
        <v>67599</v>
      </c>
      <c r="E10" s="585">
        <v>69508</v>
      </c>
      <c r="F10" s="1753">
        <f t="shared" si="1"/>
        <v>69508</v>
      </c>
    </row>
    <row r="11" spans="1:6" x14ac:dyDescent="0.2">
      <c r="A11" s="715" t="s">
        <v>409</v>
      </c>
      <c r="B11" s="1750">
        <f>'Revenues 9-14'!J5</f>
        <v>476411</v>
      </c>
      <c r="C11" s="585"/>
      <c r="D11" s="1753">
        <f t="shared" si="0"/>
        <v>476411</v>
      </c>
      <c r="E11" s="585">
        <v>489836</v>
      </c>
      <c r="F11" s="1753">
        <f t="shared" si="1"/>
        <v>489836</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34737</v>
      </c>
      <c r="C13" s="585"/>
      <c r="D13" s="1753">
        <f t="shared" si="0"/>
        <v>34737</v>
      </c>
      <c r="E13" s="585">
        <v>35721</v>
      </c>
      <c r="F13" s="1753">
        <f t="shared" si="1"/>
        <v>35721</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227751</v>
      </c>
      <c r="C16" s="585"/>
      <c r="D16" s="1753">
        <f t="shared" si="0"/>
        <v>227751</v>
      </c>
      <c r="E16" s="585">
        <v>234174</v>
      </c>
      <c r="F16" s="1753">
        <f t="shared" si="1"/>
        <v>234174</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6579695</v>
      </c>
      <c r="C19" s="1751">
        <f>SUM(C4:C18)</f>
        <v>0</v>
      </c>
      <c r="D19" s="1751">
        <f>SUM(D4:D18)</f>
        <v>6579695</v>
      </c>
      <c r="E19" s="1751">
        <f>SUM(E4:E18)</f>
        <v>6744976</v>
      </c>
      <c r="F19" s="1751">
        <f>SUM(F4:F18)</f>
        <v>6744976</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orizontalCentered="1" headings="1" gridLinesSet="0"/>
  <pageMargins left="0.75" right="0.75" top="1.65" bottom="0.52" header="0.44" footer="0.42"/>
  <pageSetup scale="90" firstPageNumber="23" orientation="landscape" useFirstPageNumber="1" r:id="rId1"/>
  <headerFooter alignWithMargins="0">
    <oddHeader>&amp;L&amp;8Page &amp;P&amp;R&amp;8Page &amp;P</oddHeader>
    <oddFooter>&amp;L&amp;8Print Date: &amp;D
&amp;F&amp;CSee Independent Auditors' Report.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B28" colorId="8" zoomScale="110" zoomScaleNormal="110" workbookViewId="0">
      <selection activeCell="J33" sqref="J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6" t="s">
        <v>629</v>
      </c>
      <c r="B1" s="2214"/>
      <c r="C1" s="721"/>
    </row>
    <row r="2" spans="1:7" ht="33.75" x14ac:dyDescent="0.2">
      <c r="A2" s="2221" t="s">
        <v>1799</v>
      </c>
      <c r="B2" s="2222"/>
      <c r="C2" s="1884" t="s">
        <v>1952</v>
      </c>
      <c r="D2" s="723" t="s">
        <v>1953</v>
      </c>
      <c r="E2" s="723" t="s">
        <v>1954</v>
      </c>
      <c r="F2" s="1884" t="s">
        <v>1955</v>
      </c>
    </row>
    <row r="3" spans="1:7" ht="15.75" customHeight="1" x14ac:dyDescent="0.2">
      <c r="A3" s="2223" t="s">
        <v>1114</v>
      </c>
      <c r="B3" s="2224"/>
      <c r="C3" s="2217"/>
      <c r="D3" s="2218"/>
      <c r="E3" s="2218"/>
      <c r="F3" s="2219"/>
    </row>
    <row r="4" spans="1:7" ht="12.75" customHeight="1" thickBot="1" x14ac:dyDescent="0.25">
      <c r="A4" s="2211" t="s">
        <v>630</v>
      </c>
      <c r="B4" s="2212"/>
      <c r="C4" s="581"/>
      <c r="D4" s="581"/>
      <c r="E4" s="581"/>
      <c r="F4" s="1755">
        <f>SUM(C4+D4)-E4</f>
        <v>0</v>
      </c>
    </row>
    <row r="5" spans="1:7" ht="15.75" customHeight="1" thickTop="1" x14ac:dyDescent="0.2">
      <c r="A5" s="2215" t="s">
        <v>1110</v>
      </c>
      <c r="B5" s="2210"/>
      <c r="C5" s="2204"/>
      <c r="D5" s="2205"/>
      <c r="E5" s="2205"/>
      <c r="F5" s="220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7" t="s">
        <v>631</v>
      </c>
      <c r="B15" s="2208"/>
      <c r="C15" s="1755">
        <f>SUM(C6:C14)</f>
        <v>0</v>
      </c>
      <c r="D15" s="1755">
        <f>SUM(D6:D14)</f>
        <v>0</v>
      </c>
      <c r="E15" s="1755">
        <f>SUM(E6:E14)</f>
        <v>0</v>
      </c>
      <c r="F15" s="1755">
        <f>SUM(F6:F14)</f>
        <v>0</v>
      </c>
      <c r="G15" s="552"/>
    </row>
    <row r="16" spans="1:7" s="202" customFormat="1" ht="15.75" customHeight="1" thickTop="1" x14ac:dyDescent="0.2">
      <c r="A16" s="2220" t="s">
        <v>1111</v>
      </c>
      <c r="B16" s="2210"/>
      <c r="C16" s="2204"/>
      <c r="D16" s="2205"/>
      <c r="E16" s="2205"/>
      <c r="F16" s="2206"/>
    </row>
    <row r="17" spans="1:11" ht="12.75" customHeight="1" thickBot="1" x14ac:dyDescent="0.25">
      <c r="A17" s="2202" t="s">
        <v>64</v>
      </c>
      <c r="B17" s="2203"/>
      <c r="C17" s="726"/>
      <c r="D17" s="585"/>
      <c r="E17" s="726"/>
      <c r="F17" s="1755">
        <f>SUM(C17+D17)-E17</f>
        <v>0</v>
      </c>
    </row>
    <row r="18" spans="1:11" ht="12.75" customHeight="1" thickTop="1" thickBot="1" x14ac:dyDescent="0.25">
      <c r="A18" s="2202" t="s">
        <v>6</v>
      </c>
      <c r="B18" s="2203"/>
      <c r="C18" s="726"/>
      <c r="D18" s="585"/>
      <c r="E18" s="726"/>
      <c r="F18" s="1755">
        <f>SUM(C18+D18)-E18</f>
        <v>0</v>
      </c>
    </row>
    <row r="19" spans="1:11" ht="12.75" customHeight="1" thickTop="1" thickBot="1" x14ac:dyDescent="0.25">
      <c r="A19" s="2202" t="s">
        <v>388</v>
      </c>
      <c r="B19" s="2203"/>
      <c r="C19" s="726"/>
      <c r="D19" s="585"/>
      <c r="E19" s="726"/>
      <c r="F19" s="1755">
        <f>SUM(C19+D19)-E19</f>
        <v>0</v>
      </c>
    </row>
    <row r="20" spans="1:11" ht="12.75" customHeight="1" thickTop="1" thickBot="1" x14ac:dyDescent="0.25">
      <c r="A20" s="2202" t="s">
        <v>448</v>
      </c>
      <c r="B20" s="2203"/>
      <c r="C20" s="726"/>
      <c r="D20" s="585"/>
      <c r="E20" s="726"/>
      <c r="F20" s="1755">
        <f>SUM(C20+D20)-E20</f>
        <v>0</v>
      </c>
    </row>
    <row r="21" spans="1:11" ht="14.25" thickTop="1" thickBot="1" x14ac:dyDescent="0.25">
      <c r="A21" s="2207" t="s">
        <v>632</v>
      </c>
      <c r="B21" s="2208"/>
      <c r="C21" s="1755">
        <f>SUM(C17:C20)</f>
        <v>0</v>
      </c>
      <c r="D21" s="1755">
        <f>SUM(D17:D20)</f>
        <v>0</v>
      </c>
      <c r="E21" s="1755">
        <f>SUM(E17:E20)</f>
        <v>0</v>
      </c>
      <c r="F21" s="1755">
        <f>SUM(F17:F20)</f>
        <v>0</v>
      </c>
      <c r="G21" s="552"/>
    </row>
    <row r="22" spans="1:11" ht="15.75" customHeight="1" thickTop="1" x14ac:dyDescent="0.2">
      <c r="A22" s="2209" t="s">
        <v>1112</v>
      </c>
      <c r="B22" s="2210"/>
      <c r="C22" s="2204"/>
      <c r="D22" s="2205"/>
      <c r="E22" s="2205"/>
      <c r="F22" s="2206"/>
    </row>
    <row r="23" spans="1:11" ht="13.5" thickBot="1" x14ac:dyDescent="0.25">
      <c r="A23" s="2211" t="s">
        <v>633</v>
      </c>
      <c r="B23" s="2212"/>
      <c r="C23" s="581"/>
      <c r="D23" s="581"/>
      <c r="E23" s="581"/>
      <c r="F23" s="1755">
        <f>SUM(C23+D23)-E23</f>
        <v>0</v>
      </c>
      <c r="G23" s="552"/>
    </row>
    <row r="24" spans="1:11" ht="15.75" customHeight="1" thickTop="1" x14ac:dyDescent="0.2">
      <c r="A24" s="2209" t="s">
        <v>1113</v>
      </c>
      <c r="B24" s="2210"/>
      <c r="C24" s="2204"/>
      <c r="D24" s="2205"/>
      <c r="E24" s="2205"/>
      <c r="F24" s="2206"/>
    </row>
    <row r="25" spans="1:11" ht="13.5" thickBot="1" x14ac:dyDescent="0.25">
      <c r="A25" s="2211" t="s">
        <v>634</v>
      </c>
      <c r="B25" s="2212"/>
      <c r="C25" s="581"/>
      <c r="D25" s="581"/>
      <c r="E25" s="581"/>
      <c r="F25" s="1755">
        <f>SUM(C25+D25)-E25</f>
        <v>0</v>
      </c>
      <c r="G25" s="552"/>
    </row>
    <row r="26" spans="1:11" ht="15.75" customHeight="1" thickTop="1" x14ac:dyDescent="0.2">
      <c r="A26" s="2215" t="s">
        <v>657</v>
      </c>
      <c r="B26" s="2210"/>
      <c r="C26" s="727"/>
      <c r="D26" s="727"/>
      <c r="E26" s="727"/>
      <c r="F26" s="728"/>
    </row>
    <row r="27" spans="1:11" ht="13.5" thickBot="1" x14ac:dyDescent="0.25">
      <c r="A27" s="2207" t="s">
        <v>1070</v>
      </c>
      <c r="B27" s="2208"/>
      <c r="C27" s="585"/>
      <c r="D27" s="585"/>
      <c r="E27" s="585"/>
      <c r="F27" s="1755">
        <f>SUM(C27+D27)-E27</f>
        <v>0</v>
      </c>
      <c r="G27" s="552"/>
    </row>
    <row r="28" spans="1:11" ht="7.5" customHeight="1" thickTop="1" x14ac:dyDescent="0.2">
      <c r="A28" s="593"/>
    </row>
    <row r="29" spans="1:11" ht="23.25" customHeight="1" x14ac:dyDescent="0.2">
      <c r="A29" s="2213" t="s">
        <v>582</v>
      </c>
      <c r="B29" s="2214"/>
      <c r="C29" s="729"/>
      <c r="D29" s="729"/>
      <c r="E29" s="729"/>
      <c r="F29" s="729"/>
      <c r="G29" s="729"/>
      <c r="H29" s="729"/>
      <c r="I29" s="729"/>
      <c r="J29" s="729"/>
    </row>
    <row r="30" spans="1:11" ht="33.75" x14ac:dyDescent="0.2">
      <c r="A30" s="1529" t="s">
        <v>1071</v>
      </c>
      <c r="B30" s="730" t="s">
        <v>1124</v>
      </c>
      <c r="C30" s="1885" t="s">
        <v>583</v>
      </c>
      <c r="D30" s="1885" t="s">
        <v>1673</v>
      </c>
      <c r="E30" s="1885" t="s">
        <v>1956</v>
      </c>
      <c r="F30" s="1885" t="s">
        <v>1957</v>
      </c>
      <c r="G30" s="1885" t="s">
        <v>1907</v>
      </c>
      <c r="H30" s="1885" t="s">
        <v>1958</v>
      </c>
      <c r="I30" s="1885" t="s">
        <v>1959</v>
      </c>
      <c r="J30" s="1886" t="s">
        <v>2</v>
      </c>
      <c r="K30" s="731"/>
    </row>
    <row r="31" spans="1:11" ht="12" customHeight="1" x14ac:dyDescent="0.2">
      <c r="A31" s="732" t="s">
        <v>2075</v>
      </c>
      <c r="B31" s="733">
        <v>42152</v>
      </c>
      <c r="C31" s="734">
        <v>2158100</v>
      </c>
      <c r="D31" s="735">
        <v>3</v>
      </c>
      <c r="E31" s="734">
        <v>1945200</v>
      </c>
      <c r="F31" s="734"/>
      <c r="G31" s="734"/>
      <c r="H31" s="734">
        <v>71700</v>
      </c>
      <c r="I31" s="1756">
        <f>((E31+F31)-H31)+G31</f>
        <v>1873500</v>
      </c>
      <c r="J31" s="734">
        <v>1323762</v>
      </c>
      <c r="K31" s="736"/>
    </row>
    <row r="32" spans="1:11" ht="12" customHeight="1" x14ac:dyDescent="0.2">
      <c r="A32" s="732" t="s">
        <v>2076</v>
      </c>
      <c r="B32" s="733">
        <v>42675</v>
      </c>
      <c r="C32" s="734">
        <v>2020000</v>
      </c>
      <c r="D32" s="735">
        <v>3</v>
      </c>
      <c r="E32" s="734">
        <v>1462500</v>
      </c>
      <c r="F32" s="734"/>
      <c r="G32" s="734"/>
      <c r="H32" s="734">
        <v>566900</v>
      </c>
      <c r="I32" s="1756">
        <f>((E32+F32)-H32)+G32</f>
        <v>895600</v>
      </c>
      <c r="J32" s="734">
        <v>895600</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4178100</v>
      </c>
      <c r="D49" s="745"/>
      <c r="E49" s="1756">
        <f t="shared" ref="E49:J49" si="2">SUM(E31:E48)</f>
        <v>3407700</v>
      </c>
      <c r="F49" s="1756">
        <f t="shared" si="2"/>
        <v>0</v>
      </c>
      <c r="G49" s="1756">
        <f t="shared" si="2"/>
        <v>0</v>
      </c>
      <c r="H49" s="1756">
        <f t="shared" si="2"/>
        <v>638600</v>
      </c>
      <c r="I49" s="1756">
        <f t="shared" si="2"/>
        <v>2769100</v>
      </c>
      <c r="J49" s="1756">
        <f t="shared" si="2"/>
        <v>2219362</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96" t="s">
        <v>584</v>
      </c>
      <c r="C52" s="2197"/>
      <c r="D52" s="2197"/>
      <c r="E52" s="749" t="s">
        <v>845</v>
      </c>
      <c r="F52" s="2198"/>
      <c r="G52" s="2199"/>
      <c r="H52" s="736"/>
      <c r="I52" s="736"/>
      <c r="J52" s="746"/>
    </row>
    <row r="53" spans="1:11" ht="11.25" customHeight="1" x14ac:dyDescent="0.2">
      <c r="A53" s="750" t="s">
        <v>913</v>
      </c>
      <c r="B53" s="751" t="s">
        <v>951</v>
      </c>
      <c r="C53" s="746"/>
      <c r="D53" s="737"/>
      <c r="E53" s="749" t="s">
        <v>497</v>
      </c>
      <c r="F53" s="2200"/>
      <c r="G53" s="2201"/>
      <c r="H53" s="736"/>
      <c r="I53" s="736"/>
      <c r="J53" s="746"/>
    </row>
    <row r="54" spans="1:11" ht="11.25" customHeight="1" x14ac:dyDescent="0.2">
      <c r="A54" s="752" t="s">
        <v>914</v>
      </c>
      <c r="B54" s="747" t="s">
        <v>952</v>
      </c>
      <c r="C54" s="746"/>
      <c r="D54" s="737"/>
      <c r="E54" s="749" t="s">
        <v>498</v>
      </c>
      <c r="F54" s="2200"/>
      <c r="G54" s="220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0.25" right="0.15" top="0.9" bottom="0.75" header="0.17" footer="0.35"/>
  <pageSetup scale="65" firstPageNumber="24" fitToHeight="0" orientation="landscape" useFirstPageNumber="1" r:id="rId1"/>
  <headerFooter alignWithMargins="0">
    <oddHeader>&amp;L&amp;8Page &amp;P&amp;R&amp;8Page &amp;P</oddHeader>
    <oddFooter>&amp;L&amp;8Print Date: &amp;D 
&amp;F&amp;CSee Independent Auditors'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3" colorId="8" zoomScale="110" zoomScaleNormal="110" workbookViewId="0">
      <selection activeCell="K27" sqref="K2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5" t="s">
        <v>856</v>
      </c>
      <c r="B1" s="2226"/>
      <c r="C1" s="2226"/>
      <c r="D1" s="2226"/>
      <c r="E1" s="2226"/>
      <c r="F1" s="2226"/>
      <c r="G1" s="2227"/>
      <c r="H1" s="1530"/>
      <c r="I1" s="760"/>
      <c r="J1" s="433"/>
    </row>
    <row r="2" spans="1:11" ht="26.25" x14ac:dyDescent="0.2">
      <c r="A2" s="2244" t="s">
        <v>1677</v>
      </c>
      <c r="B2" s="2245"/>
      <c r="C2" s="2245"/>
      <c r="D2" s="2245"/>
      <c r="E2" s="2246"/>
      <c r="F2" s="761" t="s">
        <v>904</v>
      </c>
      <c r="G2" s="762" t="s">
        <v>1674</v>
      </c>
      <c r="H2" s="762" t="s">
        <v>410</v>
      </c>
      <c r="I2" s="762" t="s">
        <v>1158</v>
      </c>
      <c r="J2" s="762" t="s">
        <v>1809</v>
      </c>
      <c r="K2" s="762" t="s">
        <v>138</v>
      </c>
    </row>
    <row r="3" spans="1:11" x14ac:dyDescent="0.2">
      <c r="A3" s="2247" t="s">
        <v>1960</v>
      </c>
      <c r="B3" s="2248"/>
      <c r="C3" s="2248"/>
      <c r="D3" s="2248"/>
      <c r="E3" s="2249"/>
      <c r="F3" s="763"/>
      <c r="G3" s="764"/>
      <c r="H3" s="764"/>
      <c r="I3" s="764"/>
      <c r="J3" s="765"/>
      <c r="K3" s="765"/>
    </row>
    <row r="4" spans="1:11" x14ac:dyDescent="0.2">
      <c r="A4" s="2250" t="s">
        <v>369</v>
      </c>
      <c r="B4" s="2251"/>
      <c r="C4" s="2251"/>
      <c r="D4" s="2251"/>
      <c r="E4" s="2197"/>
      <c r="F4" s="766"/>
      <c r="G4" s="767"/>
      <c r="H4" s="768"/>
      <c r="I4" s="767"/>
      <c r="J4" s="769"/>
      <c r="K4" s="769"/>
    </row>
    <row r="5" spans="1:11" x14ac:dyDescent="0.2">
      <c r="A5" s="2228" t="s">
        <v>1069</v>
      </c>
      <c r="B5" s="2229"/>
      <c r="C5" s="2229"/>
      <c r="D5" s="2229"/>
      <c r="E5" s="2230"/>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25635</v>
      </c>
    </row>
    <row r="10" spans="1:11" x14ac:dyDescent="0.2">
      <c r="A10" s="2228" t="s">
        <v>1810</v>
      </c>
      <c r="B10" s="2229"/>
      <c r="C10" s="2229"/>
      <c r="D10" s="2229"/>
      <c r="E10" s="2231"/>
      <c r="F10" s="783" t="s">
        <v>862</v>
      </c>
      <c r="G10" s="782"/>
      <c r="H10" s="784"/>
      <c r="I10" s="764"/>
      <c r="J10" s="765"/>
      <c r="K10" s="765"/>
    </row>
    <row r="11" spans="1:11" x14ac:dyDescent="0.2">
      <c r="A11" s="2228" t="s">
        <v>160</v>
      </c>
      <c r="B11" s="2229"/>
      <c r="C11" s="2229"/>
      <c r="D11" s="2229"/>
      <c r="E11" s="2230"/>
      <c r="F11" s="770" t="s">
        <v>852</v>
      </c>
      <c r="G11" s="771"/>
      <c r="H11" s="764"/>
      <c r="I11" s="764"/>
      <c r="J11" s="765"/>
      <c r="K11" s="773"/>
    </row>
    <row r="12" spans="1:11" ht="13.5" thickBot="1" x14ac:dyDescent="0.25">
      <c r="A12" s="2255" t="s">
        <v>905</v>
      </c>
      <c r="B12" s="2256"/>
      <c r="C12" s="2256"/>
      <c r="D12" s="2256"/>
      <c r="E12" s="2257"/>
      <c r="F12" s="1757"/>
      <c r="G12" s="1758">
        <f>SUM(G5:G11)</f>
        <v>0</v>
      </c>
      <c r="H12" s="1758">
        <f>SUM(H5:H11)</f>
        <v>0</v>
      </c>
      <c r="I12" s="1758">
        <f>SUM(I5:I11)</f>
        <v>0</v>
      </c>
      <c r="J12" s="1758">
        <f>SUM(J5:J11)</f>
        <v>0</v>
      </c>
      <c r="K12" s="1758">
        <f>SUM(K5:K11)</f>
        <v>25635</v>
      </c>
    </row>
    <row r="13" spans="1:11" ht="13.5" thickTop="1" x14ac:dyDescent="0.2">
      <c r="A13" s="2252" t="s">
        <v>370</v>
      </c>
      <c r="B13" s="2253"/>
      <c r="C13" s="2253"/>
      <c r="D13" s="2253"/>
      <c r="E13" s="2254"/>
      <c r="F13" s="785"/>
      <c r="G13" s="786"/>
      <c r="H13" s="787"/>
      <c r="I13" s="788"/>
      <c r="J13" s="788"/>
      <c r="K13" s="788"/>
    </row>
    <row r="14" spans="1:11" x14ac:dyDescent="0.2">
      <c r="A14" s="2235" t="s">
        <v>456</v>
      </c>
      <c r="B14" s="2235"/>
      <c r="C14" s="2235"/>
      <c r="D14" s="2235"/>
      <c r="E14" s="2236"/>
      <c r="F14" s="789" t="s">
        <v>854</v>
      </c>
      <c r="G14" s="782"/>
      <c r="H14" s="764"/>
      <c r="I14" s="771"/>
      <c r="J14" s="773"/>
      <c r="K14" s="765">
        <v>25635</v>
      </c>
    </row>
    <row r="15" spans="1:11" x14ac:dyDescent="0.2">
      <c r="A15" s="2229" t="s">
        <v>4</v>
      </c>
      <c r="B15" s="2229"/>
      <c r="C15" s="2229"/>
      <c r="D15" s="2229"/>
      <c r="E15" s="2230"/>
      <c r="F15" s="789" t="s">
        <v>855</v>
      </c>
      <c r="G15" s="771"/>
      <c r="H15" s="764"/>
      <c r="I15" s="764"/>
      <c r="J15" s="765"/>
      <c r="K15" s="765"/>
    </row>
    <row r="16" spans="1:11" x14ac:dyDescent="0.2">
      <c r="A16" s="2229" t="s">
        <v>298</v>
      </c>
      <c r="B16" s="2229"/>
      <c r="C16" s="2229"/>
      <c r="D16" s="2229"/>
      <c r="E16" s="2230"/>
      <c r="F16" s="789" t="s">
        <v>923</v>
      </c>
      <c r="G16" s="772"/>
      <c r="H16" s="767"/>
      <c r="I16" s="767"/>
      <c r="J16" s="769"/>
      <c r="K16" s="769"/>
    </row>
    <row r="17" spans="1:11" x14ac:dyDescent="0.2">
      <c r="A17" s="2260" t="s">
        <v>935</v>
      </c>
      <c r="B17" s="2260"/>
      <c r="C17" s="2260"/>
      <c r="D17" s="2260"/>
      <c r="E17" s="2261"/>
      <c r="F17" s="790"/>
      <c r="G17" s="791"/>
      <c r="H17" s="792"/>
      <c r="I17" s="792"/>
      <c r="J17" s="793"/>
      <c r="K17" s="794"/>
    </row>
    <row r="18" spans="1:11" x14ac:dyDescent="0.2">
      <c r="A18" s="2239" t="s">
        <v>368</v>
      </c>
      <c r="B18" s="2240"/>
      <c r="C18" s="2240"/>
      <c r="D18" s="2240"/>
      <c r="E18" s="2241"/>
      <c r="F18" s="789" t="s">
        <v>932</v>
      </c>
      <c r="G18" s="782"/>
      <c r="H18" s="782"/>
      <c r="I18" s="782"/>
      <c r="J18" s="765"/>
      <c r="K18" s="795"/>
    </row>
    <row r="19" spans="1:11" ht="21.75" customHeight="1" x14ac:dyDescent="0.2">
      <c r="A19" s="2237" t="s">
        <v>1806</v>
      </c>
      <c r="B19" s="2237"/>
      <c r="C19" s="2237"/>
      <c r="D19" s="2237"/>
      <c r="E19" s="2238"/>
      <c r="F19" s="789" t="s">
        <v>933</v>
      </c>
      <c r="G19" s="782"/>
      <c r="H19" s="782"/>
      <c r="I19" s="782"/>
      <c r="J19" s="765"/>
      <c r="K19" s="795"/>
    </row>
    <row r="20" spans="1:11" x14ac:dyDescent="0.2">
      <c r="A20" s="2239" t="s">
        <v>1811</v>
      </c>
      <c r="B20" s="2240"/>
      <c r="C20" s="2240"/>
      <c r="D20" s="2240"/>
      <c r="E20" s="2241"/>
      <c r="F20" s="789" t="s">
        <v>934</v>
      </c>
      <c r="G20" s="782"/>
      <c r="H20" s="782"/>
      <c r="I20" s="782"/>
      <c r="J20" s="765"/>
      <c r="K20" s="795"/>
    </row>
    <row r="21" spans="1:11" ht="13.5" thickBot="1" x14ac:dyDescent="0.25">
      <c r="A21" s="2258" t="s">
        <v>638</v>
      </c>
      <c r="B21" s="2258"/>
      <c r="C21" s="2258"/>
      <c r="D21" s="2258"/>
      <c r="E21" s="2258"/>
      <c r="F21" s="1759"/>
      <c r="G21" s="792"/>
      <c r="H21" s="796"/>
      <c r="I21" s="796"/>
      <c r="J21" s="1760">
        <f>SUM(J18:J20)</f>
        <v>0</v>
      </c>
      <c r="K21" s="793"/>
    </row>
    <row r="22" spans="1:11" ht="13.5" thickTop="1" x14ac:dyDescent="0.2">
      <c r="A22" s="2229" t="s">
        <v>1812</v>
      </c>
      <c r="B22" s="2229"/>
      <c r="C22" s="2229"/>
      <c r="D22" s="2229"/>
      <c r="E22" s="2230"/>
      <c r="F22" s="789" t="s">
        <v>862</v>
      </c>
      <c r="G22" s="782"/>
      <c r="H22" s="764"/>
      <c r="I22" s="764"/>
      <c r="J22" s="797"/>
      <c r="K22" s="765"/>
    </row>
    <row r="23" spans="1:11" ht="13.5" thickBot="1" x14ac:dyDescent="0.25">
      <c r="A23" s="2259" t="s">
        <v>906</v>
      </c>
      <c r="B23" s="2258"/>
      <c r="C23" s="2258"/>
      <c r="D23" s="2258"/>
      <c r="E23" s="2258"/>
      <c r="F23" s="1761"/>
      <c r="G23" s="1758">
        <f>SUM(G14:G16,G21,G22)</f>
        <v>0</v>
      </c>
      <c r="H23" s="1758">
        <f>SUM(H14:H16,H21,H22)</f>
        <v>0</v>
      </c>
      <c r="I23" s="1758">
        <f>SUM(I14:I16,I21,I22)</f>
        <v>0</v>
      </c>
      <c r="J23" s="1758">
        <f>SUM(J14:J16,J21,J22)</f>
        <v>0</v>
      </c>
      <c r="K23" s="1758">
        <f>SUM(K14:K16,K21,K22)</f>
        <v>25635</v>
      </c>
    </row>
    <row r="24" spans="1:11" ht="14.25" thickTop="1" thickBot="1" x14ac:dyDescent="0.25">
      <c r="A24" s="2259" t="s">
        <v>1961</v>
      </c>
      <c r="B24" s="2258"/>
      <c r="C24" s="2258"/>
      <c r="D24" s="2258"/>
      <c r="E24" s="2258"/>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32"/>
      <c r="I31" s="2233"/>
      <c r="J31" s="2233"/>
      <c r="K31" s="2233"/>
    </row>
    <row r="32" spans="1:11" x14ac:dyDescent="0.2">
      <c r="A32" s="809"/>
      <c r="B32" s="237"/>
      <c r="C32" s="237"/>
      <c r="D32" s="237"/>
      <c r="E32" s="805"/>
      <c r="F32" s="811" t="s">
        <v>540</v>
      </c>
      <c r="G32" s="764"/>
      <c r="H32" s="2234"/>
      <c r="I32" s="2233"/>
      <c r="J32" s="2233"/>
      <c r="K32" s="2233"/>
    </row>
    <row r="33" spans="1:11" ht="1.5" customHeight="1" x14ac:dyDescent="0.2">
      <c r="A33" s="812" t="s">
        <v>1169</v>
      </c>
      <c r="B33" s="364"/>
      <c r="C33" s="364"/>
      <c r="D33" s="364"/>
      <c r="E33" s="364"/>
      <c r="F33" s="364"/>
      <c r="G33" s="813"/>
      <c r="H33" s="2234"/>
      <c r="I33" s="2233"/>
      <c r="J33" s="2233"/>
      <c r="K33" s="2233"/>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9" t="s">
        <v>541</v>
      </c>
      <c r="B41" s="2242"/>
      <c r="C41" s="2242"/>
      <c r="D41" s="2242"/>
      <c r="E41" s="2242"/>
      <c r="F41" s="224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orizontalCentered="1" headings="1"/>
  <pageMargins left="0.35" right="0.17" top="0.83" bottom="0.5" header="0.46" footer="0.4"/>
  <pageSetup scale="75"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&amp;F&amp;CSee Independent Auditors' Report.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2" colorId="8" zoomScale="110" zoomScaleNormal="110" workbookViewId="0">
      <selection activeCell="F12" sqref="F12:F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4" t="s">
        <v>1905</v>
      </c>
      <c r="B1" s="2265"/>
      <c r="C1" s="2266"/>
      <c r="D1" s="826"/>
      <c r="E1" s="827"/>
      <c r="F1" s="827"/>
      <c r="G1" s="828"/>
      <c r="H1" s="829"/>
      <c r="I1" s="830"/>
      <c r="J1" s="2262"/>
      <c r="K1" s="2263"/>
      <c r="L1" s="2263"/>
    </row>
    <row r="2" spans="1:14" ht="69.75" customHeight="1" x14ac:dyDescent="0.2">
      <c r="A2" s="831" t="s">
        <v>1678</v>
      </c>
      <c r="B2" s="832" t="s">
        <v>378</v>
      </c>
      <c r="C2" s="833" t="s">
        <v>1962</v>
      </c>
      <c r="D2" s="833" t="s">
        <v>1963</v>
      </c>
      <c r="E2" s="833" t="s">
        <v>1964</v>
      </c>
      <c r="F2" s="833" t="s">
        <v>1965</v>
      </c>
      <c r="G2" s="833" t="s">
        <v>605</v>
      </c>
      <c r="H2" s="833" t="s">
        <v>1966</v>
      </c>
      <c r="I2" s="833" t="s">
        <v>1967</v>
      </c>
      <c r="J2" s="833" t="s">
        <v>1968</v>
      </c>
      <c r="K2" s="833" t="s">
        <v>1969</v>
      </c>
      <c r="L2" s="833" t="s">
        <v>1970</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1227227</v>
      </c>
      <c r="D5" s="841"/>
      <c r="E5" s="841"/>
      <c r="F5" s="1760">
        <f>(C5+D5)-E5</f>
        <v>1227227</v>
      </c>
      <c r="G5" s="837"/>
      <c r="H5" s="842"/>
      <c r="I5" s="842"/>
      <c r="J5" s="842"/>
      <c r="K5" s="793"/>
      <c r="L5" s="1769">
        <f>F5-K5</f>
        <v>1227227</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24852091</v>
      </c>
      <c r="D8" s="844"/>
      <c r="E8" s="844"/>
      <c r="F8" s="1760">
        <f>(C8+D8)-E8</f>
        <v>24852091</v>
      </c>
      <c r="G8" s="843">
        <v>50</v>
      </c>
      <c r="H8" s="765">
        <v>8258962</v>
      </c>
      <c r="I8" s="765">
        <v>497042</v>
      </c>
      <c r="J8" s="765"/>
      <c r="K8" s="1769">
        <f>(H8+I8)-J8</f>
        <v>8756004</v>
      </c>
      <c r="L8" s="1769">
        <f>F8-K8</f>
        <v>16096087</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5854881</v>
      </c>
      <c r="D10" s="846">
        <v>86581</v>
      </c>
      <c r="E10" s="846"/>
      <c r="F10" s="1764">
        <f>(C10+D10)-E10</f>
        <v>5941462</v>
      </c>
      <c r="G10" s="843">
        <v>20</v>
      </c>
      <c r="H10" s="847">
        <v>3103439</v>
      </c>
      <c r="I10" s="847">
        <v>280383</v>
      </c>
      <c r="J10" s="847"/>
      <c r="K10" s="1769">
        <f>(H10+I10)-J10</f>
        <v>3383822</v>
      </c>
      <c r="L10" s="1769">
        <f>F10-K10</f>
        <v>2557640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5778342</v>
      </c>
      <c r="D12" s="844">
        <v>124419</v>
      </c>
      <c r="E12" s="844"/>
      <c r="F12" s="1760">
        <f>(C12+D12)-E12</f>
        <v>5902761</v>
      </c>
      <c r="G12" s="843">
        <v>10</v>
      </c>
      <c r="H12" s="765">
        <v>5143973</v>
      </c>
      <c r="I12" s="765">
        <v>138428</v>
      </c>
      <c r="J12" s="765"/>
      <c r="K12" s="1769">
        <f>(H12+I12)-J12</f>
        <v>5282401</v>
      </c>
      <c r="L12" s="1769">
        <f>F12-K12</f>
        <v>620360</v>
      </c>
    </row>
    <row r="13" spans="1:14" ht="14.25" thickTop="1" thickBot="1" x14ac:dyDescent="0.25">
      <c r="A13" s="848" t="s">
        <v>1122</v>
      </c>
      <c r="B13" s="840">
        <v>252</v>
      </c>
      <c r="C13" s="844">
        <v>419778</v>
      </c>
      <c r="D13" s="844"/>
      <c r="E13" s="844">
        <v>3809</v>
      </c>
      <c r="F13" s="1760">
        <f>(C13+D13)-E13</f>
        <v>415969</v>
      </c>
      <c r="G13" s="843">
        <v>5</v>
      </c>
      <c r="H13" s="765">
        <v>416044</v>
      </c>
      <c r="I13" s="765">
        <v>1733</v>
      </c>
      <c r="J13" s="765">
        <v>3174</v>
      </c>
      <c r="K13" s="1769">
        <f>(H13+I13)-J13</f>
        <v>414603</v>
      </c>
      <c r="L13" s="1769">
        <f>F13-K13</f>
        <v>1366</v>
      </c>
    </row>
    <row r="14" spans="1:14" ht="14.25" thickTop="1" thickBot="1" x14ac:dyDescent="0.25">
      <c r="A14" s="848" t="s">
        <v>1123</v>
      </c>
      <c r="B14" s="840">
        <v>253</v>
      </c>
      <c r="C14" s="765">
        <v>56923</v>
      </c>
      <c r="D14" s="765"/>
      <c r="E14" s="765"/>
      <c r="F14" s="1760">
        <f>(C14+D14)-E14</f>
        <v>56923</v>
      </c>
      <c r="G14" s="843">
        <v>3</v>
      </c>
      <c r="H14" s="765">
        <v>56923</v>
      </c>
      <c r="I14" s="765"/>
      <c r="J14" s="765"/>
      <c r="K14" s="1769">
        <f>(H14+I14)-J14</f>
        <v>56923</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38189242</v>
      </c>
      <c r="D16" s="1760">
        <f>SUM(D3,D5:D6,D8:D10,D12:D15)</f>
        <v>211000</v>
      </c>
      <c r="E16" s="1760">
        <f>SUM(E3,E5:E6,E8:E10,E12:E15)</f>
        <v>3809</v>
      </c>
      <c r="F16" s="1760">
        <f>SUM(F3,F5:F6,F8:F10,F12:F15)</f>
        <v>38396433</v>
      </c>
      <c r="G16" s="843"/>
      <c r="H16" s="1760">
        <f>SUM(H3,H6,H8:H10,H12:H14,)</f>
        <v>16979341</v>
      </c>
      <c r="I16" s="1760">
        <f>SUM(I3,I6,I8:I10,I12:I14,)</f>
        <v>917586</v>
      </c>
      <c r="J16" s="1760">
        <f>SUM(J3,J6,J8:J10,J12:J14,)</f>
        <v>3174</v>
      </c>
      <c r="K16" s="1760">
        <f>(H16+I16)-J16</f>
        <v>17893753</v>
      </c>
      <c r="L16" s="1760">
        <f>F16-K16</f>
        <v>20502680</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917586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6" type="noConversion"/>
  <printOptions horizontalCentered="1" verticalCentered="1" headings="1"/>
  <pageMargins left="0.25" right="0.17" top="1.1000000000000001" bottom="1.1000000000000001" header="0.39" footer="0.42"/>
  <pageSetup scale="70" firstPageNumber="26" orientation="landscape" useFirstPageNumber="1" r:id="rId1"/>
  <headerFooter alignWithMargins="0">
    <oddHeader>&amp;L&amp;8Page &amp;P&amp;C &amp;R&amp;8Page &amp;P</oddHeader>
    <oddFooter>&amp;L&amp;8Print Date: &amp;D
&amp;F&amp;CSee Independent Auditors'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01" activePane="bottomLeft" state="frozen"/>
      <selection activeCell="A47" sqref="A47"/>
      <selection pane="bottomLeft" activeCell="F126" sqref="F12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0" t="s">
        <v>1971</v>
      </c>
      <c r="B1" s="2271"/>
      <c r="C1" s="2271"/>
      <c r="D1" s="2271"/>
      <c r="E1" s="2271"/>
      <c r="F1" s="2272"/>
      <c r="G1" s="855"/>
    </row>
    <row r="2" spans="1:7" ht="15" customHeight="1" thickBot="1" x14ac:dyDescent="0.25">
      <c r="A2" s="2273" t="s">
        <v>477</v>
      </c>
      <c r="B2" s="2274"/>
      <c r="C2" s="2274"/>
      <c r="D2" s="2274"/>
      <c r="E2" s="2274"/>
      <c r="F2" s="227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6"/>
      <c r="B5" s="2277"/>
      <c r="C5" s="2277"/>
      <c r="D5" s="2277"/>
      <c r="E5" s="2277"/>
      <c r="F5" s="2277"/>
    </row>
    <row r="6" spans="1:7" ht="13.5" customHeight="1" thickBot="1" x14ac:dyDescent="0.25">
      <c r="A6" s="2267" t="s">
        <v>1104</v>
      </c>
      <c r="B6" s="2268"/>
      <c r="C6" s="2268"/>
      <c r="D6" s="2268"/>
      <c r="E6" s="2268"/>
      <c r="F6" s="226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16121844</v>
      </c>
      <c r="G8" s="865"/>
    </row>
    <row r="9" spans="1:7" x14ac:dyDescent="0.2">
      <c r="A9" s="869" t="s">
        <v>460</v>
      </c>
      <c r="B9" s="870" t="s">
        <v>1873</v>
      </c>
      <c r="C9" s="871"/>
      <c r="D9" s="869" t="s">
        <v>501</v>
      </c>
      <c r="E9" s="868"/>
      <c r="F9" s="1909">
        <f>'Expenditures 15-22'!K151</f>
        <v>2245473</v>
      </c>
      <c r="G9" s="872"/>
    </row>
    <row r="10" spans="1:7" x14ac:dyDescent="0.2">
      <c r="A10" s="869" t="s">
        <v>499</v>
      </c>
      <c r="B10" s="870" t="s">
        <v>1874</v>
      </c>
      <c r="C10" s="871"/>
      <c r="D10" s="869" t="s">
        <v>501</v>
      </c>
      <c r="E10" s="868"/>
      <c r="F10" s="1909">
        <f>'Expenditures 15-22'!K174</f>
        <v>701424</v>
      </c>
      <c r="G10" s="872"/>
    </row>
    <row r="11" spans="1:7" x14ac:dyDescent="0.2">
      <c r="A11" s="869" t="s">
        <v>461</v>
      </c>
      <c r="B11" s="870" t="s">
        <v>1875</v>
      </c>
      <c r="C11" s="871"/>
      <c r="D11" s="869" t="s">
        <v>501</v>
      </c>
      <c r="E11" s="868"/>
      <c r="F11" s="1909">
        <f>'Expenditures 15-22'!K210</f>
        <v>1513894</v>
      </c>
      <c r="G11" s="872"/>
    </row>
    <row r="12" spans="1:7" x14ac:dyDescent="0.2">
      <c r="A12" s="869" t="s">
        <v>462</v>
      </c>
      <c r="B12" s="870" t="s">
        <v>1876</v>
      </c>
      <c r="C12" s="871"/>
      <c r="D12" s="869" t="s">
        <v>501</v>
      </c>
      <c r="E12" s="868"/>
      <c r="F12" s="1909">
        <f>'Expenditures 15-22'!K295</f>
        <v>596339</v>
      </c>
      <c r="G12" s="872"/>
    </row>
    <row r="13" spans="1:7" x14ac:dyDescent="0.2">
      <c r="A13" s="869" t="s">
        <v>106</v>
      </c>
      <c r="B13" s="870" t="s">
        <v>1877</v>
      </c>
      <c r="C13" s="871"/>
      <c r="D13" s="869" t="s">
        <v>501</v>
      </c>
      <c r="E13" s="868"/>
      <c r="F13" s="1909">
        <f>'Expenditures 15-22'!K342</f>
        <v>379651</v>
      </c>
      <c r="G13" s="873"/>
    </row>
    <row r="14" spans="1:7" ht="12" customHeight="1" thickBot="1" x14ac:dyDescent="0.25">
      <c r="A14" s="1770"/>
      <c r="B14" s="1771"/>
      <c r="C14" s="1772"/>
      <c r="D14" s="1773" t="s">
        <v>501</v>
      </c>
      <c r="E14" s="1774" t="s">
        <v>958</v>
      </c>
      <c r="F14" s="1775">
        <f>SUM(F8:F13)</f>
        <v>21558625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1995</v>
      </c>
      <c r="C30" s="880">
        <f>'Revenues 9-14'!B150</f>
        <v>3499</v>
      </c>
      <c r="D30" s="881" t="str">
        <f>'Revenues 9-14'!A150</f>
        <v>Adult Ed - Other (Describe &amp; Itemize)</v>
      </c>
      <c r="E30" s="868"/>
      <c r="F30" s="1914">
        <f>('Revenues 9-14'!D150+'Revenues 9-14'!F150)</f>
        <v>0</v>
      </c>
      <c r="G30" s="865"/>
    </row>
    <row r="31" spans="1:7" x14ac:dyDescent="0.2">
      <c r="A31" s="869" t="s">
        <v>1097</v>
      </c>
      <c r="B31" s="870" t="s">
        <v>1996</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1997</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1998</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234071</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30650</v>
      </c>
      <c r="G52" s="865"/>
    </row>
    <row r="53" spans="1:7" x14ac:dyDescent="0.2">
      <c r="A53" s="869" t="s">
        <v>459</v>
      </c>
      <c r="B53" s="869" t="s">
        <v>1475</v>
      </c>
      <c r="C53" s="889">
        <f>'Expenditures 15-22'!B102</f>
        <v>4000</v>
      </c>
      <c r="D53" s="888" t="str">
        <f>'Expenditures 15-22'!A102</f>
        <v>Total Payments to Other Govt Units</v>
      </c>
      <c r="E53" s="868"/>
      <c r="F53" s="1913">
        <f>'Expenditures 15-22'!K102</f>
        <v>172591</v>
      </c>
      <c r="G53" s="865"/>
    </row>
    <row r="54" spans="1:7" x14ac:dyDescent="0.2">
      <c r="A54" s="869" t="s">
        <v>459</v>
      </c>
      <c r="B54" s="869" t="s">
        <v>1476</v>
      </c>
      <c r="C54" s="889" t="s">
        <v>982</v>
      </c>
      <c r="D54" s="885" t="s">
        <v>1095</v>
      </c>
      <c r="E54" s="868"/>
      <c r="F54" s="1913">
        <f>'Expenditures 15-22'!G114</f>
        <v>79438</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13">
        <f>'Expenditures 15-22'!K139</f>
        <v>0</v>
      </c>
      <c r="G57" s="865"/>
    </row>
    <row r="58" spans="1:7" x14ac:dyDescent="0.2">
      <c r="A58" s="869" t="s">
        <v>460</v>
      </c>
      <c r="B58" s="869" t="s">
        <v>1879</v>
      </c>
      <c r="C58" s="886" t="s">
        <v>982</v>
      </c>
      <c r="D58" s="885" t="s">
        <v>1095</v>
      </c>
      <c r="E58" s="868"/>
      <c r="F58" s="1915">
        <f>'Expenditures 15-22'!G151</f>
        <v>110732</v>
      </c>
      <c r="G58" s="865"/>
    </row>
    <row r="59" spans="1:7" x14ac:dyDescent="0.2">
      <c r="A59" s="893" t="s">
        <v>460</v>
      </c>
      <c r="B59" s="856" t="s">
        <v>1880</v>
      </c>
      <c r="C59" s="894" t="s">
        <v>982</v>
      </c>
      <c r="D59" s="856" t="s">
        <v>291</v>
      </c>
      <c r="F59" s="1916">
        <f>'Expenditures 15-22'!I151</f>
        <v>0</v>
      </c>
      <c r="G59" s="865"/>
    </row>
    <row r="60" spans="1:7" x14ac:dyDescent="0.2">
      <c r="A60" s="893" t="s">
        <v>499</v>
      </c>
      <c r="B60" s="856" t="s">
        <v>1881</v>
      </c>
      <c r="C60" s="894">
        <v>4000</v>
      </c>
      <c r="D60" s="856" t="s">
        <v>312</v>
      </c>
      <c r="F60" s="1914">
        <f>'Expenditures 15-22'!K160</f>
        <v>0</v>
      </c>
      <c r="G60" s="865"/>
    </row>
    <row r="61" spans="1:7" x14ac:dyDescent="0.2">
      <c r="A61" s="895" t="s">
        <v>499</v>
      </c>
      <c r="B61" s="895" t="s">
        <v>1882</v>
      </c>
      <c r="C61" s="896" t="str">
        <f>'Expenditures 15-22'!B170</f>
        <v>5300</v>
      </c>
      <c r="D61" s="897" t="s">
        <v>311</v>
      </c>
      <c r="E61" s="879"/>
      <c r="F61" s="1913">
        <f>'Expenditures 15-22'!K170</f>
        <v>638600</v>
      </c>
      <c r="G61" s="865"/>
    </row>
    <row r="62" spans="1:7" x14ac:dyDescent="0.2">
      <c r="A62" s="869" t="s">
        <v>461</v>
      </c>
      <c r="B62" s="869" t="s">
        <v>1883</v>
      </c>
      <c r="C62" s="886">
        <f>'Expenditures 15-22'!B185</f>
        <v>3000</v>
      </c>
      <c r="D62" s="876" t="s">
        <v>449</v>
      </c>
      <c r="E62" s="868"/>
      <c r="F62" s="1913">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1885</v>
      </c>
      <c r="C64" s="896" t="str">
        <f>'Expenditures 15-22'!B206</f>
        <v>5300</v>
      </c>
      <c r="D64" s="892" t="s">
        <v>311</v>
      </c>
      <c r="E64" s="868"/>
      <c r="F64" s="1913">
        <f>'Expenditures 15-22'!K206</f>
        <v>0</v>
      </c>
      <c r="G64" s="865"/>
    </row>
    <row r="65" spans="1:8" x14ac:dyDescent="0.2">
      <c r="A65" s="869" t="s">
        <v>461</v>
      </c>
      <c r="B65" s="869" t="s">
        <v>1886</v>
      </c>
      <c r="C65" s="886" t="s">
        <v>982</v>
      </c>
      <c r="D65" s="885" t="s">
        <v>1095</v>
      </c>
      <c r="E65" s="868"/>
      <c r="F65" s="1913">
        <f>'Expenditures 15-22'!G210</f>
        <v>23850</v>
      </c>
      <c r="G65" s="865"/>
    </row>
    <row r="66" spans="1:8" x14ac:dyDescent="0.2">
      <c r="A66" s="869" t="s">
        <v>461</v>
      </c>
      <c r="B66" s="869" t="s">
        <v>1887</v>
      </c>
      <c r="C66" s="886" t="s">
        <v>982</v>
      </c>
      <c r="D66" s="885" t="s">
        <v>291</v>
      </c>
      <c r="E66" s="868"/>
      <c r="F66" s="1913">
        <f>'Expenditures 15-22'!I210</f>
        <v>0</v>
      </c>
      <c r="G66" s="865"/>
    </row>
    <row r="67" spans="1:8" x14ac:dyDescent="0.2">
      <c r="A67" s="869" t="s">
        <v>462</v>
      </c>
      <c r="B67" s="869" t="s">
        <v>1888</v>
      </c>
      <c r="C67" s="886" t="str">
        <f>'Expenditures 15-22'!B216</f>
        <v>1125</v>
      </c>
      <c r="D67" s="892" t="str">
        <f>'Expenditures 15-22'!A216</f>
        <v>Pre-K Programs</v>
      </c>
      <c r="E67" s="868"/>
      <c r="F67" s="1913">
        <f>'Expenditures 15-22'!K216</f>
        <v>8862</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1890</v>
      </c>
      <c r="C70" s="886">
        <f>'Expenditures 15-22'!B221</f>
        <v>1300</v>
      </c>
      <c r="D70" s="887" t="str">
        <f>'Expenditures 15-22'!A221</f>
        <v>Adult/Continuing Education Programs</v>
      </c>
      <c r="E70" s="868"/>
      <c r="F70" s="1913">
        <f>'Expenditures 15-22'!K221</f>
        <v>0</v>
      </c>
      <c r="G70" s="865"/>
    </row>
    <row r="71" spans="1:8" x14ac:dyDescent="0.2">
      <c r="A71" s="869" t="s">
        <v>462</v>
      </c>
      <c r="B71" s="869" t="s">
        <v>1891</v>
      </c>
      <c r="C71" s="886">
        <f>'Expenditures 15-22'!B224</f>
        <v>1600</v>
      </c>
      <c r="D71" s="887" t="str">
        <f>'Expenditures 15-22'!A224</f>
        <v>Summer School Programs</v>
      </c>
      <c r="E71" s="868"/>
      <c r="F71" s="1913">
        <f>'Expenditures 15-22'!K224</f>
        <v>0</v>
      </c>
      <c r="G71" s="865"/>
    </row>
    <row r="72" spans="1:8" x14ac:dyDescent="0.2">
      <c r="A72" s="869" t="s">
        <v>462</v>
      </c>
      <c r="B72" s="869" t="s">
        <v>1892</v>
      </c>
      <c r="C72" s="886">
        <f>'Expenditures 15-22'!B280</f>
        <v>3000</v>
      </c>
      <c r="D72" s="876" t="s">
        <v>449</v>
      </c>
      <c r="E72" s="868"/>
      <c r="F72" s="1913">
        <f>'Expenditures 15-22'!K280</f>
        <v>0</v>
      </c>
      <c r="G72" s="865"/>
    </row>
    <row r="73" spans="1:8" x14ac:dyDescent="0.2">
      <c r="A73" s="869" t="s">
        <v>462</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1894</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958</v>
      </c>
      <c r="F76" s="1778">
        <f>SUM(F18:F74)</f>
        <v>1298794</v>
      </c>
      <c r="G76" s="865"/>
    </row>
    <row r="77" spans="1:8" s="893" customFormat="1" ht="12" customHeight="1" thickTop="1" thickBot="1" x14ac:dyDescent="0.25">
      <c r="A77" s="1779"/>
      <c r="B77" s="1776"/>
      <c r="C77" s="1772"/>
      <c r="D77" s="1777" t="s">
        <v>1896</v>
      </c>
      <c r="E77" s="1774"/>
      <c r="F77" s="1780">
        <f>(F14-F76)</f>
        <v>20259831</v>
      </c>
      <c r="G77" s="869"/>
    </row>
    <row r="78" spans="1:8" s="893" customFormat="1" ht="12" customHeight="1" thickTop="1" x14ac:dyDescent="0.2">
      <c r="A78" s="1781"/>
      <c r="B78" s="1776"/>
      <c r="C78" s="1772"/>
      <c r="D78" s="1777" t="s">
        <v>2058</v>
      </c>
      <c r="E78" s="1774"/>
      <c r="F78" s="898">
        <v>1843.4</v>
      </c>
      <c r="G78" s="899"/>
      <c r="H78" s="869"/>
    </row>
    <row r="79" spans="1:8" s="893" customFormat="1" ht="12" customHeight="1" thickBot="1" x14ac:dyDescent="0.25">
      <c r="A79" s="1782"/>
      <c r="B79" s="1776"/>
      <c r="C79" s="1772"/>
      <c r="D79" s="1777" t="s">
        <v>1897</v>
      </c>
      <c r="E79" s="1774" t="s">
        <v>958</v>
      </c>
      <c r="F79" s="1783">
        <f>IF(F78&gt;0,F77/F78," Complete Line 78")</f>
        <v>10990.469241618748</v>
      </c>
      <c r="G79" s="869"/>
    </row>
    <row r="80" spans="1:8" s="893" customFormat="1" ht="8.25" customHeight="1" thickTop="1" x14ac:dyDescent="0.2">
      <c r="A80" s="900"/>
      <c r="B80" s="869"/>
      <c r="C80" s="871"/>
      <c r="D80" s="901"/>
      <c r="E80" s="868"/>
      <c r="F80" s="902"/>
      <c r="G80" s="869"/>
    </row>
    <row r="81" spans="1:7" s="893" customFormat="1" ht="12" thickBot="1" x14ac:dyDescent="0.25">
      <c r="A81" s="2267" t="s">
        <v>1105</v>
      </c>
      <c r="B81" s="2268"/>
      <c r="C81" s="2268"/>
      <c r="D81" s="2268"/>
      <c r="E81" s="2268"/>
      <c r="F81" s="226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255729</v>
      </c>
      <c r="G94" s="912"/>
    </row>
    <row r="95" spans="1:7" x14ac:dyDescent="0.2">
      <c r="A95" s="908" t="s">
        <v>140</v>
      </c>
      <c r="B95" s="908" t="s">
        <v>175</v>
      </c>
      <c r="C95" s="910">
        <v>1700</v>
      </c>
      <c r="D95" s="918" t="str">
        <f>'Revenues 9-14'!A82</f>
        <v>Total District/School Activity Income</v>
      </c>
      <c r="E95" s="906"/>
      <c r="F95" s="1789">
        <f>SUM('Revenues 9-14'!C82,'Revenues 9-14'!D82)</f>
        <v>39867</v>
      </c>
      <c r="G95" s="912"/>
    </row>
    <row r="96" spans="1:7" x14ac:dyDescent="0.2">
      <c r="A96" s="908" t="s">
        <v>459</v>
      </c>
      <c r="B96" s="908" t="s">
        <v>176</v>
      </c>
      <c r="C96" s="910">
        <f>'Revenues 9-14'!B84</f>
        <v>1811</v>
      </c>
      <c r="D96" s="911" t="str">
        <f>'Revenues 9-14'!A84</f>
        <v>Rentals - Regular Textbooks</v>
      </c>
      <c r="E96" s="906"/>
      <c r="F96" s="1789">
        <f>'Revenues 9-14'!C84</f>
        <v>20496</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1999</v>
      </c>
      <c r="C105" s="913">
        <v>3100</v>
      </c>
      <c r="D105" s="919" t="str">
        <f>'Revenues 9-14'!A132</f>
        <v>Total Special Education</v>
      </c>
      <c r="E105" s="906"/>
      <c r="F105" s="1789">
        <f>SUM('Revenues 9-14'!C132:D132,'Revenues 9-14'!F132)</f>
        <v>64485</v>
      </c>
      <c r="G105" s="912"/>
    </row>
    <row r="106" spans="1:7" x14ac:dyDescent="0.2">
      <c r="A106" s="908" t="s">
        <v>673</v>
      </c>
      <c r="B106" s="908" t="s">
        <v>2000</v>
      </c>
      <c r="C106" s="920">
        <v>3200</v>
      </c>
      <c r="D106" s="911" t="str">
        <f>'Revenues 9-14'!A141</f>
        <v>Total Career and Technical Education</v>
      </c>
      <c r="E106" s="906"/>
      <c r="F106" s="1789">
        <f>SUM('Revenues 9-14'!C141,'Revenues 9-14'!D141,'Revenues 9-14'!G141)</f>
        <v>33584</v>
      </c>
      <c r="G106" s="912"/>
    </row>
    <row r="107" spans="1:7" x14ac:dyDescent="0.2">
      <c r="A107" s="921" t="s">
        <v>664</v>
      </c>
      <c r="B107" s="908" t="s">
        <v>2001</v>
      </c>
      <c r="C107" s="920">
        <v>3300</v>
      </c>
      <c r="D107" s="911" t="str">
        <f>'Revenues 9-14'!A145</f>
        <v>Total Bilingual Ed</v>
      </c>
      <c r="E107" s="906"/>
      <c r="F107" s="1789">
        <f>SUM('Revenues 9-14'!C145,'Revenues 9-14'!G145)</f>
        <v>0</v>
      </c>
      <c r="G107" s="912"/>
    </row>
    <row r="108" spans="1:7" x14ac:dyDescent="0.2">
      <c r="A108" s="908" t="s">
        <v>459</v>
      </c>
      <c r="B108" s="908" t="s">
        <v>2002</v>
      </c>
      <c r="C108" s="920">
        <f>'Revenues 9-14'!B146</f>
        <v>3360</v>
      </c>
      <c r="D108" s="911" t="str">
        <f>'Revenues 9-14'!A146</f>
        <v>State Free Lunch &amp; Breakfast</v>
      </c>
      <c r="E108" s="906"/>
      <c r="F108" s="1789">
        <f>'Revenues 9-14'!C146</f>
        <v>16586</v>
      </c>
      <c r="G108" s="912"/>
    </row>
    <row r="109" spans="1:7" x14ac:dyDescent="0.2">
      <c r="A109" s="908" t="s">
        <v>673</v>
      </c>
      <c r="B109" s="908" t="s">
        <v>2003</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9">
        <f>SUM('Revenues 9-14'!C148,'Revenues 9-14'!D148)</f>
        <v>25635</v>
      </c>
      <c r="G110" s="912"/>
    </row>
    <row r="111" spans="1:7" x14ac:dyDescent="0.2">
      <c r="A111" s="908" t="s">
        <v>668</v>
      </c>
      <c r="B111" s="908" t="s">
        <v>2005</v>
      </c>
      <c r="C111" s="922">
        <v>3500</v>
      </c>
      <c r="D111" s="911" t="str">
        <f>'Revenues 9-14'!A155</f>
        <v>Total Transportation</v>
      </c>
      <c r="E111" s="906"/>
      <c r="F111" s="1789">
        <f>SUM('Revenues 9-14'!C155,'Revenues 9-14'!D155,'Revenues 9-14'!F155,'Revenues 9-14'!G155)</f>
        <v>904753</v>
      </c>
      <c r="G111" s="912"/>
    </row>
    <row r="112" spans="1:7" x14ac:dyDescent="0.2">
      <c r="A112" s="908" t="s">
        <v>459</v>
      </c>
      <c r="B112" s="908" t="s">
        <v>2006</v>
      </c>
      <c r="C112" s="920">
        <f>'Revenues 9-14'!B156</f>
        <v>3610</v>
      </c>
      <c r="D112" s="911" t="str">
        <f>'Revenues 9-14'!A156</f>
        <v>Learning Improvement - Change Grants</v>
      </c>
      <c r="E112" s="906"/>
      <c r="F112" s="1789">
        <f>'Revenues 9-14'!C156</f>
        <v>0</v>
      </c>
      <c r="G112" s="912"/>
    </row>
    <row r="113" spans="1:7" x14ac:dyDescent="0.2">
      <c r="A113" s="908" t="s">
        <v>668</v>
      </c>
      <c r="B113" s="908" t="s">
        <v>2007</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2009</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2010</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2011</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2012</v>
      </c>
      <c r="C118" s="924">
        <f>'Revenues 9-14'!B163</f>
        <v>3780</v>
      </c>
      <c r="D118" s="925" t="str">
        <f>'Revenues 9-14'!A163</f>
        <v>Technology - Technology for Success</v>
      </c>
      <c r="E118" s="906"/>
      <c r="F118" s="1907">
        <f>SUM('Revenues 9-14'!C163:G163)</f>
        <v>0</v>
      </c>
      <c r="G118" s="912"/>
    </row>
    <row r="119" spans="1:7" x14ac:dyDescent="0.2">
      <c r="A119" s="923" t="s">
        <v>504</v>
      </c>
      <c r="B119" s="923" t="s">
        <v>2013</v>
      </c>
      <c r="C119" s="924">
        <f>'Revenues 9-14'!B164</f>
        <v>3815</v>
      </c>
      <c r="D119" s="925" t="str">
        <f>'Revenues 9-14'!A164</f>
        <v>State Charter Schools</v>
      </c>
      <c r="E119" s="906"/>
      <c r="F119" s="1907">
        <f>SUM('Revenues 9-14'!C164,'Revenues 9-14'!F164)</f>
        <v>0</v>
      </c>
      <c r="G119" s="912"/>
    </row>
    <row r="120" spans="1:7" x14ac:dyDescent="0.2">
      <c r="A120" s="927" t="s">
        <v>460</v>
      </c>
      <c r="B120" s="927" t="s">
        <v>2014</v>
      </c>
      <c r="C120" s="928">
        <f>'Revenues 9-14'!B167</f>
        <v>3925</v>
      </c>
      <c r="D120" s="929" t="str">
        <f>'Revenues 9-14'!A167</f>
        <v>School Infrastructure - Maintenance Projects</v>
      </c>
      <c r="E120" s="906"/>
      <c r="F120" s="1789">
        <f>'Revenues 9-14'!D167</f>
        <v>0</v>
      </c>
      <c r="G120" s="930"/>
    </row>
    <row r="121" spans="1:7" x14ac:dyDescent="0.2">
      <c r="A121" s="927" t="s">
        <v>500</v>
      </c>
      <c r="B121" s="927" t="s">
        <v>2015</v>
      </c>
      <c r="C121" s="928">
        <f>'Revenues 9-14'!B168</f>
        <v>3999</v>
      </c>
      <c r="D121" s="929" t="s">
        <v>543</v>
      </c>
      <c r="E121" s="931"/>
      <c r="F121" s="1789">
        <f>SUM('Revenues 9-14'!C168:G168,'Revenues 9-14'!J168)</f>
        <v>21855</v>
      </c>
      <c r="G121" s="930"/>
    </row>
    <row r="122" spans="1:7" x14ac:dyDescent="0.2">
      <c r="A122" s="927" t="s">
        <v>459</v>
      </c>
      <c r="B122" s="927" t="s">
        <v>2016</v>
      </c>
      <c r="C122" s="932">
        <f>'Revenues 9-14'!B177</f>
        <v>4045</v>
      </c>
      <c r="D122" s="929" t="str">
        <f>'Revenues 9-14'!A177 &amp; " (Subtract)"</f>
        <v>Head Start (Subtract)</v>
      </c>
      <c r="E122" s="906"/>
      <c r="F122" s="1789">
        <f>SUM(-'Revenues 9-14'!C177)</f>
        <v>0</v>
      </c>
      <c r="G122" s="930"/>
    </row>
    <row r="123" spans="1:7" x14ac:dyDescent="0.2">
      <c r="A123" s="927" t="s">
        <v>668</v>
      </c>
      <c r="B123" s="927" t="s">
        <v>2017</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2018</v>
      </c>
      <c r="C124" s="932">
        <v>4100</v>
      </c>
      <c r="D124" s="933" t="str">
        <f>'Revenues 9-14'!A188</f>
        <v>Total Title V</v>
      </c>
      <c r="E124" s="906"/>
      <c r="F124" s="1789">
        <f>SUM('Revenues 9-14'!C188,'Revenues 9-14'!D188,'Revenues 9-14'!F188,'Revenues 9-14'!G188)</f>
        <v>37861</v>
      </c>
      <c r="G124" s="930"/>
    </row>
    <row r="125" spans="1:7" x14ac:dyDescent="0.2">
      <c r="A125" s="927" t="s">
        <v>664</v>
      </c>
      <c r="B125" s="927" t="s">
        <v>2019</v>
      </c>
      <c r="C125" s="932">
        <v>4200</v>
      </c>
      <c r="D125" s="929" t="str">
        <f>'Revenues 9-14'!A198</f>
        <v>Total Food Service</v>
      </c>
      <c r="E125" s="906"/>
      <c r="F125" s="1789">
        <f>SUM('Revenues 9-14'!C198,'Revenues 9-14'!G198)</f>
        <v>712941</v>
      </c>
      <c r="G125" s="930"/>
    </row>
    <row r="126" spans="1:7" x14ac:dyDescent="0.2">
      <c r="A126" s="927" t="s">
        <v>668</v>
      </c>
      <c r="B126" s="927" t="s">
        <v>2020</v>
      </c>
      <c r="C126" s="932">
        <v>4300</v>
      </c>
      <c r="D126" s="933" t="str">
        <f>'Revenues 9-14'!A204</f>
        <v>Total Title I</v>
      </c>
      <c r="E126" s="906"/>
      <c r="F126" s="1789">
        <f>SUM('Revenues 9-14'!C204,'Revenues 9-14'!D204,'Revenues 9-14'!F204,'Revenues 9-14'!G204)</f>
        <v>970863</v>
      </c>
      <c r="G126" s="930"/>
    </row>
    <row r="127" spans="1:7" x14ac:dyDescent="0.2">
      <c r="A127" s="927" t="s">
        <v>668</v>
      </c>
      <c r="B127" s="927" t="s">
        <v>2021</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2022</v>
      </c>
      <c r="C128" s="932">
        <f>'Revenues 9-14'!B213</f>
        <v>4620</v>
      </c>
      <c r="D128" s="933" t="str">
        <f>'Revenues 9-14'!A213</f>
        <v>Fed - Spec Education - IDEA - Flow Through</v>
      </c>
      <c r="E128" s="906"/>
      <c r="F128" s="1789">
        <f>SUM('Revenues 9-14'!C213:D213,'Revenues 9-14'!F213:G213)</f>
        <v>484911</v>
      </c>
      <c r="G128" s="930"/>
    </row>
    <row r="129" spans="1:7" x14ac:dyDescent="0.2">
      <c r="A129" s="927" t="s">
        <v>668</v>
      </c>
      <c r="B129" s="927" t="s">
        <v>2023</v>
      </c>
      <c r="C129" s="932">
        <f>'Revenues 9-14'!B214</f>
        <v>4625</v>
      </c>
      <c r="D129" s="933" t="str">
        <f>'Revenues 9-14'!A214</f>
        <v>Fed - Spec Education - IDEA - Room &amp; Board</v>
      </c>
      <c r="E129" s="906"/>
      <c r="F129" s="1789">
        <f>SUM('Revenues 9-14'!C214,'Revenues 9-14'!D214,'Revenues 9-14'!F214,'Revenues 9-14'!G214)</f>
        <v>14759</v>
      </c>
      <c r="G129" s="930"/>
    </row>
    <row r="130" spans="1:7" x14ac:dyDescent="0.2">
      <c r="A130" s="927" t="s">
        <v>668</v>
      </c>
      <c r="B130" s="927" t="s">
        <v>2024</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2025</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2026</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9">
        <v>0</v>
      </c>
      <c r="G138" s="905"/>
    </row>
    <row r="139" spans="1:7" s="867" customFormat="1" hidden="1" x14ac:dyDescent="0.2">
      <c r="A139" s="934" t="s">
        <v>206</v>
      </c>
      <c r="B139" s="934" t="s">
        <v>2032</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2035</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2040</v>
      </c>
      <c r="C157" s="940" t="s">
        <v>841</v>
      </c>
      <c r="D157" s="941" t="s">
        <v>777</v>
      </c>
      <c r="E157" s="942"/>
      <c r="F157" s="1789">
        <f>SUM(F133:F156)</f>
        <v>0</v>
      </c>
      <c r="G157" s="905"/>
    </row>
    <row r="158" spans="1:7" s="867" customFormat="1" x14ac:dyDescent="0.2">
      <c r="A158" s="938" t="s">
        <v>459</v>
      </c>
      <c r="B158" s="939" t="s">
        <v>2041</v>
      </c>
      <c r="C158" s="940" t="s">
        <v>1427</v>
      </c>
      <c r="D158" s="941" t="s">
        <v>1428</v>
      </c>
      <c r="E158" s="942"/>
      <c r="F158" s="1789">
        <f>SUM('Revenues 9-14'!C253)</f>
        <v>0</v>
      </c>
      <c r="G158" s="905"/>
    </row>
    <row r="159" spans="1:7" s="867" customFormat="1" x14ac:dyDescent="0.2">
      <c r="A159" s="938" t="s">
        <v>500</v>
      </c>
      <c r="B159" s="939" t="s">
        <v>2042</v>
      </c>
      <c r="C159" s="940" t="s">
        <v>1466</v>
      </c>
      <c r="D159" s="941" t="s">
        <v>1467</v>
      </c>
      <c r="E159" s="942"/>
      <c r="F159" s="1789">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2045</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2046</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2047</v>
      </c>
      <c r="C164" s="932">
        <f>'Revenues 9-14'!B259</f>
        <v>4932</v>
      </c>
      <c r="D164" s="933" t="str">
        <f>'Revenues 9-14'!A259</f>
        <v>Title II - Teacher Quality</v>
      </c>
      <c r="E164" s="906"/>
      <c r="F164" s="1907">
        <f>SUM('Revenues 9-14'!C259,'Revenues 9-14'!D259,'Revenues 9-14'!F259,'Revenues 9-14'!G259)</f>
        <v>97441</v>
      </c>
      <c r="G164" s="930"/>
    </row>
    <row r="165" spans="1:7" x14ac:dyDescent="0.2">
      <c r="A165" s="927" t="s">
        <v>668</v>
      </c>
      <c r="B165" s="927" t="s">
        <v>2048</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1993</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1994</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2049</v>
      </c>
      <c r="C168" s="932">
        <f>'Revenues 9-14'!B263</f>
        <v>4991</v>
      </c>
      <c r="D168" s="933" t="str">
        <f>'Revenues 9-14'!A263</f>
        <v>Medicaid Matching Funds - Administrative Outreach</v>
      </c>
      <c r="E168" s="906"/>
      <c r="F168" s="1789">
        <f>SUM('Revenues 9-14'!C263:D263,'Revenues 9-14'!F263:G263)</f>
        <v>32114</v>
      </c>
      <c r="G168" s="947">
        <v>6320</v>
      </c>
    </row>
    <row r="169" spans="1:7" x14ac:dyDescent="0.2">
      <c r="A169" s="927" t="s">
        <v>668</v>
      </c>
      <c r="B169" s="927" t="s">
        <v>2050</v>
      </c>
      <c r="C169" s="932">
        <f>'Revenues 9-14'!B264</f>
        <v>4992</v>
      </c>
      <c r="D169" s="933" t="str">
        <f>'Revenues 9-14'!A264</f>
        <v>Medicaid Matching Funds - Fee-for-Service Program</v>
      </c>
      <c r="E169" s="906"/>
      <c r="F169" s="1789">
        <f>SUM('Revenues 9-14'!C264:D264,'Revenues 9-14'!F264:G264)</f>
        <v>260509</v>
      </c>
      <c r="G169" s="947"/>
    </row>
    <row r="170" spans="1:7" x14ac:dyDescent="0.2">
      <c r="A170" s="948" t="s">
        <v>668</v>
      </c>
      <c r="B170" s="944" t="s">
        <v>2051</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1916</v>
      </c>
      <c r="C171" s="1920">
        <v>3100</v>
      </c>
      <c r="D171" s="1921" t="s">
        <v>1918</v>
      </c>
      <c r="E171" s="906"/>
      <c r="F171" s="1906">
        <v>789450</v>
      </c>
      <c r="G171" s="927"/>
    </row>
    <row r="172" spans="1:7" x14ac:dyDescent="0.2">
      <c r="A172" s="1918" t="s">
        <v>664</v>
      </c>
      <c r="B172" s="1919" t="s">
        <v>1916</v>
      </c>
      <c r="C172" s="1920">
        <v>3300</v>
      </c>
      <c r="D172" s="1921" t="s">
        <v>1919</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2052</v>
      </c>
      <c r="E174" s="1787" t="s">
        <v>958</v>
      </c>
      <c r="F174" s="1788">
        <f>SUM(F84:F132,F157:F172)</f>
        <v>4783839</v>
      </c>
    </row>
    <row r="175" spans="1:7" ht="12" customHeight="1" x14ac:dyDescent="0.2">
      <c r="A175" s="1770"/>
      <c r="B175" s="1784"/>
      <c r="C175" s="1785"/>
      <c r="D175" s="1786" t="s">
        <v>2053</v>
      </c>
      <c r="E175" s="1787"/>
      <c r="F175" s="1789">
        <f>'PCTC-OEPP 27-28'!F77-F174</f>
        <v>15475992</v>
      </c>
    </row>
    <row r="176" spans="1:7" ht="12" customHeight="1" x14ac:dyDescent="0.2">
      <c r="A176" s="1770"/>
      <c r="B176" s="1784"/>
      <c r="C176" s="1785"/>
      <c r="D176" s="1786" t="s">
        <v>1814</v>
      </c>
      <c r="E176" s="1787"/>
      <c r="F176" s="1789">
        <f>'Cap Outlay Deprec 26'!I18</f>
        <v>917586</v>
      </c>
    </row>
    <row r="177" spans="1:7" ht="12" customHeight="1" x14ac:dyDescent="0.2">
      <c r="A177" s="1770"/>
      <c r="B177" s="1784"/>
      <c r="C177" s="1785"/>
      <c r="D177" s="1786" t="s">
        <v>2054</v>
      </c>
      <c r="E177" s="1787"/>
      <c r="F177" s="1789">
        <f>F175+F176</f>
        <v>16393578</v>
      </c>
    </row>
    <row r="178" spans="1:7" ht="12" customHeight="1" x14ac:dyDescent="0.2">
      <c r="A178" s="1770"/>
      <c r="B178" s="1790"/>
      <c r="C178" s="1785"/>
      <c r="D178" s="1786" t="str">
        <f>D78</f>
        <v>9 Month ADA from District Average Daily Attendance/Prior General State Aid Inquiry 2018-2019</v>
      </c>
      <c r="E178" s="1787"/>
      <c r="F178" s="1791">
        <f>'PCTC-OEPP 27-28'!F78</f>
        <v>1843.4</v>
      </c>
      <c r="G178" s="930"/>
    </row>
    <row r="179" spans="1:7" ht="12" customHeight="1" thickBot="1" x14ac:dyDescent="0.25">
      <c r="A179" s="1770"/>
      <c r="B179" s="1790"/>
      <c r="C179" s="1785"/>
      <c r="D179" s="1786" t="s">
        <v>2055</v>
      </c>
      <c r="E179" s="1787" t="s">
        <v>1545</v>
      </c>
      <c r="F179" s="1792">
        <f>F177/F178</f>
        <v>8893.1203211457087</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1990</v>
      </c>
      <c r="B182" s="1923"/>
      <c r="C182" s="1924"/>
      <c r="D182" s="1923"/>
      <c r="E182" s="1924"/>
      <c r="F182" s="1923"/>
      <c r="G182" s="1923"/>
    </row>
    <row r="183" spans="1:7" s="1922" customFormat="1" ht="12.2" customHeight="1" x14ac:dyDescent="0.2">
      <c r="A183" s="1925" t="s">
        <v>1992</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orizontalCentered="1" verticalCentered="1" headings="1"/>
  <pageMargins left="0.25" right="0.25" top="0.45" bottom="0.75" header="0.19" footer="0.65"/>
  <pageSetup scale="70" firstPageNumber="27" orientation="portrait" useFirstPageNumber="1" r:id="rId2"/>
  <headerFooter alignWithMargins="0">
    <oddHeader>&amp;L&amp;8Page &amp;P&amp;C &amp;R&amp;8Page &amp;P</oddHeader>
    <oddFooter>&amp;L&amp;8Print Date: &amp;D
&amp;F&amp;CSee Independent Auditors' Report.</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41"/>
  <sheetViews>
    <sheetView showGridLines="0" zoomScaleNormal="100" workbookViewId="0">
      <selection activeCell="A17" sqref="A17:D30"/>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81" t="s">
        <v>1815</v>
      </c>
      <c r="B4" s="2282"/>
      <c r="C4" s="2282"/>
      <c r="D4" s="2282"/>
      <c r="E4" s="2282"/>
      <c r="F4" s="2282"/>
      <c r="G4" s="2283"/>
    </row>
    <row r="5" spans="1:7" x14ac:dyDescent="0.25">
      <c r="A5" s="2284"/>
      <c r="B5" s="2285"/>
      <c r="C5" s="2285"/>
      <c r="D5" s="2285"/>
      <c r="E5" s="2285"/>
      <c r="F5" s="2285"/>
      <c r="G5" s="2286"/>
    </row>
    <row r="6" spans="1:7" ht="18.75" x14ac:dyDescent="0.25">
      <c r="A6" s="1534" t="s">
        <v>1816</v>
      </c>
      <c r="B6" s="1535"/>
      <c r="C6" s="1535"/>
      <c r="D6" s="1535"/>
      <c r="E6" s="1535"/>
      <c r="F6" s="1535"/>
      <c r="G6" s="1536"/>
    </row>
    <row r="7" spans="1:7" ht="30.75" customHeight="1" x14ac:dyDescent="0.25">
      <c r="A7" s="2287" t="s">
        <v>1928</v>
      </c>
      <c r="B7" s="2288"/>
      <c r="C7" s="2288"/>
      <c r="D7" s="2288"/>
      <c r="E7" s="2288"/>
      <c r="F7" s="2288"/>
      <c r="G7" s="2289"/>
    </row>
    <row r="8" spans="1:7" ht="15.75" customHeight="1" x14ac:dyDescent="0.25">
      <c r="A8" s="2290" t="s">
        <v>1903</v>
      </c>
      <c r="B8" s="2291"/>
      <c r="C8" s="2291"/>
      <c r="D8" s="2291"/>
      <c r="E8" s="2291"/>
      <c r="F8" s="2291"/>
      <c r="G8" s="2292"/>
    </row>
    <row r="9" spans="1:7" ht="35.25" customHeight="1" x14ac:dyDescent="0.25">
      <c r="A9" s="2287" t="s">
        <v>1931</v>
      </c>
      <c r="B9" s="2288"/>
      <c r="C9" s="2288"/>
      <c r="D9" s="2288"/>
      <c r="E9" s="2288"/>
      <c r="F9" s="2288"/>
      <c r="G9" s="2289"/>
    </row>
    <row r="10" spans="1:7" ht="15" customHeight="1" x14ac:dyDescent="0.25">
      <c r="A10" s="1537" t="s">
        <v>1817</v>
      </c>
      <c r="B10" s="1538"/>
      <c r="C10" s="1538"/>
      <c r="D10" s="1538"/>
      <c r="E10" s="1538"/>
      <c r="F10" s="1538"/>
      <c r="G10" s="1539"/>
    </row>
    <row r="11" spans="1:7" ht="17.25" customHeight="1" x14ac:dyDescent="0.25">
      <c r="A11" s="2287" t="s">
        <v>1930</v>
      </c>
      <c r="B11" s="2288"/>
      <c r="C11" s="2288"/>
      <c r="D11" s="2288"/>
      <c r="E11" s="2288"/>
      <c r="F11" s="2288"/>
      <c r="G11" s="2289"/>
    </row>
    <row r="12" spans="1:7" ht="15" customHeight="1" x14ac:dyDescent="0.25">
      <c r="A12" s="1537" t="s">
        <v>1822</v>
      </c>
      <c r="B12" s="1538"/>
      <c r="C12" s="1538"/>
      <c r="D12" s="1538"/>
      <c r="E12" s="1538"/>
      <c r="F12" s="1538"/>
      <c r="G12" s="1539"/>
    </row>
    <row r="13" spans="1:7" ht="32.25" customHeight="1" x14ac:dyDescent="0.25">
      <c r="A13" s="2278" t="s">
        <v>1972</v>
      </c>
      <c r="B13" s="2279"/>
      <c r="C13" s="2279"/>
      <c r="D13" s="2279"/>
      <c r="E13" s="2279"/>
      <c r="F13" s="2279"/>
      <c r="G13" s="2280"/>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2077</v>
      </c>
      <c r="B17" s="2500" t="s">
        <v>2240</v>
      </c>
      <c r="C17" s="1938" t="s">
        <v>2078</v>
      </c>
      <c r="D17" s="1844">
        <v>58952</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33952</v>
      </c>
      <c r="H17" s="1647"/>
    </row>
    <row r="18" spans="1:8" x14ac:dyDescent="0.25">
      <c r="A18" s="1937" t="s">
        <v>2080</v>
      </c>
      <c r="B18" s="2500" t="s">
        <v>2241</v>
      </c>
      <c r="C18" s="1938" t="s">
        <v>2079</v>
      </c>
      <c r="D18" s="1844">
        <v>97573</v>
      </c>
      <c r="E18" s="1540">
        <f t="shared" ref="E18:E140" si="2">IF(D18&lt;=25000,D18,IF(D18&gt;25000,25000,0))</f>
        <v>25000</v>
      </c>
      <c r="F18" s="1932">
        <f t="shared" si="1"/>
        <v>25000</v>
      </c>
      <c r="G18" s="1793">
        <f t="shared" ref="G18:G140" si="3">IF(F18=0,0,D18-F18)</f>
        <v>72573</v>
      </c>
    </row>
    <row r="19" spans="1:8" x14ac:dyDescent="0.25">
      <c r="A19" s="1937" t="s">
        <v>2081</v>
      </c>
      <c r="B19" s="2500" t="s">
        <v>2241</v>
      </c>
      <c r="C19" s="1940" t="s">
        <v>2082</v>
      </c>
      <c r="D19" s="1844">
        <v>203419</v>
      </c>
      <c r="E19" s="1540">
        <f t="shared" si="2"/>
        <v>25000</v>
      </c>
      <c r="F19" s="1932">
        <f t="shared" si="1"/>
        <v>25000</v>
      </c>
      <c r="G19" s="1793">
        <f t="shared" si="3"/>
        <v>178419</v>
      </c>
    </row>
    <row r="20" spans="1:8" x14ac:dyDescent="0.25">
      <c r="A20" s="1941" t="s">
        <v>2085</v>
      </c>
      <c r="B20" s="1942" t="s">
        <v>2083</v>
      </c>
      <c r="C20" s="1940" t="s">
        <v>2084</v>
      </c>
      <c r="D20" s="1844">
        <v>136129</v>
      </c>
      <c r="E20" s="1540">
        <f t="shared" si="2"/>
        <v>25000</v>
      </c>
      <c r="F20" s="1932">
        <f t="shared" si="1"/>
        <v>25000</v>
      </c>
      <c r="G20" s="1793">
        <f t="shared" si="3"/>
        <v>111129</v>
      </c>
    </row>
    <row r="21" spans="1:8" x14ac:dyDescent="0.25">
      <c r="A21" s="1941" t="s">
        <v>2085</v>
      </c>
      <c r="B21" s="1942" t="s">
        <v>2083</v>
      </c>
      <c r="C21" s="1940" t="s">
        <v>2086</v>
      </c>
      <c r="D21" s="1844">
        <v>72763</v>
      </c>
      <c r="E21" s="1540">
        <f t="shared" si="2"/>
        <v>25000</v>
      </c>
      <c r="F21" s="1932">
        <f t="shared" si="1"/>
        <v>25000</v>
      </c>
      <c r="G21" s="1793">
        <f t="shared" si="3"/>
        <v>47763</v>
      </c>
    </row>
    <row r="22" spans="1:8" x14ac:dyDescent="0.25">
      <c r="A22" s="1941" t="s">
        <v>2087</v>
      </c>
      <c r="B22" s="1942" t="s">
        <v>2088</v>
      </c>
      <c r="C22" s="1940" t="s">
        <v>2089</v>
      </c>
      <c r="D22" s="1844">
        <v>39262</v>
      </c>
      <c r="E22" s="1540">
        <f t="shared" si="2"/>
        <v>25000</v>
      </c>
      <c r="F22" s="1932">
        <f t="shared" si="1"/>
        <v>25000</v>
      </c>
      <c r="G22" s="1793">
        <f t="shared" si="3"/>
        <v>14262</v>
      </c>
    </row>
    <row r="23" spans="1:8" x14ac:dyDescent="0.25">
      <c r="A23" s="1941" t="s">
        <v>2090</v>
      </c>
      <c r="B23" s="1942" t="s">
        <v>2091</v>
      </c>
      <c r="C23" s="1940" t="s">
        <v>2092</v>
      </c>
      <c r="D23" s="1844">
        <v>1490652</v>
      </c>
      <c r="E23" s="1540">
        <f t="shared" si="2"/>
        <v>25000</v>
      </c>
      <c r="F23" s="1932">
        <f t="shared" si="1"/>
        <v>25000</v>
      </c>
      <c r="G23" s="1793">
        <f t="shared" si="3"/>
        <v>1465652</v>
      </c>
    </row>
    <row r="24" spans="1:8" x14ac:dyDescent="0.25">
      <c r="A24" s="1941" t="s">
        <v>2093</v>
      </c>
      <c r="B24" s="2500" t="s">
        <v>2242</v>
      </c>
      <c r="C24" s="1940" t="s">
        <v>2094</v>
      </c>
      <c r="D24" s="1844">
        <v>29244</v>
      </c>
      <c r="E24" s="1540">
        <f t="shared" si="2"/>
        <v>25000</v>
      </c>
      <c r="F24" s="1932">
        <f t="shared" si="1"/>
        <v>25000</v>
      </c>
      <c r="G24" s="1793">
        <f t="shared" si="3"/>
        <v>4244</v>
      </c>
    </row>
    <row r="25" spans="1:8" x14ac:dyDescent="0.25">
      <c r="A25" s="1941" t="s">
        <v>2087</v>
      </c>
      <c r="B25" s="1942" t="s">
        <v>2088</v>
      </c>
      <c r="C25" s="1940" t="s">
        <v>2095</v>
      </c>
      <c r="D25" s="1844">
        <v>347131</v>
      </c>
      <c r="E25" s="1540">
        <f t="shared" si="2"/>
        <v>25000</v>
      </c>
      <c r="F25" s="1932">
        <f t="shared" si="1"/>
        <v>25000</v>
      </c>
      <c r="G25" s="1793">
        <f t="shared" si="3"/>
        <v>322131</v>
      </c>
    </row>
    <row r="26" spans="1:8" x14ac:dyDescent="0.25">
      <c r="A26" s="1937" t="s">
        <v>2080</v>
      </c>
      <c r="B26" s="2500" t="s">
        <v>2241</v>
      </c>
      <c r="C26" s="1940" t="s">
        <v>2096</v>
      </c>
      <c r="D26" s="1844">
        <v>56737</v>
      </c>
      <c r="E26" s="1540">
        <f t="shared" si="2"/>
        <v>25000</v>
      </c>
      <c r="F26" s="1932">
        <f t="shared" si="1"/>
        <v>25000</v>
      </c>
      <c r="G26" s="1793">
        <f t="shared" si="3"/>
        <v>31737</v>
      </c>
    </row>
    <row r="27" spans="1:8" x14ac:dyDescent="0.25">
      <c r="A27" s="1941" t="s">
        <v>2087</v>
      </c>
      <c r="B27" s="1942" t="s">
        <v>2088</v>
      </c>
      <c r="C27" s="1940" t="s">
        <v>2097</v>
      </c>
      <c r="D27" s="1844">
        <v>80886</v>
      </c>
      <c r="E27" s="1540">
        <f t="shared" si="2"/>
        <v>25000</v>
      </c>
      <c r="F27" s="1932">
        <f t="shared" si="1"/>
        <v>25000</v>
      </c>
      <c r="G27" s="1793">
        <f t="shared" si="3"/>
        <v>55886</v>
      </c>
    </row>
    <row r="28" spans="1:8" x14ac:dyDescent="0.25">
      <c r="A28" s="1941" t="s">
        <v>2085</v>
      </c>
      <c r="B28" s="1942" t="s">
        <v>2083</v>
      </c>
      <c r="C28" s="1940" t="s">
        <v>2098</v>
      </c>
      <c r="D28" s="1844">
        <v>56082</v>
      </c>
      <c r="E28" s="1540">
        <f t="shared" si="2"/>
        <v>25000</v>
      </c>
      <c r="F28" s="1932">
        <f t="shared" si="1"/>
        <v>25000</v>
      </c>
      <c r="G28" s="1793">
        <f t="shared" si="3"/>
        <v>31082</v>
      </c>
    </row>
    <row r="29" spans="1:8" x14ac:dyDescent="0.25">
      <c r="A29" s="1941" t="s">
        <v>2099</v>
      </c>
      <c r="B29" s="2500" t="s">
        <v>2241</v>
      </c>
      <c r="C29" s="1940" t="s">
        <v>2100</v>
      </c>
      <c r="D29" s="1844">
        <v>28599</v>
      </c>
      <c r="E29" s="1540">
        <f t="shared" si="2"/>
        <v>25000</v>
      </c>
      <c r="F29" s="1932">
        <f t="shared" si="1"/>
        <v>25000</v>
      </c>
      <c r="G29" s="1793">
        <f t="shared" si="3"/>
        <v>3599</v>
      </c>
    </row>
    <row r="30" spans="1:8" x14ac:dyDescent="0.25">
      <c r="A30" s="1941" t="s">
        <v>2101</v>
      </c>
      <c r="B30" s="1942" t="s">
        <v>2102</v>
      </c>
      <c r="C30" s="1940" t="s">
        <v>2103</v>
      </c>
      <c r="D30" s="1844">
        <v>75417</v>
      </c>
      <c r="E30" s="1540">
        <f t="shared" si="2"/>
        <v>25000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2772846</v>
      </c>
      <c r="E141" s="1541">
        <f t="shared" si="0"/>
        <v>25000</v>
      </c>
      <c r="F141" s="1933">
        <f>SUM(F17:F140)</f>
        <v>325000</v>
      </c>
      <c r="G141" s="1795">
        <f>SUM(G17:G140)</f>
        <v>2372429</v>
      </c>
    </row>
  </sheetData>
  <sheetProtection password="F60E" sheet="1" selectLockedCells="1"/>
  <mergeCells count="6">
    <mergeCell ref="A13:G13"/>
    <mergeCell ref="A4:G5"/>
    <mergeCell ref="A11:G11"/>
    <mergeCell ref="A7:G7"/>
    <mergeCell ref="A8:G8"/>
    <mergeCell ref="A9:G9"/>
  </mergeCells>
  <printOptions horizontalCentered="1"/>
  <pageMargins left="0.7" right="0.7" top="0.5" bottom="0.25" header="0.3" footer="0.3"/>
  <pageSetup scale="75"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3" t="s">
        <v>1679</v>
      </c>
      <c r="B5" s="2294"/>
      <c r="C5" s="2294"/>
      <c r="D5" s="2294"/>
      <c r="E5" s="2294"/>
      <c r="F5" s="2294"/>
      <c r="G5" s="229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v>2850</v>
      </c>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537334</v>
      </c>
      <c r="F10" s="974"/>
      <c r="G10" s="975"/>
      <c r="H10" s="162"/>
      <c r="I10" s="162"/>
    </row>
    <row r="11" spans="1:9" s="668" customFormat="1" ht="22.5" customHeight="1" x14ac:dyDescent="0.2">
      <c r="A11" s="2298" t="s">
        <v>1973</v>
      </c>
      <c r="B11" s="2299"/>
      <c r="C11" s="2299"/>
      <c r="D11" s="2300"/>
      <c r="E11" s="977">
        <v>79961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v>136</v>
      </c>
      <c r="F13" s="974"/>
      <c r="G13" s="975"/>
      <c r="H13" s="162"/>
      <c r="I13" s="162"/>
    </row>
    <row r="14" spans="1:9" s="668" customFormat="1" ht="12" customHeight="1" x14ac:dyDescent="0.2">
      <c r="A14" s="970" t="s">
        <v>204</v>
      </c>
      <c r="B14" s="971"/>
      <c r="C14" s="971"/>
      <c r="D14" s="972"/>
      <c r="E14" s="973">
        <v>4883</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11882449</v>
      </c>
      <c r="F19" s="1799"/>
      <c r="G19" s="1801">
        <f>'Expenditures 15-22'!K33-SUM('Expenditures 15-22'!G33,'Expenditures 15-22'!I33)+'Expenditures 15-22'!D229</f>
        <v>11882449</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868070</v>
      </c>
      <c r="F21" s="1802"/>
      <c r="G21" s="1805">
        <f>'Expenditures 15-22'!K42-SUM('Expenditures 15-22'!G42,'Expenditures 15-22'!I42)+'Expenditures 15-22'!K120-SUM('Expenditures 15-22'!G120,'Expenditures 15-22'!I120)+'Expenditures 15-22'!K180-SUM('Expenditures 15-22'!G180,'Expenditures 15-22'!I180)+'Expenditures 15-22'!D238</f>
        <v>868070</v>
      </c>
      <c r="H21" s="987"/>
      <c r="I21" s="162"/>
    </row>
    <row r="22" spans="1:9" s="668" customFormat="1" ht="12" customHeight="1" x14ac:dyDescent="0.2">
      <c r="A22" s="994" t="s">
        <v>564</v>
      </c>
      <c r="B22" s="995"/>
      <c r="C22" s="993">
        <v>2200</v>
      </c>
      <c r="D22" s="1802"/>
      <c r="E22" s="1804">
        <f>'Expenditures 15-22'!K47-SUM('Expenditures 15-22'!G47,'Expenditures 15-22'!I47)+'Expenditures 15-22'!D243</f>
        <v>492485</v>
      </c>
      <c r="F22" s="1802"/>
      <c r="G22" s="1805">
        <f>'Expenditures 15-22'!K47-SUM('Expenditures 15-22'!G47,'Expenditures 15-22'!I47)+'Expenditures 15-22'!D243</f>
        <v>492485</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644984</v>
      </c>
      <c r="F23" s="1802"/>
      <c r="G23" s="1804">
        <f>'Expenditures 15-22'!K53-SUM('Expenditures 15-22'!G53,'Expenditures 15-22'!I53)+'Expenditures 15-22'!D257+'Expenditures 15-22'!K330-SUM('Expenditures 15-22'!G330,'Expenditures 15-22'!I330)</f>
        <v>644984</v>
      </c>
      <c r="H23" s="987"/>
      <c r="I23" s="162"/>
    </row>
    <row r="24" spans="1:9" s="668" customFormat="1" ht="12" customHeight="1" x14ac:dyDescent="0.2">
      <c r="A24" s="994" t="s">
        <v>566</v>
      </c>
      <c r="B24" s="995"/>
      <c r="C24" s="993">
        <v>2400</v>
      </c>
      <c r="D24" s="1802"/>
      <c r="E24" s="1804">
        <f>'Expenditures 15-22'!K57-SUM('Expenditures 15-22'!G57,'Expenditures 15-22'!I57)+'Expenditures 15-22'!D261</f>
        <v>1109244</v>
      </c>
      <c r="F24" s="1802"/>
      <c r="G24" s="1805">
        <f>'Expenditures 15-22'!K57-SUM('Expenditures 15-22'!G57,'Expenditures 15-22'!I57)+'Expenditures 15-22'!D261</f>
        <v>1109244</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597997</v>
      </c>
      <c r="E27" s="1804">
        <f>E8</f>
        <v>2850</v>
      </c>
      <c r="F27" s="1804">
        <f>'Expenditures 15-22'!K60-SUM('Expenditures 15-22'!G60,'Expenditures 15-22'!I60)+'Expenditures 15-22'!D264-E8</f>
        <v>597997</v>
      </c>
      <c r="G27" s="1805">
        <f>E8</f>
        <v>2850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2258154</v>
      </c>
      <c r="F28" s="1806">
        <f>'Expenditures 15-22'!K61-SUM('Expenditures 15-22'!G61,'Expenditures 15-22'!I61)+'Expenditures 15-22'!K124-SUM('Expenditures 15-22'!G124,'Expenditures 15-22'!I124)+'Expenditures 15-22'!D266-E9</f>
        <v>2258154</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1490588</v>
      </c>
      <c r="F29" s="1802"/>
      <c r="G29" s="1805">
        <f>'Expenditures 15-22'!K62-SUM('Expenditures 15-22'!G62,'Expenditures 15-22'!I62)+'Expenditures 15-22'!K125-SUM('Expenditures 15-22'!G125,'Expenditures 15-22'!I125)+'Expenditures 15-22'!K182-SUM('Expenditures 15-22'!G182,'Expenditures 15-22'!I182)+'Expenditures 15-22'!D267</f>
        <v>1490588</v>
      </c>
      <c r="H29" s="985"/>
    </row>
    <row r="30" spans="1:9" ht="12" customHeight="1" x14ac:dyDescent="0.2">
      <c r="A30" s="994" t="s">
        <v>100</v>
      </c>
      <c r="B30" s="997"/>
      <c r="C30" s="993">
        <v>2560</v>
      </c>
      <c r="D30" s="1802"/>
      <c r="E30" s="1804">
        <f>'Expenditures 15-22'!K63-SUM('Expenditures 15-22'!G63,'Expenditures 15-22'!I63)+'Expenditures 15-22'!D268-E10</f>
        <v>534930</v>
      </c>
      <c r="F30" s="1802"/>
      <c r="G30" s="1804">
        <f>'Expenditures 15-22'!K63-SUM('Expenditures 15-22'!G63,'Expenditures 15-22'!I63)+'Expenditures 15-22'!D268-E10</f>
        <v>534930</v>
      </c>
    </row>
    <row r="31" spans="1:9" ht="12" customHeight="1" x14ac:dyDescent="0.2">
      <c r="A31" s="994" t="s">
        <v>101</v>
      </c>
      <c r="B31" s="997"/>
      <c r="C31" s="993">
        <v>2570</v>
      </c>
      <c r="D31" s="1804">
        <f>'Expenditures 15-22'!K64-SUM('Expenditures 15-22'!G64,'Expenditures 15-22'!I64)+'Expenditures 15-22'!D269-E12</f>
        <v>977</v>
      </c>
      <c r="E31" s="1804">
        <f>E12</f>
        <v>0</v>
      </c>
      <c r="F31" s="1804">
        <f>'Expenditures 15-22'!K64-SUM('Expenditures 15-22'!G64,'Expenditures 15-22'!I64)+'Expenditures 15-22'!D269-E12</f>
        <v>977</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4800</v>
      </c>
      <c r="F33" s="1802"/>
      <c r="G33" s="1804">
        <f>'Expenditures 15-22'!K67-SUM('Expenditures 15-22'!G67,'Expenditures 15-22'!I67)+'Expenditures 15-22'!D272</f>
        <v>4800</v>
      </c>
    </row>
    <row r="34" spans="1:7" ht="12" customHeight="1" x14ac:dyDescent="0.2">
      <c r="A34" s="994" t="s">
        <v>520</v>
      </c>
      <c r="B34" s="997"/>
      <c r="C34" s="993">
        <v>2620</v>
      </c>
      <c r="D34" s="1802"/>
      <c r="E34" s="1804">
        <f>'Expenditures 15-22'!K68-SUM('Expenditures 15-22'!G68,'Expenditures 15-22'!I68)+'Expenditures 15-22'!D273</f>
        <v>10060</v>
      </c>
      <c r="F34" s="1802"/>
      <c r="G34" s="1804">
        <f>'Expenditures 15-22'!K68-SUM('Expenditures 15-22'!G68,'Expenditures 15-22'!I68)+'Expenditures 15-22'!D273</f>
        <v>10060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136</v>
      </c>
      <c r="F36" s="1804">
        <f>'Expenditures 15-22'!K70-SUM('Expenditures 15-22'!G70,'Expenditures 15-22'!I70)+'Expenditures 15-22'!D275-E13</f>
        <v>0</v>
      </c>
      <c r="G36" s="1804">
        <f>E13</f>
        <v>136</v>
      </c>
    </row>
    <row r="37" spans="1:7" ht="12" customHeight="1" x14ac:dyDescent="0.2">
      <c r="A37" s="994" t="s">
        <v>404</v>
      </c>
      <c r="B37" s="997"/>
      <c r="C37" s="993">
        <v>2660</v>
      </c>
      <c r="D37" s="1804">
        <f>'Expenditures 15-22'!K71-SUM('Expenditures 15-22'!G71,'Expenditures 15-22'!I71)+'Expenditures 15-22'!D276-E14</f>
        <v>-1</v>
      </c>
      <c r="E37" s="1804">
        <f>E14</f>
        <v>4883</v>
      </c>
      <c r="F37" s="1804">
        <f>'Expenditures 15-22'!K71-SUM('Expenditures 15-22'!G71,'Expenditures 15-22'!I71)+'Expenditures 15-22'!D276-E14</f>
        <v>-1</v>
      </c>
      <c r="G37" s="1804">
        <f>E14</f>
        <v>4883</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30650</v>
      </c>
      <c r="F39" s="1802"/>
      <c r="G39" s="1804">
        <f>'Expenditures 15-22'!K75-SUM('Expenditures 15-22'!G75,'Expenditures 15-22'!I75)+'Expenditures 15-22'!K130-SUM('Expenditures 15-22'!G130,'Expenditures 15-22'!I130)+'Expenditures 15-22'!K185-SUM('Expenditures 15-22'!G185,'Expenditures 15-22'!I185)+'Expenditures 15-22'!D280</f>
        <v>30650</v>
      </c>
    </row>
    <row r="40" spans="1:7" ht="12" customHeight="1" x14ac:dyDescent="0.2">
      <c r="A40" s="990" t="s">
        <v>1820</v>
      </c>
      <c r="B40" s="991"/>
      <c r="C40" s="993"/>
      <c r="D40" s="1802"/>
      <c r="E40" s="1806">
        <f>-'Contracts Paid in CY 29'!G141</f>
        <v>-2372429</v>
      </c>
      <c r="F40" s="1802"/>
      <c r="G40" s="1806">
        <f>-'Contracts Paid in CY 29'!G141</f>
        <v>-2372429</v>
      </c>
    </row>
    <row r="41" spans="1:7" ht="12" customHeight="1" x14ac:dyDescent="0.2">
      <c r="A41" s="998" t="s">
        <v>156</v>
      </c>
      <c r="B41" s="999"/>
      <c r="C41" s="1000"/>
      <c r="D41" s="1806">
        <f>SUM(D19:D39)</f>
        <v>598973</v>
      </c>
      <c r="E41" s="1806">
        <f>SUM(E19:E40)</f>
        <v>16961854</v>
      </c>
      <c r="F41" s="1806">
        <f>SUM(F19:F39)</f>
        <v>2857127</v>
      </c>
      <c r="G41" s="1806">
        <f>SUM(G19:G40)</f>
        <v>14703700</v>
      </c>
    </row>
    <row r="42" spans="1:7" x14ac:dyDescent="0.2">
      <c r="A42" s="987"/>
      <c r="B42" s="162"/>
      <c r="C42" s="1001"/>
      <c r="D42" s="2296" t="s">
        <v>522</v>
      </c>
      <c r="E42" s="2297"/>
      <c r="F42" s="1002" t="s">
        <v>523</v>
      </c>
      <c r="G42" s="1003"/>
    </row>
    <row r="43" spans="1:7" ht="12" customHeight="1" x14ac:dyDescent="0.2">
      <c r="A43" s="987"/>
      <c r="B43" s="162"/>
      <c r="C43" s="1001"/>
      <c r="D43" s="1807" t="s">
        <v>473</v>
      </c>
      <c r="E43" s="1808">
        <f>D41</f>
        <v>598973</v>
      </c>
      <c r="F43" s="1807" t="s">
        <v>473</v>
      </c>
      <c r="G43" s="1808">
        <f>F41</f>
        <v>2857127</v>
      </c>
    </row>
    <row r="44" spans="1:7" ht="12" customHeight="1" x14ac:dyDescent="0.2">
      <c r="A44" s="987"/>
      <c r="B44" s="162"/>
      <c r="C44" s="1001"/>
      <c r="D44" s="1807" t="s">
        <v>474</v>
      </c>
      <c r="E44" s="1808">
        <f>E41</f>
        <v>16961854</v>
      </c>
      <c r="F44" s="1807" t="s">
        <v>474</v>
      </c>
      <c r="G44" s="1808">
        <f>G41</f>
        <v>14703700</v>
      </c>
    </row>
    <row r="45" spans="1:7" ht="12" customHeight="1" x14ac:dyDescent="0.2">
      <c r="A45" s="987"/>
      <c r="B45" s="162"/>
      <c r="C45" s="162"/>
      <c r="D45" s="1809" t="s">
        <v>1006</v>
      </c>
      <c r="E45" s="1810">
        <f>(E43/E44)</f>
        <v>3.5312943974166976E-2</v>
      </c>
      <c r="F45" s="1809" t="s">
        <v>1006</v>
      </c>
      <c r="G45" s="1810">
        <f>(G43/G44)</f>
        <v>0.1943134721192625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orizontalCentered="1" headings="1"/>
  <pageMargins left="1" right="1" top="0.77" bottom="0.5" header="0.42" footer="0.42"/>
  <pageSetup scale="80" firstPageNumber="30" orientation="landscape" useFirstPageNumber="1" r:id="rId1"/>
  <headerFooter alignWithMargins="0">
    <oddHeader>&amp;L&amp;8Page &amp;P&amp;C&amp;"Arial,Bold"
ESTIMATED INDIRECT COST DATA&amp;R&amp;8Page &amp;P</oddHeader>
    <oddFooter>&amp;L&amp;8Print Date:  &amp;D
&amp;F&amp;CSee Independent Auditors' Report.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1" activePane="bottomLeft" state="frozen"/>
      <selection activeCell="A47" sqref="A47"/>
      <selection pane="bottomLeft" activeCell="F27" sqref="F27"/>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15" t="s">
        <v>1379</v>
      </c>
      <c r="B1" s="2315"/>
      <c r="C1" s="2315"/>
      <c r="D1" s="2315"/>
      <c r="E1" s="2315"/>
      <c r="F1" s="2315"/>
    </row>
    <row r="2" spans="1:10" x14ac:dyDescent="0.2">
      <c r="A2" s="1887" t="s">
        <v>1908</v>
      </c>
      <c r="B2" s="1848"/>
      <c r="C2" s="1887"/>
      <c r="D2" s="1848"/>
      <c r="E2" s="1848"/>
      <c r="F2" s="1849"/>
    </row>
    <row r="3" spans="1:10" x14ac:dyDescent="0.2">
      <c r="A3" s="1887" t="s">
        <v>1974</v>
      </c>
      <c r="B3" s="1848"/>
      <c r="C3" s="1887"/>
      <c r="D3" s="1848"/>
      <c r="E3" s="1848"/>
      <c r="F3" s="1849"/>
    </row>
    <row r="4" spans="1:10" ht="3.75" customHeight="1" x14ac:dyDescent="0.2">
      <c r="A4" s="1848"/>
      <c r="B4" s="1848"/>
      <c r="C4" s="1848"/>
      <c r="D4" s="1848"/>
      <c r="E4" s="1848"/>
      <c r="F4" s="1849"/>
    </row>
    <row r="5" spans="1:10" ht="15" x14ac:dyDescent="0.25">
      <c r="A5" s="2316" t="s">
        <v>1546</v>
      </c>
      <c r="B5" s="2317"/>
      <c r="C5" s="2318"/>
      <c r="D5" s="2318"/>
      <c r="E5" s="2318"/>
      <c r="F5" s="2318"/>
    </row>
    <row r="6" spans="1:10" ht="12" customHeight="1" x14ac:dyDescent="0.25">
      <c r="A6" s="1850"/>
      <c r="B6" s="1851"/>
      <c r="C6" s="2319" t="str">
        <f>COVER!A17</f>
        <v>Massac UD 1</v>
      </c>
      <c r="D6" s="2319"/>
      <c r="E6" s="2319"/>
      <c r="F6" s="1852"/>
    </row>
    <row r="7" spans="1:10" ht="11.25" customHeight="1" thickBot="1" x14ac:dyDescent="0.3">
      <c r="A7" s="1850"/>
      <c r="B7" s="1851"/>
      <c r="C7" s="2320">
        <f>COVER!A13</f>
        <v>21061001026</v>
      </c>
      <c r="D7" s="2320"/>
      <c r="E7" s="2320"/>
      <c r="F7" s="1852"/>
    </row>
    <row r="8" spans="1:10" ht="25.5" customHeight="1" thickBot="1" x14ac:dyDescent="0.25">
      <c r="A8" s="1893" t="s">
        <v>1904</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2060</v>
      </c>
      <c r="D26" s="1865" t="s">
        <v>2060</v>
      </c>
      <c r="E26" s="1868"/>
      <c r="F26" s="1867" t="s">
        <v>2105</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2060</v>
      </c>
      <c r="D31" s="1865" t="s">
        <v>2060</v>
      </c>
      <c r="E31" s="1868"/>
      <c r="F31" s="1867" t="s">
        <v>2104</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1392</v>
      </c>
      <c r="B35" s="1872"/>
      <c r="C35" s="2321"/>
      <c r="D35" s="2321"/>
      <c r="E35" s="2321"/>
      <c r="F35" s="2322"/>
    </row>
    <row r="36" spans="1:11" ht="12" customHeight="1" x14ac:dyDescent="0.2">
      <c r="A36" s="2304"/>
      <c r="B36" s="2305"/>
      <c r="C36" s="2305"/>
      <c r="D36" s="2305"/>
      <c r="E36" s="2305"/>
      <c r="F36" s="2306"/>
    </row>
    <row r="37" spans="1:11" ht="12" customHeight="1" x14ac:dyDescent="0.2">
      <c r="A37" s="2304"/>
      <c r="B37" s="2305"/>
      <c r="C37" s="2305"/>
      <c r="D37" s="2305"/>
      <c r="E37" s="2305"/>
      <c r="F37" s="2306"/>
    </row>
    <row r="38" spans="1:11" ht="12" customHeight="1" x14ac:dyDescent="0.2">
      <c r="A38" s="2307"/>
      <c r="B38" s="2308"/>
      <c r="C38" s="2308"/>
      <c r="D38" s="2308"/>
      <c r="E38" s="2308"/>
      <c r="F38" s="2309"/>
    </row>
    <row r="39" spans="1:11" ht="4.5" hidden="1" customHeight="1" x14ac:dyDescent="0.2">
      <c r="A39" s="1873"/>
      <c r="B39" s="1873"/>
      <c r="C39" s="1873"/>
      <c r="D39" s="1873"/>
      <c r="E39" s="1873"/>
      <c r="F39" s="1873"/>
    </row>
    <row r="40" spans="1:11" s="1870" customFormat="1" ht="12" customHeight="1" x14ac:dyDescent="0.25">
      <c r="A40" s="1874" t="s">
        <v>1391</v>
      </c>
      <c r="B40" s="1875"/>
      <c r="C40" s="2310"/>
      <c r="D40" s="2310"/>
      <c r="E40" s="2310"/>
      <c r="F40" s="2311"/>
      <c r="H40" s="1879"/>
      <c r="I40" s="1879"/>
      <c r="J40" s="1879"/>
      <c r="K40" s="1879"/>
    </row>
    <row r="41" spans="1:11" s="1870" customFormat="1" ht="12" customHeight="1" x14ac:dyDescent="0.25">
      <c r="A41" s="2312"/>
      <c r="B41" s="2313"/>
      <c r="C41" s="2313"/>
      <c r="D41" s="2313"/>
      <c r="E41" s="2313"/>
      <c r="F41" s="2314"/>
      <c r="H41" s="1879"/>
      <c r="I41" s="1879"/>
      <c r="J41" s="1879"/>
      <c r="K41" s="1879"/>
    </row>
    <row r="42" spans="1:11" s="1870" customFormat="1" ht="12" customHeight="1" x14ac:dyDescent="0.25">
      <c r="A42" s="2312"/>
      <c r="B42" s="2313"/>
      <c r="C42" s="2313"/>
      <c r="D42" s="2313"/>
      <c r="E42" s="2313"/>
      <c r="F42" s="2314"/>
      <c r="H42" s="1879"/>
      <c r="I42" s="1879"/>
      <c r="J42" s="1879"/>
      <c r="K42" s="1879"/>
    </row>
    <row r="43" spans="1:11" s="1870" customFormat="1" ht="15" x14ac:dyDescent="0.25">
      <c r="A43" s="2301"/>
      <c r="B43" s="2302"/>
      <c r="C43" s="2302"/>
      <c r="D43" s="2302"/>
      <c r="E43" s="2302"/>
      <c r="F43" s="2303"/>
      <c r="H43" s="1879"/>
      <c r="I43" s="1879"/>
      <c r="J43" s="1879"/>
      <c r="K43" s="1879"/>
    </row>
    <row r="44" spans="1:11" s="1870" customFormat="1" ht="12" hidden="1" customHeight="1" x14ac:dyDescent="0.25">
      <c r="A44" s="2301"/>
      <c r="B44" s="2302"/>
      <c r="C44" s="2302"/>
      <c r="D44" s="2302"/>
      <c r="E44" s="2302"/>
      <c r="F44" s="230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verticalCentered="1" headings="1"/>
  <pageMargins left="0.3" right="0.2" top="0.68" bottom="0.5" header="0.17" footer="0.42"/>
  <pageSetup scale="75" orientation="landscape" r:id="rId1"/>
  <headerFooter>
    <oddFooter>&amp;C&amp;8See Independent Auditors Report.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5" colorId="8" zoomScale="110" zoomScaleNormal="110" workbookViewId="0">
      <selection activeCell="F7" sqref="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8" t="str">
        <f>COVER!A17</f>
        <v>Massac UD 1</v>
      </c>
      <c r="J6" s="2329"/>
      <c r="Q6" s="1664"/>
    </row>
    <row r="7" spans="1:17" x14ac:dyDescent="0.2">
      <c r="A7" s="2330" t="s">
        <v>869</v>
      </c>
      <c r="B7" s="2331"/>
      <c r="C7" s="2331"/>
      <c r="D7" s="2331"/>
      <c r="E7" s="2332"/>
      <c r="F7" s="1017"/>
      <c r="G7" s="1009"/>
      <c r="H7" s="1016" t="s">
        <v>372</v>
      </c>
      <c r="I7" s="2333">
        <f>COVER!A13</f>
        <v>21061001026</v>
      </c>
      <c r="J7" s="233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1975</v>
      </c>
      <c r="F9" s="1023"/>
      <c r="G9" s="1023"/>
      <c r="H9" s="1896" t="s">
        <v>1976</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4" t="s">
        <v>481</v>
      </c>
      <c r="B11" s="2335"/>
      <c r="C11" s="233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141887</v>
      </c>
      <c r="F12" s="1039"/>
      <c r="G12" s="1811">
        <f t="shared" ref="G12:G18" si="0">SUM(E12:F12)</f>
        <v>141887</v>
      </c>
      <c r="H12" s="1040"/>
      <c r="I12" s="1039"/>
      <c r="J12" s="1811">
        <f t="shared" ref="J12:J18" si="1">SUM(H12:I12)</f>
        <v>0</v>
      </c>
    </row>
    <row r="13" spans="1:17" ht="15" customHeight="1" x14ac:dyDescent="0.2">
      <c r="A13" s="1035">
        <v>2</v>
      </c>
      <c r="B13" s="1036" t="s">
        <v>42</v>
      </c>
      <c r="C13" s="1037"/>
      <c r="D13" s="1038">
        <v>2330</v>
      </c>
      <c r="E13" s="1811">
        <f>'Expenditures 15-22'!K51</f>
        <v>51685</v>
      </c>
      <c r="F13" s="1039"/>
      <c r="G13" s="1811">
        <f t="shared" si="0"/>
        <v>51685</v>
      </c>
      <c r="H13" s="1040"/>
      <c r="I13" s="1039"/>
      <c r="J13" s="1811">
        <f t="shared" si="1"/>
        <v>0</v>
      </c>
    </row>
    <row r="14" spans="1:17" ht="15" customHeight="1" x14ac:dyDescent="0.2">
      <c r="A14" s="1035">
        <v>3</v>
      </c>
      <c r="B14" s="1036" t="s">
        <v>43</v>
      </c>
      <c r="C14" s="1037"/>
      <c r="D14" s="1041">
        <v>2490</v>
      </c>
      <c r="E14" s="1811">
        <f>'Expenditures 15-22'!K56</f>
        <v>4136</v>
      </c>
      <c r="F14" s="1039"/>
      <c r="G14" s="1811">
        <f t="shared" si="0"/>
        <v>4136</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833</v>
      </c>
      <c r="F16" s="1039"/>
      <c r="G16" s="1811">
        <f t="shared" si="0"/>
        <v>833</v>
      </c>
      <c r="H16" s="1040"/>
      <c r="I16" s="1039"/>
      <c r="J16" s="1811">
        <f t="shared" si="1"/>
        <v>0</v>
      </c>
    </row>
    <row r="17" spans="1:10" ht="15" customHeight="1" x14ac:dyDescent="0.2">
      <c r="A17" s="1035">
        <v>6</v>
      </c>
      <c r="B17" s="1036" t="s">
        <v>1060</v>
      </c>
      <c r="C17" s="1037"/>
      <c r="D17" s="1038">
        <v>2610</v>
      </c>
      <c r="E17" s="1811">
        <f>'Expenditures 15-22'!K67</f>
        <v>4800</v>
      </c>
      <c r="F17" s="1039"/>
      <c r="G17" s="1811">
        <f t="shared" si="0"/>
        <v>4800</v>
      </c>
      <c r="H17" s="1040"/>
      <c r="I17" s="1039"/>
      <c r="J17" s="1811">
        <f t="shared" si="1"/>
        <v>0</v>
      </c>
    </row>
    <row r="18" spans="1:10" ht="22.5" customHeight="1" x14ac:dyDescent="0.2">
      <c r="A18" s="1042">
        <v>7</v>
      </c>
      <c r="B18" s="2337" t="s">
        <v>7</v>
      </c>
      <c r="C18" s="2338"/>
      <c r="D18" s="2339"/>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203341</v>
      </c>
      <c r="F19" s="1813">
        <f t="shared" si="2"/>
        <v>0</v>
      </c>
      <c r="G19" s="1813">
        <f t="shared" si="2"/>
        <v>203341</v>
      </c>
      <c r="H19" s="1813">
        <f t="shared" si="2"/>
        <v>0</v>
      </c>
      <c r="I19" s="1813">
        <f t="shared" si="2"/>
        <v>0</v>
      </c>
      <c r="J19" s="1813">
        <f t="shared" si="2"/>
        <v>0</v>
      </c>
    </row>
    <row r="20" spans="1:10" ht="13.5" thickTop="1" x14ac:dyDescent="0.2">
      <c r="A20" s="1035">
        <v>9</v>
      </c>
      <c r="B20" s="2340" t="s">
        <v>1977</v>
      </c>
      <c r="C20" s="2340"/>
      <c r="D20" s="2341"/>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46"/>
      <c r="D26" s="2346"/>
      <c r="E26" s="1050"/>
      <c r="F26" s="2345"/>
      <c r="G26" s="2345"/>
    </row>
    <row r="27" spans="1:10" x14ac:dyDescent="0.2">
      <c r="B27" s="1047"/>
      <c r="C27" s="1051" t="s">
        <v>1033</v>
      </c>
      <c r="D27" s="1052"/>
      <c r="E27" s="1053"/>
      <c r="F27" s="2342" t="s">
        <v>1509</v>
      </c>
      <c r="G27" s="2342"/>
    </row>
    <row r="28" spans="1:10" ht="28.5" customHeight="1" x14ac:dyDescent="0.2">
      <c r="B28" s="1047"/>
      <c r="C28" s="2344"/>
      <c r="D28" s="2344"/>
      <c r="E28" s="1054"/>
      <c r="F28" s="2344"/>
      <c r="G28" s="2344"/>
    </row>
    <row r="29" spans="1:10" x14ac:dyDescent="0.2">
      <c r="B29" s="1047"/>
      <c r="C29" s="1055" t="s">
        <v>1561</v>
      </c>
      <c r="E29" s="1056"/>
      <c r="F29" s="2343" t="s">
        <v>1510</v>
      </c>
      <c r="G29" s="234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5" t="s">
        <v>132</v>
      </c>
      <c r="D33" s="2326"/>
      <c r="E33" s="2326"/>
      <c r="F33" s="2326"/>
      <c r="G33" s="2326"/>
      <c r="H33" s="2326"/>
      <c r="I33" s="2326"/>
    </row>
    <row r="34" spans="1:10" ht="10.35" customHeight="1" x14ac:dyDescent="0.2">
      <c r="C34" s="2326"/>
      <c r="D34" s="2326"/>
      <c r="E34" s="2326"/>
      <c r="F34" s="2326"/>
      <c r="G34" s="2326"/>
      <c r="H34" s="2326"/>
      <c r="I34" s="2326"/>
    </row>
    <row r="35" spans="1:10" ht="7.5" customHeight="1" x14ac:dyDescent="0.2">
      <c r="C35" s="1062"/>
    </row>
    <row r="36" spans="1:10" ht="13.5" customHeight="1" x14ac:dyDescent="0.2">
      <c r="B36" s="1061"/>
      <c r="C36" s="2327" t="s">
        <v>1979</v>
      </c>
      <c r="D36" s="2326"/>
      <c r="E36" s="2326"/>
      <c r="F36" s="2326"/>
      <c r="G36" s="2326"/>
      <c r="H36" s="2326"/>
      <c r="I36" s="2326"/>
      <c r="J36" s="1063"/>
    </row>
    <row r="37" spans="1:10" ht="22.5" customHeight="1" x14ac:dyDescent="0.2">
      <c r="C37" s="2326"/>
      <c r="D37" s="2326"/>
      <c r="E37" s="2326"/>
      <c r="F37" s="2326"/>
      <c r="G37" s="2326"/>
      <c r="H37" s="2326"/>
      <c r="I37" s="2326"/>
      <c r="J37" s="1063"/>
    </row>
    <row r="38" spans="1:10" ht="7.5" customHeight="1" x14ac:dyDescent="0.2">
      <c r="C38" s="1062"/>
      <c r="D38" s="1064"/>
      <c r="E38" s="1065"/>
      <c r="F38" s="1066"/>
      <c r="G38" s="1065"/>
    </row>
    <row r="39" spans="1:10" ht="13.5" customHeight="1" x14ac:dyDescent="0.2">
      <c r="B39" s="1061"/>
      <c r="C39" s="2323" t="s">
        <v>882</v>
      </c>
      <c r="D39" s="2324"/>
      <c r="E39" s="2324"/>
      <c r="F39" s="2324"/>
      <c r="G39" s="2324"/>
      <c r="H39" s="2324"/>
      <c r="I39" s="232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verticalCentered="1"/>
  <pageMargins left="0.5" right="0.5" top="0.9" bottom="0.63" header="0.28000000000000003" footer="0.5"/>
  <pageSetup scale="80" firstPageNumber="31" orientation="landscape" useFirstPageNumber="1" r:id="rId1"/>
  <headerFooter alignWithMargins="0">
    <oddHeader>&amp;L&amp;8Page 32&amp;C &amp;R&amp;8Page 32</oddHeader>
    <oddFooter>&amp;CSee Independent Auditors' Report.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F63"/>
  <sheetViews>
    <sheetView showGridLines="0" zoomScale="110" zoomScaleNormal="110" workbookViewId="0">
      <selection activeCell="E24" sqref="E24"/>
    </sheetView>
  </sheetViews>
  <sheetFormatPr defaultRowHeight="12.75" x14ac:dyDescent="0.2"/>
  <cols>
    <col min="1" max="1" width="3" style="329" customWidth="1"/>
    <col min="2" max="2" width="21.85546875" style="329" customWidth="1"/>
    <col min="3" max="3" width="11.42578125" style="329" customWidth="1"/>
    <col min="4" max="4" width="12.7109375" style="329" customWidth="1"/>
    <col min="5" max="5" width="53.5703125" style="329" customWidth="1"/>
    <col min="6" max="6" width="9.140625" style="1943"/>
    <col min="7" max="16384" width="9.140625" style="329"/>
  </cols>
  <sheetData>
    <row r="2" spans="1:6" x14ac:dyDescent="0.2">
      <c r="A2" s="389" t="s">
        <v>258</v>
      </c>
    </row>
    <row r="3" spans="1:6" x14ac:dyDescent="0.2">
      <c r="A3" s="329" t="s">
        <v>259</v>
      </c>
    </row>
    <row r="4" spans="1:6" x14ac:dyDescent="0.2">
      <c r="B4" s="1950" t="s">
        <v>2162</v>
      </c>
      <c r="C4" s="1950" t="s">
        <v>1077</v>
      </c>
      <c r="D4" s="1950" t="s">
        <v>2163</v>
      </c>
      <c r="E4" s="1950" t="s">
        <v>481</v>
      </c>
      <c r="F4" s="1951" t="s">
        <v>865</v>
      </c>
    </row>
    <row r="5" spans="1:6" x14ac:dyDescent="0.2">
      <c r="A5" s="1068">
        <v>1</v>
      </c>
      <c r="B5" s="1949">
        <v>1690</v>
      </c>
      <c r="C5" s="1949">
        <v>10</v>
      </c>
      <c r="E5" s="329" t="s">
        <v>2164</v>
      </c>
      <c r="F5" s="1943">
        <v>3111</v>
      </c>
    </row>
    <row r="6" spans="1:6" x14ac:dyDescent="0.2">
      <c r="A6" s="1068"/>
      <c r="E6" s="329" t="s">
        <v>2233</v>
      </c>
      <c r="F6" s="1947">
        <v>935</v>
      </c>
    </row>
    <row r="7" spans="1:6" x14ac:dyDescent="0.2">
      <c r="A7" s="1068"/>
      <c r="E7" s="329" t="s">
        <v>2165</v>
      </c>
      <c r="F7" s="1944">
        <f>SUM(F5:F6)</f>
        <v>4046</v>
      </c>
    </row>
    <row r="8" spans="1:6" x14ac:dyDescent="0.2">
      <c r="A8" s="1068"/>
      <c r="F8" s="1944"/>
    </row>
    <row r="9" spans="1:6" x14ac:dyDescent="0.2">
      <c r="A9" s="1068">
        <v>2</v>
      </c>
      <c r="B9" s="1949">
        <v>1999</v>
      </c>
      <c r="C9" s="1949">
        <v>10</v>
      </c>
      <c r="E9" s="329" t="s">
        <v>2166</v>
      </c>
      <c r="F9" s="1943">
        <v>9750</v>
      </c>
    </row>
    <row r="10" spans="1:6" x14ac:dyDescent="0.2">
      <c r="A10" s="1068"/>
      <c r="E10" s="329" t="s">
        <v>2167</v>
      </c>
      <c r="F10" s="1948">
        <v>4349</v>
      </c>
    </row>
    <row r="11" spans="1:6" ht="15" x14ac:dyDescent="0.35">
      <c r="A11" s="1068"/>
      <c r="E11" s="329" t="s">
        <v>2168</v>
      </c>
      <c r="F11" s="1946">
        <v>5622</v>
      </c>
    </row>
    <row r="12" spans="1:6" ht="15" x14ac:dyDescent="0.35">
      <c r="A12" s="1069"/>
      <c r="E12" s="329" t="s">
        <v>2165</v>
      </c>
      <c r="F12" s="1945">
        <f>SUM(F9:F11)</f>
        <v>19721</v>
      </c>
    </row>
    <row r="13" spans="1:6" x14ac:dyDescent="0.2">
      <c r="A13" s="1069"/>
    </row>
    <row r="14" spans="1:6" ht="15" x14ac:dyDescent="0.35">
      <c r="A14" s="1068">
        <v>3</v>
      </c>
      <c r="B14" s="1949">
        <v>1999</v>
      </c>
      <c r="C14" s="1949">
        <v>20</v>
      </c>
      <c r="E14" s="329" t="s">
        <v>2168</v>
      </c>
      <c r="F14" s="1945">
        <v>1523</v>
      </c>
    </row>
    <row r="15" spans="1:6" x14ac:dyDescent="0.2">
      <c r="A15" s="1068"/>
    </row>
    <row r="16" spans="1:6" ht="15" x14ac:dyDescent="0.35">
      <c r="A16" s="1068">
        <v>4</v>
      </c>
      <c r="B16" s="1949">
        <v>1999</v>
      </c>
      <c r="C16" s="1949">
        <v>40</v>
      </c>
      <c r="E16" s="329" t="s">
        <v>2168</v>
      </c>
      <c r="F16" s="1945">
        <v>1073</v>
      </c>
    </row>
    <row r="17" spans="1:6" x14ac:dyDescent="0.2">
      <c r="A17" s="1068"/>
    </row>
    <row r="18" spans="1:6" ht="15" x14ac:dyDescent="0.35">
      <c r="A18" s="1068">
        <v>5</v>
      </c>
      <c r="B18" s="1949">
        <v>1999</v>
      </c>
      <c r="C18" s="1949">
        <v>50</v>
      </c>
      <c r="E18" s="329" t="s">
        <v>2168</v>
      </c>
      <c r="F18" s="1945">
        <v>1411</v>
      </c>
    </row>
    <row r="19" spans="1:6" x14ac:dyDescent="0.2">
      <c r="A19" s="1068"/>
    </row>
    <row r="20" spans="1:6" x14ac:dyDescent="0.2">
      <c r="A20" s="1068">
        <v>6</v>
      </c>
      <c r="B20" s="1949">
        <v>3999</v>
      </c>
      <c r="C20" s="1949">
        <v>10</v>
      </c>
      <c r="E20" s="329" t="s">
        <v>2169</v>
      </c>
      <c r="F20" s="1943">
        <v>16288</v>
      </c>
    </row>
    <row r="21" spans="1:6" x14ac:dyDescent="0.2">
      <c r="A21" s="1068"/>
      <c r="E21" s="329" t="s">
        <v>2170</v>
      </c>
      <c r="F21" s="1948">
        <v>1508</v>
      </c>
    </row>
    <row r="22" spans="1:6" x14ac:dyDescent="0.2">
      <c r="A22" s="1068"/>
      <c r="E22" s="329" t="s">
        <v>2171</v>
      </c>
      <c r="F22" s="1948">
        <v>3444</v>
      </c>
    </row>
    <row r="23" spans="1:6" ht="15" x14ac:dyDescent="0.35">
      <c r="A23" s="1068"/>
      <c r="E23" s="329" t="s">
        <v>2172</v>
      </c>
      <c r="F23" s="1946">
        <v>615</v>
      </c>
    </row>
    <row r="24" spans="1:6" ht="15" x14ac:dyDescent="0.35">
      <c r="A24" s="1068"/>
      <c r="E24" s="329" t="s">
        <v>2165</v>
      </c>
      <c r="F24" s="1945">
        <f>SUM(F20:F23)</f>
        <v>21855</v>
      </c>
    </row>
    <row r="25" spans="1:6" x14ac:dyDescent="0.2">
      <c r="A25" s="1068"/>
    </row>
    <row r="26" spans="1:6" ht="15" x14ac:dyDescent="0.35">
      <c r="A26" s="1068">
        <v>7</v>
      </c>
      <c r="B26" s="1949">
        <v>2190</v>
      </c>
      <c r="C26" s="1949">
        <v>10</v>
      </c>
      <c r="D26" s="1949">
        <v>100</v>
      </c>
      <c r="E26" s="329" t="s">
        <v>2173</v>
      </c>
      <c r="F26" s="1945">
        <v>46423</v>
      </c>
    </row>
    <row r="27" spans="1:6" x14ac:dyDescent="0.2">
      <c r="A27" s="1068"/>
    </row>
    <row r="28" spans="1:6" ht="15" x14ac:dyDescent="0.35">
      <c r="A28" s="1068">
        <v>8</v>
      </c>
      <c r="B28" s="1949">
        <v>2190</v>
      </c>
      <c r="C28" s="1949">
        <v>10</v>
      </c>
      <c r="D28" s="1949">
        <v>200</v>
      </c>
      <c r="E28" s="329" t="s">
        <v>2174</v>
      </c>
      <c r="F28" s="1945">
        <v>5127</v>
      </c>
    </row>
    <row r="29" spans="1:6" x14ac:dyDescent="0.2">
      <c r="A29" s="1068"/>
    </row>
    <row r="30" spans="1:6" x14ac:dyDescent="0.2">
      <c r="A30" s="1068">
        <v>9</v>
      </c>
      <c r="B30" s="1949">
        <v>2190</v>
      </c>
      <c r="C30" s="1949">
        <v>10</v>
      </c>
      <c r="D30" s="1949">
        <v>300</v>
      </c>
      <c r="E30" s="329" t="s">
        <v>2175</v>
      </c>
      <c r="F30" s="1943">
        <v>11475</v>
      </c>
    </row>
    <row r="31" spans="1:6" ht="15" x14ac:dyDescent="0.35">
      <c r="A31" s="1068"/>
      <c r="E31" s="329" t="s">
        <v>2176</v>
      </c>
      <c r="F31" s="1946">
        <v>4244</v>
      </c>
    </row>
    <row r="32" spans="1:6" ht="15" x14ac:dyDescent="0.35">
      <c r="A32" s="1068"/>
      <c r="E32" s="329" t="s">
        <v>2165</v>
      </c>
      <c r="F32" s="1945">
        <f>SUM(F30:F31)</f>
        <v>15719</v>
      </c>
    </row>
    <row r="33" spans="1:6" x14ac:dyDescent="0.2">
      <c r="A33" s="1068"/>
    </row>
    <row r="34" spans="1:6" ht="15" x14ac:dyDescent="0.35">
      <c r="A34" s="1068">
        <v>10</v>
      </c>
      <c r="B34" s="1949">
        <v>2190</v>
      </c>
      <c r="C34" s="1949">
        <v>10</v>
      </c>
      <c r="D34" s="1949">
        <v>400</v>
      </c>
      <c r="E34" s="329" t="s">
        <v>2177</v>
      </c>
      <c r="F34" s="1945">
        <v>5838</v>
      </c>
    </row>
    <row r="35" spans="1:6" x14ac:dyDescent="0.2">
      <c r="A35" s="1068"/>
    </row>
    <row r="36" spans="1:6" ht="15" x14ac:dyDescent="0.35">
      <c r="A36" s="1068">
        <v>11</v>
      </c>
      <c r="B36" s="1949">
        <v>2190</v>
      </c>
      <c r="C36" s="1949">
        <v>10</v>
      </c>
      <c r="D36" s="1949">
        <v>600</v>
      </c>
      <c r="E36" s="329" t="s">
        <v>2178</v>
      </c>
      <c r="F36" s="1945">
        <v>1604</v>
      </c>
    </row>
    <row r="37" spans="1:6" x14ac:dyDescent="0.2">
      <c r="A37" s="1068"/>
    </row>
    <row r="38" spans="1:6" ht="15" x14ac:dyDescent="0.35">
      <c r="A38" s="1068">
        <v>12</v>
      </c>
      <c r="B38" s="1949">
        <v>2490</v>
      </c>
      <c r="C38" s="1949">
        <v>10</v>
      </c>
      <c r="D38" s="1949">
        <v>100</v>
      </c>
      <c r="E38" s="329" t="s">
        <v>2179</v>
      </c>
      <c r="F38" s="1945">
        <v>3663</v>
      </c>
    </row>
    <row r="39" spans="1:6" x14ac:dyDescent="0.2">
      <c r="A39" s="1068"/>
    </row>
    <row r="40" spans="1:6" ht="15" x14ac:dyDescent="0.35">
      <c r="A40" s="1068">
        <v>13</v>
      </c>
      <c r="B40" s="1949">
        <v>2490</v>
      </c>
      <c r="C40" s="1949">
        <v>10</v>
      </c>
      <c r="D40" s="1949">
        <v>200</v>
      </c>
      <c r="E40" s="329" t="s">
        <v>2180</v>
      </c>
      <c r="F40" s="1945">
        <v>473</v>
      </c>
    </row>
    <row r="41" spans="1:6" x14ac:dyDescent="0.2">
      <c r="A41" s="1068"/>
    </row>
    <row r="42" spans="1:6" ht="15" x14ac:dyDescent="0.35">
      <c r="A42" s="1068">
        <v>14</v>
      </c>
      <c r="B42" s="1949">
        <v>4190</v>
      </c>
      <c r="C42" s="1949">
        <v>10</v>
      </c>
      <c r="D42" s="1949">
        <v>600</v>
      </c>
      <c r="E42" s="329" t="s">
        <v>2181</v>
      </c>
      <c r="F42" s="1945">
        <v>76296</v>
      </c>
    </row>
    <row r="43" spans="1:6" x14ac:dyDescent="0.2">
      <c r="A43" s="1068"/>
    </row>
    <row r="44" spans="1:6" ht="15" x14ac:dyDescent="0.35">
      <c r="A44" s="1068">
        <v>15</v>
      </c>
      <c r="B44" s="1949">
        <v>2190</v>
      </c>
      <c r="C44" s="1949">
        <v>50</v>
      </c>
      <c r="D44" s="1949">
        <v>200</v>
      </c>
      <c r="E44" s="329" t="s">
        <v>2174</v>
      </c>
      <c r="F44" s="1945">
        <v>1762</v>
      </c>
    </row>
    <row r="45" spans="1:6" x14ac:dyDescent="0.2">
      <c r="A45" s="1068"/>
    </row>
    <row r="46" spans="1:6" ht="15" x14ac:dyDescent="0.35">
      <c r="A46" s="1068">
        <v>16</v>
      </c>
      <c r="B46" s="1949">
        <v>2490</v>
      </c>
      <c r="C46" s="1949">
        <v>50</v>
      </c>
      <c r="D46" s="1949">
        <v>200</v>
      </c>
      <c r="E46" s="329" t="s">
        <v>2180</v>
      </c>
      <c r="F46" s="1945">
        <v>53</v>
      </c>
    </row>
    <row r="47" spans="1:6" x14ac:dyDescent="0.2">
      <c r="A47" s="1069"/>
    </row>
    <row r="48" spans="1:6"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c r="B62" s="258" t="str">
        <f>COVER!A17</f>
        <v>Massac UD 1</v>
      </c>
    </row>
    <row r="63" spans="1:2" x14ac:dyDescent="0.2">
      <c r="B63" s="1070">
        <f>COVER!A13</f>
        <v>21061001026</v>
      </c>
    </row>
  </sheetData>
  <phoneticPr fontId="16" type="noConversion"/>
  <printOptions horizontalCentered="1"/>
  <pageMargins left="0.7" right="0.7"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6" t="s">
        <v>1611</v>
      </c>
    </row>
    <row r="23" spans="1:5" x14ac:dyDescent="0.2">
      <c r="A23" s="168"/>
      <c r="B23" s="162" t="s">
        <v>1853</v>
      </c>
      <c r="D23" s="167" t="s">
        <v>637</v>
      </c>
      <c r="E23" s="1836"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4" t="s">
        <v>1065</v>
      </c>
      <c r="B35" s="2064"/>
      <c r="C35" s="2064"/>
      <c r="D35" s="2064"/>
      <c r="E35" s="206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1" t="s">
        <v>691</v>
      </c>
      <c r="B40" s="2061"/>
      <c r="C40" s="2061"/>
      <c r="D40" s="2061"/>
      <c r="E40" s="2061"/>
    </row>
    <row r="41" spans="1:5" x14ac:dyDescent="0.2">
      <c r="A41" s="2062" t="s">
        <v>1608</v>
      </c>
      <c r="B41" s="2062"/>
      <c r="C41" s="2062"/>
      <c r="D41" s="2062"/>
      <c r="E41" s="2062"/>
    </row>
    <row r="42" spans="1:5" ht="12.75" customHeight="1" x14ac:dyDescent="0.2">
      <c r="A42" s="2063" t="s">
        <v>1022</v>
      </c>
      <c r="B42" s="2063"/>
      <c r="C42" s="2063"/>
      <c r="D42" s="2063"/>
      <c r="E42" s="2063"/>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K21" sqref="K2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7" t="s">
        <v>1685</v>
      </c>
      <c r="B18" s="2347"/>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7889" r:id="rId4">
          <objectPr defaultSize="0" r:id="rId5">
            <anchor moveWithCells="1">
              <from>
                <xdr:col>1</xdr:col>
                <xdr:colOff>0</xdr:colOff>
                <xdr:row>5</xdr:row>
                <xdr:rowOff>0</xdr:rowOff>
              </from>
              <to>
                <xdr:col>1</xdr:col>
                <xdr:colOff>876300</xdr:colOff>
                <xdr:row>8</xdr:row>
                <xdr:rowOff>28575</xdr:rowOff>
              </to>
            </anchor>
          </objectPr>
        </oleObject>
      </mc:Choice>
      <mc:Fallback>
        <oleObject progId="Packager Shell Object" dvAspect="DVASPECT_ICON" shapeId="3788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8" t="s">
        <v>1690</v>
      </c>
      <c r="B1" s="2349"/>
      <c r="C1" s="2349"/>
      <c r="D1" s="2349"/>
      <c r="E1" s="2349"/>
      <c r="F1" s="2350"/>
    </row>
    <row r="2" spans="1:8" ht="45" customHeight="1" x14ac:dyDescent="0.2">
      <c r="A2" s="2358" t="s">
        <v>1983</v>
      </c>
      <c r="B2" s="2359"/>
      <c r="C2" s="2359"/>
      <c r="D2" s="2359"/>
      <c r="E2" s="2359"/>
      <c r="F2" s="2360"/>
      <c r="G2" s="1074"/>
      <c r="H2" s="1074"/>
    </row>
    <row r="3" spans="1:8" ht="57" customHeight="1" x14ac:dyDescent="0.2">
      <c r="A3" s="2361" t="s">
        <v>1686</v>
      </c>
      <c r="B3" s="2362"/>
      <c r="C3" s="2362"/>
      <c r="D3" s="2362"/>
      <c r="E3" s="2362"/>
      <c r="F3" s="2363"/>
      <c r="G3" s="1074"/>
      <c r="H3" s="1074"/>
    </row>
    <row r="4" spans="1:8" ht="14.25" customHeight="1" x14ac:dyDescent="0.2">
      <c r="A4" s="2367" t="s">
        <v>1984</v>
      </c>
      <c r="B4" s="2368"/>
      <c r="C4" s="2368"/>
      <c r="D4" s="2368"/>
      <c r="E4" s="2368"/>
      <c r="F4" s="2369"/>
      <c r="G4" s="1074"/>
      <c r="H4" s="1074"/>
    </row>
    <row r="5" spans="1:8" ht="14.25" customHeight="1" x14ac:dyDescent="0.2">
      <c r="A5" s="2370" t="s">
        <v>1980</v>
      </c>
      <c r="B5" s="2371"/>
      <c r="C5" s="2371"/>
      <c r="D5" s="2371"/>
      <c r="E5" s="2371"/>
      <c r="F5" s="2372"/>
      <c r="G5" s="1074"/>
      <c r="H5" s="1074"/>
    </row>
    <row r="6" spans="1:8" s="1075" customFormat="1" ht="41.25" customHeight="1" x14ac:dyDescent="0.2">
      <c r="A6" s="2364" t="s">
        <v>1691</v>
      </c>
      <c r="B6" s="2365"/>
      <c r="C6" s="2365"/>
      <c r="D6" s="2365"/>
      <c r="E6" s="2365"/>
      <c r="F6" s="236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17227877</v>
      </c>
      <c r="C8" s="1815">
        <f>'Acct Summary 7-8'!D8</f>
        <v>2399884</v>
      </c>
      <c r="D8" s="1815">
        <f>'Acct Summary 7-8'!F8</f>
        <v>1583313</v>
      </c>
      <c r="E8" s="1815">
        <f>'Acct Summary 7-8'!I8</f>
        <v>67742</v>
      </c>
      <c r="F8" s="1815">
        <f>SUM(B8:E8)</f>
        <v>21278816</v>
      </c>
    </row>
    <row r="9" spans="1:8" s="1079" customFormat="1" ht="14.25" customHeight="1" thickBot="1" x14ac:dyDescent="0.25">
      <c r="A9" s="1078" t="s">
        <v>1369</v>
      </c>
      <c r="B9" s="1816">
        <f>'Acct Summary 7-8'!C17</f>
        <v>16121844</v>
      </c>
      <c r="C9" s="1816">
        <f>'Acct Summary 7-8'!D17</f>
        <v>2245473</v>
      </c>
      <c r="D9" s="1816">
        <f>'Acct Summary 7-8'!F17</f>
        <v>1513894</v>
      </c>
      <c r="E9" s="1815"/>
      <c r="F9" s="1815">
        <f>SUM(B9:E9)</f>
        <v>19881211</v>
      </c>
    </row>
    <row r="10" spans="1:8" s="1079" customFormat="1" ht="14.25" thickTop="1" thickBot="1" x14ac:dyDescent="0.25">
      <c r="A10" s="1080" t="s">
        <v>1370</v>
      </c>
      <c r="B10" s="1817">
        <f>(B8-B9)</f>
        <v>1106033</v>
      </c>
      <c r="C10" s="1817">
        <f>(C8-C9)</f>
        <v>154411</v>
      </c>
      <c r="D10" s="1817">
        <f>(D8-D9)</f>
        <v>69419</v>
      </c>
      <c r="E10" s="1816">
        <f>(E8-E9)</f>
        <v>67742</v>
      </c>
      <c r="F10" s="1818">
        <f>SUM(F8-F9)</f>
        <v>1397605</v>
      </c>
    </row>
    <row r="11" spans="1:8" s="1079" customFormat="1" ht="14.25" thickTop="1" thickBot="1" x14ac:dyDescent="0.25">
      <c r="A11" s="1081" t="s">
        <v>1981</v>
      </c>
      <c r="B11" s="1819">
        <f>'Acct Summary 7-8'!C81</f>
        <v>5889878</v>
      </c>
      <c r="C11" s="1819">
        <f>'Acct Summary 7-8'!D81</f>
        <v>154411</v>
      </c>
      <c r="D11" s="1819">
        <f>'Acct Summary 7-8'!F81</f>
        <v>69449</v>
      </c>
      <c r="E11" s="1819">
        <f>'Acct Summary 7-8'!I81</f>
        <v>162631</v>
      </c>
      <c r="F11" s="1820">
        <f>SUM(B11:E11)</f>
        <v>6276369</v>
      </c>
    </row>
    <row r="12" spans="1:8" ht="16.5" customHeight="1" thickTop="1" x14ac:dyDescent="0.2">
      <c r="A12" s="1082"/>
      <c r="B12" s="1083"/>
      <c r="C12" s="2352" t="str">
        <f>IF(AND(F10&lt;0,F11&gt;=0,ABS(F10*3)&gt;ABS(F11)),A16,IF(AND(F10&lt;0,F11&gt;0,ABS(F10*3)&lt;=ABS(F11)),A17,IF(AND(F10&lt;0,F11&lt;0),A16,IF(F11=0,A19,A18))))</f>
        <v>Balanced - no deficit reduction plan is required.</v>
      </c>
      <c r="D12" s="2353"/>
      <c r="E12" s="2353"/>
      <c r="F12" s="2354"/>
    </row>
    <row r="13" spans="1:8" ht="19.5" customHeight="1" x14ac:dyDescent="0.2">
      <c r="A13" s="1084"/>
      <c r="B13" s="1085"/>
      <c r="C13" s="2352"/>
      <c r="D13" s="2353"/>
      <c r="E13" s="2353"/>
      <c r="F13" s="2354"/>
      <c r="H13" s="1074"/>
    </row>
    <row r="14" spans="1:8" ht="19.5" customHeight="1" x14ac:dyDescent="0.2">
      <c r="A14" s="1084"/>
      <c r="B14" s="1085"/>
      <c r="C14" s="2352"/>
      <c r="D14" s="2353"/>
      <c r="E14" s="2353"/>
      <c r="F14" s="2354"/>
      <c r="H14" s="1074"/>
    </row>
    <row r="15" spans="1:8" ht="17.25" customHeight="1" x14ac:dyDescent="0.2">
      <c r="A15" s="1084"/>
      <c r="B15" s="1085"/>
      <c r="C15" s="2355"/>
      <c r="D15" s="2356"/>
      <c r="E15" s="2356"/>
      <c r="F15" s="2357"/>
      <c r="H15" s="1074"/>
    </row>
    <row r="16" spans="1:8" s="310" customFormat="1" ht="51.75" hidden="1" customHeight="1" x14ac:dyDescent="0.2">
      <c r="A16" s="2351" t="s">
        <v>1687</v>
      </c>
      <c r="B16" s="2351"/>
      <c r="C16" s="2351"/>
      <c r="D16" s="2351"/>
      <c r="E16" s="235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orizontalCentered="1" verticalCentered="1" headings="1"/>
  <pageMargins left="0.75" right="0.75" top="1" bottom="1" header="0.5" footer="0.5"/>
  <pageSetup firstPageNumber="19" fitToHeight="0" orientation="landscape" useFirstPageNumber="1" r:id="rId1"/>
  <headerFooter alignWithMargins="0">
    <oddHeader xml:space="preserve">&amp;L&amp;8Page 36&amp;R&amp;8Page 36
</oddHeader>
    <oddFooter>&amp;CSee Independent Auditors' Report.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1"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3" t="s">
        <v>665</v>
      </c>
      <c r="B3" s="2374"/>
      <c r="C3" s="2374"/>
      <c r="D3" s="2375"/>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4" t="s">
        <v>1504</v>
      </c>
      <c r="D7" s="2385"/>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6" t="s">
        <v>1008</v>
      </c>
      <c r="B15" s="2377"/>
      <c r="C15" s="2377"/>
      <c r="D15" s="2378"/>
    </row>
    <row r="16" spans="1:4" s="668" customFormat="1" ht="24" customHeight="1" x14ac:dyDescent="0.2">
      <c r="A16" s="2379" t="s">
        <v>663</v>
      </c>
      <c r="B16" s="2380"/>
      <c r="C16" s="2380"/>
      <c r="D16" s="238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8" t="s">
        <v>314</v>
      </c>
      <c r="D21" s="2389"/>
    </row>
    <row r="22" spans="1:10" ht="12.75" x14ac:dyDescent="0.2">
      <c r="A22" s="1139"/>
      <c r="B22" s="1140">
        <v>2</v>
      </c>
      <c r="C22" s="2386" t="s">
        <v>1524</v>
      </c>
      <c r="D22" s="2387"/>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90" t="s">
        <v>536</v>
      </c>
      <c r="D43" s="239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2" t="s">
        <v>784</v>
      </c>
      <c r="D56" s="238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82" t="s">
        <v>1696</v>
      </c>
      <c r="D70" s="238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ENTER BUDGET DATA!</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21061001026</v>
      </c>
    </row>
    <row r="3" spans="1:2" x14ac:dyDescent="0.2">
      <c r="A3" t="s">
        <v>956</v>
      </c>
      <c r="B3" s="138" t="str">
        <f>COVER!A15</f>
        <v>Massac</v>
      </c>
    </row>
    <row r="4" spans="1:2" x14ac:dyDescent="0.2">
      <c r="A4" t="s">
        <v>1007</v>
      </c>
      <c r="B4" s="138" t="str">
        <f>COVER!A17</f>
        <v>Massac UD 1</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066-003889</v>
      </c>
    </row>
    <row r="16" spans="1:2" x14ac:dyDescent="0.2">
      <c r="A16" t="s">
        <v>422</v>
      </c>
      <c r="B16" s="138" t="str">
        <f>COVER!T13</f>
        <v>Beussink, Hey, Roe &amp; Stroder, L.L.C.</v>
      </c>
    </row>
    <row r="17" spans="1:2" x14ac:dyDescent="0.2">
      <c r="A17" t="s">
        <v>884</v>
      </c>
      <c r="B17" s="138" t="str">
        <f>COVER!T15</f>
        <v>Jeffrey C. Stroder, CPA</v>
      </c>
    </row>
    <row r="18" spans="1:2" x14ac:dyDescent="0.2">
      <c r="A18" t="s">
        <v>1150</v>
      </c>
      <c r="B18" s="138" t="str">
        <f>COVER!T17</f>
        <v>16 South Silver Springs Road</v>
      </c>
    </row>
    <row r="19" spans="1:2" x14ac:dyDescent="0.2">
      <c r="A19" t="s">
        <v>886</v>
      </c>
      <c r="B19" s="138" t="str">
        <f>COVER!T25</f>
        <v>jstroder@bhrcpas.com</v>
      </c>
    </row>
    <row r="20" spans="1:2" x14ac:dyDescent="0.2">
      <c r="A20" t="s">
        <v>887</v>
      </c>
      <c r="B20" s="138" t="str">
        <f>COVER!T19</f>
        <v>Cape Girardeau</v>
      </c>
    </row>
    <row r="21" spans="1:2" x14ac:dyDescent="0.2">
      <c r="A21" t="s">
        <v>479</v>
      </c>
      <c r="B21" s="138" t="str">
        <f>COVER!X19</f>
        <v>MO</v>
      </c>
    </row>
    <row r="22" spans="1:2" x14ac:dyDescent="0.2">
      <c r="A22" t="s">
        <v>888</v>
      </c>
      <c r="B22" s="138">
        <f>COVER!Z19</f>
        <v>63703</v>
      </c>
    </row>
    <row r="23" spans="1:2" x14ac:dyDescent="0.2">
      <c r="A23" t="s">
        <v>1152</v>
      </c>
      <c r="B23" s="138" t="str">
        <f>COVER!T21</f>
        <v>573-334-7971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36847</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2042389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5890864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986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986</v>
      </c>
      <c r="C91" s="2" t="s">
        <v>573</v>
      </c>
      <c r="D91" s="2" t="str">
        <f t="shared" si="0"/>
        <v>Error?</v>
      </c>
    </row>
    <row r="92" spans="1:4" x14ac:dyDescent="0.2">
      <c r="A92" s="5">
        <v>31</v>
      </c>
      <c r="B92" s="138">
        <f>'Assets-Liab 5-6'!C39</f>
        <v>5889878</v>
      </c>
      <c r="D92" s="2" t="str">
        <f t="shared" si="0"/>
        <v>Error?</v>
      </c>
    </row>
    <row r="93" spans="1:4" x14ac:dyDescent="0.2">
      <c r="A93" s="5">
        <v>32</v>
      </c>
      <c r="B93" s="138">
        <f>'Assets-Liab 5-6'!C41</f>
        <v>5890864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118778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154411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154411</v>
      </c>
      <c r="D123" s="2" t="str">
        <f t="shared" si="0"/>
        <v>Error?</v>
      </c>
    </row>
    <row r="124" spans="1:4" x14ac:dyDescent="0.2">
      <c r="A124" s="5">
        <v>63</v>
      </c>
      <c r="B124" s="138">
        <f>'Assets-Liab 5-6'!D41</f>
        <v>154411</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115000</v>
      </c>
      <c r="D129" s="2" t="str">
        <f t="shared" si="1"/>
        <v>Error?</v>
      </c>
    </row>
    <row r="130" spans="1:4" x14ac:dyDescent="0.2">
      <c r="A130" s="5">
        <v>69</v>
      </c>
      <c r="B130" s="138">
        <f>'Assets-Liab 5-6'!E12</f>
        <v>0</v>
      </c>
      <c r="D130" s="2" t="str">
        <f t="shared" si="1"/>
        <v>Error?</v>
      </c>
    </row>
    <row r="131" spans="1:4" x14ac:dyDescent="0.2">
      <c r="A131" s="5">
        <v>70</v>
      </c>
      <c r="B131" s="138">
        <f>'Assets-Liab 5-6'!E13</f>
        <v>549738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549738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6832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69449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69449</v>
      </c>
      <c r="D170" s="2" t="str">
        <f t="shared" si="1"/>
        <v>Error?</v>
      </c>
    </row>
    <row r="171" spans="1:4" x14ac:dyDescent="0.2">
      <c r="A171" s="5">
        <v>110</v>
      </c>
      <c r="B171" s="138">
        <f>'Assets-Liab 5-6'!F41</f>
        <v>69449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54478</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599471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599471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7794</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100309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100309</v>
      </c>
      <c r="D212" s="2" t="str">
        <f t="shared" si="2"/>
        <v>Error?</v>
      </c>
    </row>
    <row r="213" spans="1:4" x14ac:dyDescent="0.2">
      <c r="A213" s="12">
        <v>152</v>
      </c>
      <c r="B213" s="138">
        <f>'Assets-Liab 5-6'!H41</f>
        <v>100309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1227227</v>
      </c>
      <c r="D273" s="2" t="str">
        <f t="shared" si="3"/>
        <v>Error?</v>
      </c>
    </row>
    <row r="274" spans="1:4" x14ac:dyDescent="0.2">
      <c r="A274" s="5">
        <v>213</v>
      </c>
      <c r="B274" s="138">
        <f>'Assets-Liab 5-6'!M17</f>
        <v>24852091</v>
      </c>
      <c r="D274" s="2" t="str">
        <f t="shared" si="3"/>
        <v>Error?</v>
      </c>
    </row>
    <row r="275" spans="1:4" x14ac:dyDescent="0.2">
      <c r="A275" s="5">
        <v>214</v>
      </c>
      <c r="B275" s="138">
        <f>'Assets-Liab 5-6'!M18</f>
        <v>5941462</v>
      </c>
      <c r="D275" s="2" t="str">
        <f t="shared" si="3"/>
        <v>Error?</v>
      </c>
    </row>
    <row r="276" spans="1:4" x14ac:dyDescent="0.2">
      <c r="A276" s="5">
        <v>215</v>
      </c>
      <c r="B276" s="138">
        <f>'Assets-Liab 5-6'!M19</f>
        <v>6375653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38396433</v>
      </c>
      <c r="C279" s="2" t="s">
        <v>573</v>
      </c>
      <c r="D279" s="2" t="str">
        <f t="shared" si="3"/>
        <v>Error?</v>
      </c>
    </row>
    <row r="280" spans="1:4" x14ac:dyDescent="0.2">
      <c r="A280" s="5">
        <v>219</v>
      </c>
      <c r="B280" s="138">
        <f>'Assets-Liab 5-6'!M40</f>
        <v>38396433</v>
      </c>
      <c r="D280" s="2" t="str">
        <f t="shared" si="3"/>
        <v>Error?</v>
      </c>
    </row>
    <row r="281" spans="1:4" x14ac:dyDescent="0.2">
      <c r="A281" s="5">
        <v>220</v>
      </c>
      <c r="B281" s="138">
        <f>'Assets-Liab 5-6'!M41</f>
        <v>38396433</v>
      </c>
      <c r="C281" s="2" t="s">
        <v>573</v>
      </c>
      <c r="D281" s="2" t="str">
        <f t="shared" si="3"/>
        <v>Error?</v>
      </c>
    </row>
    <row r="282" spans="1:4" x14ac:dyDescent="0.2">
      <c r="A282" s="5">
        <v>221</v>
      </c>
      <c r="B282" s="138">
        <f>'Assets-Liab 5-6'!N21</f>
        <v>549738</v>
      </c>
      <c r="D282" s="2" t="str">
        <f t="shared" si="3"/>
        <v>Error?</v>
      </c>
    </row>
    <row r="283" spans="1:4" x14ac:dyDescent="0.2">
      <c r="A283" s="5">
        <v>222</v>
      </c>
      <c r="B283" s="138">
        <f>'Assets-Liab 5-6'!N22</f>
        <v>2219362</v>
      </c>
      <c r="D283" s="2" t="str">
        <f t="shared" si="3"/>
        <v>Error?</v>
      </c>
    </row>
    <row r="284" spans="1:4" x14ac:dyDescent="0.2">
      <c r="A284" s="5">
        <v>223</v>
      </c>
      <c r="B284" s="138">
        <f>'Assets-Liab 5-6'!N23</f>
        <v>2769100</v>
      </c>
      <c r="C284" s="2" t="s">
        <v>573</v>
      </c>
      <c r="D284" s="2" t="str">
        <f t="shared" si="3"/>
        <v>Error?</v>
      </c>
    </row>
    <row r="285" spans="1:4" x14ac:dyDescent="0.2">
      <c r="A285" s="5">
        <v>224</v>
      </c>
      <c r="B285" s="138">
        <f>'Assets-Liab 5-6'!N36</f>
        <v>2769100</v>
      </c>
      <c r="D285" s="2" t="str">
        <f t="shared" si="3"/>
        <v>Error?</v>
      </c>
    </row>
    <row r="286" spans="1:4" x14ac:dyDescent="0.2">
      <c r="A286" s="10">
        <v>225</v>
      </c>
      <c r="D286" s="2" t="str">
        <f t="shared" si="3"/>
        <v>OK</v>
      </c>
    </row>
    <row r="287" spans="1:4" x14ac:dyDescent="0.2">
      <c r="A287" s="5">
        <v>226</v>
      </c>
      <c r="B287" s="138">
        <f>'Assets-Liab 5-6'!N37</f>
        <v>2769100</v>
      </c>
      <c r="C287" s="2" t="s">
        <v>573</v>
      </c>
      <c r="D287" s="2" t="str">
        <f t="shared" si="3"/>
        <v>Error?</v>
      </c>
    </row>
    <row r="288" spans="1:4" x14ac:dyDescent="0.2">
      <c r="A288" s="5">
        <v>227</v>
      </c>
      <c r="B288" s="138">
        <f>'Assets-Liab 5-6'!N41</f>
        <v>2769100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5802998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474786</v>
      </c>
      <c r="D717" s="2" t="str">
        <f t="shared" si="10"/>
        <v>Error?</v>
      </c>
    </row>
    <row r="718" spans="1:4" x14ac:dyDescent="0.2">
      <c r="A718" s="5">
        <v>657</v>
      </c>
      <c r="B718" s="138">
        <f>'Expenditures 15-22'!C14</f>
        <v>170991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9105839</v>
      </c>
      <c r="C720" s="2" t="s">
        <v>573</v>
      </c>
      <c r="D720" s="2" t="str">
        <f t="shared" si="10"/>
        <v>Error?</v>
      </c>
    </row>
    <row r="721" spans="1:4" x14ac:dyDescent="0.2">
      <c r="A721" s="5">
        <v>660</v>
      </c>
      <c r="B721" s="138">
        <f>'Expenditures 15-22'!C36</f>
        <v>125313</v>
      </c>
      <c r="D721" s="2" t="str">
        <f t="shared" si="10"/>
        <v>Error?</v>
      </c>
    </row>
    <row r="722" spans="1:4" x14ac:dyDescent="0.2">
      <c r="A722" s="5">
        <v>661</v>
      </c>
      <c r="B722" s="138">
        <f>'Expenditures 15-22'!C37</f>
        <v>136577</v>
      </c>
      <c r="D722" s="2" t="str">
        <f t="shared" si="10"/>
        <v>Error?</v>
      </c>
    </row>
    <row r="723" spans="1:4" x14ac:dyDescent="0.2">
      <c r="A723" s="5">
        <v>662</v>
      </c>
      <c r="B723" s="138">
        <f>'Expenditures 15-22'!C38</f>
        <v>91653</v>
      </c>
      <c r="D723" s="2" t="str">
        <f t="shared" si="10"/>
        <v>Error?</v>
      </c>
    </row>
    <row r="724" spans="1:4" x14ac:dyDescent="0.2">
      <c r="A724" s="5">
        <v>663</v>
      </c>
      <c r="B724" s="138">
        <f>'Expenditures 15-22'!C39</f>
        <v>23163</v>
      </c>
      <c r="D724" s="2" t="str">
        <f t="shared" si="10"/>
        <v>Error?</v>
      </c>
    </row>
    <row r="725" spans="1:4" x14ac:dyDescent="0.2">
      <c r="A725" s="5">
        <v>664</v>
      </c>
      <c r="B725" s="138">
        <f>'Expenditures 15-22'!C40</f>
        <v>186658</v>
      </c>
      <c r="D725" s="2" t="str">
        <f t="shared" si="10"/>
        <v>Error?</v>
      </c>
    </row>
    <row r="726" spans="1:4" x14ac:dyDescent="0.2">
      <c r="A726" s="5">
        <v>665</v>
      </c>
      <c r="B726" s="138">
        <f>'Expenditures 15-22'!C41</f>
        <v>46323</v>
      </c>
      <c r="D726" s="2" t="str">
        <f t="shared" si="10"/>
        <v>Error?</v>
      </c>
    </row>
    <row r="727" spans="1:4" x14ac:dyDescent="0.2">
      <c r="A727" s="5">
        <v>666</v>
      </c>
      <c r="B727" s="138">
        <f>'Expenditures 15-22'!C42</f>
        <v>609687</v>
      </c>
      <c r="C727" s="2" t="s">
        <v>573</v>
      </c>
      <c r="D727" s="2" t="str">
        <f t="shared" si="10"/>
        <v>Error?</v>
      </c>
    </row>
    <row r="728" spans="1:4" x14ac:dyDescent="0.2">
      <c r="A728" s="5">
        <v>667</v>
      </c>
      <c r="B728" s="138">
        <f>'Expenditures 15-22'!C44</f>
        <v>70508</v>
      </c>
      <c r="D728" s="2" t="str">
        <f t="shared" si="10"/>
        <v>Error?</v>
      </c>
    </row>
    <row r="729" spans="1:4" x14ac:dyDescent="0.2">
      <c r="A729" s="5">
        <v>668</v>
      </c>
      <c r="B729" s="138">
        <f>'Expenditures 15-22'!C45</f>
        <v>142316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212824</v>
      </c>
      <c r="C731" s="2" t="s">
        <v>573</v>
      </c>
      <c r="D731" s="2" t="str">
        <f t="shared" si="10"/>
        <v>Error?</v>
      </c>
    </row>
    <row r="732" spans="1:4" x14ac:dyDescent="0.2">
      <c r="A732" s="5">
        <v>671</v>
      </c>
      <c r="B732" s="138">
        <f>'Expenditures 15-22'!C49</f>
        <v>26730</v>
      </c>
      <c r="D732" s="2" t="str">
        <f t="shared" si="10"/>
        <v>Error?</v>
      </c>
    </row>
    <row r="733" spans="1:4" x14ac:dyDescent="0.2">
      <c r="A733" s="5">
        <v>672</v>
      </c>
      <c r="B733" s="138">
        <f>'Expenditures 15-22'!C50</f>
        <v>115000</v>
      </c>
      <c r="D733" s="2" t="str">
        <f t="shared" si="10"/>
        <v>Error?</v>
      </c>
    </row>
    <row r="734" spans="1:4" x14ac:dyDescent="0.2">
      <c r="A734" s="5">
        <v>673</v>
      </c>
      <c r="B734" s="138">
        <f>'Expenditures 15-22'!C53</f>
        <v>146105</v>
      </c>
      <c r="C734" s="2" t="s">
        <v>573</v>
      </c>
      <c r="D734" s="2" t="str">
        <f t="shared" si="10"/>
        <v>Error?</v>
      </c>
    </row>
    <row r="735" spans="1:4" x14ac:dyDescent="0.2">
      <c r="A735" s="5">
        <v>674</v>
      </c>
      <c r="B735" s="138">
        <f>'Expenditures 15-22'!C55</f>
        <v>825421</v>
      </c>
      <c r="D735" s="2" t="str">
        <f t="shared" si="10"/>
        <v>Error?</v>
      </c>
    </row>
    <row r="736" spans="1:4" x14ac:dyDescent="0.2">
      <c r="A736" s="5">
        <v>675</v>
      </c>
      <c r="B736" s="138">
        <f>'Expenditures 15-22'!C56</f>
        <v>3663</v>
      </c>
      <c r="D736" s="2" t="str">
        <f t="shared" si="10"/>
        <v>Error?</v>
      </c>
    </row>
    <row r="737" spans="1:4" x14ac:dyDescent="0.2">
      <c r="A737" s="5">
        <v>676</v>
      </c>
      <c r="B737" s="138">
        <f>'Expenditures 15-22'!C57</f>
        <v>829084</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236086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395306</v>
      </c>
      <c r="D742" s="2" t="str">
        <f t="shared" si="10"/>
        <v>Error?</v>
      </c>
    </row>
    <row r="743" spans="1:4" x14ac:dyDescent="0.2">
      <c r="A743" s="5">
        <v>682</v>
      </c>
      <c r="B743" s="138">
        <f>'Expenditures 15-22'!C64</f>
        <v>833</v>
      </c>
      <c r="D743" s="2" t="str">
        <f t="shared" si="10"/>
        <v>Error?</v>
      </c>
    </row>
    <row r="744" spans="1:4" x14ac:dyDescent="0.2">
      <c r="A744" s="10">
        <v>683</v>
      </c>
      <c r="D744" s="2" t="str">
        <f t="shared" si="10"/>
        <v>OK</v>
      </c>
    </row>
    <row r="745" spans="1:4" x14ac:dyDescent="0.2">
      <c r="A745" s="5">
        <v>684</v>
      </c>
      <c r="B745" s="138">
        <f>'Expenditures 15-22'!C65</f>
        <v>632225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2429925</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11535764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1359321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83441</v>
      </c>
      <c r="D775" s="2" t="str">
        <f t="shared" si="11"/>
        <v>Error?</v>
      </c>
    </row>
    <row r="776" spans="1:4" x14ac:dyDescent="0.2">
      <c r="A776" s="5">
        <v>715</v>
      </c>
      <c r="B776" s="138">
        <f>'Expenditures 15-22'!D14</f>
        <v>13038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2090693</v>
      </c>
      <c r="C778" s="2" t="s">
        <v>573</v>
      </c>
      <c r="D778" s="2" t="str">
        <f t="shared" si="11"/>
        <v>Error?</v>
      </c>
    </row>
    <row r="779" spans="1:4" x14ac:dyDescent="0.2">
      <c r="A779" s="5">
        <v>718</v>
      </c>
      <c r="B779" s="138">
        <f>'Expenditures 15-22'!D36</f>
        <v>30590</v>
      </c>
      <c r="D779" s="2" t="str">
        <f t="shared" si="11"/>
        <v>Error?</v>
      </c>
    </row>
    <row r="780" spans="1:4" x14ac:dyDescent="0.2">
      <c r="A780" s="5">
        <v>719</v>
      </c>
      <c r="B780" s="138">
        <f>'Expenditures 15-22'!D37</f>
        <v>29554</v>
      </c>
      <c r="D780" s="2" t="str">
        <f t="shared" si="11"/>
        <v>Error?</v>
      </c>
    </row>
    <row r="781" spans="1:4" x14ac:dyDescent="0.2">
      <c r="A781" s="5">
        <v>720</v>
      </c>
      <c r="B781" s="138">
        <f>'Expenditures 15-22'!D38</f>
        <v>9414</v>
      </c>
      <c r="D781" s="2" t="str">
        <f t="shared" si="11"/>
        <v>Error?</v>
      </c>
    </row>
    <row r="782" spans="1:4" x14ac:dyDescent="0.2">
      <c r="A782" s="5">
        <v>721</v>
      </c>
      <c r="B782" s="138">
        <f>'Expenditures 15-22'!D39</f>
        <v>6051</v>
      </c>
      <c r="D782" s="2" t="str">
        <f t="shared" si="11"/>
        <v>Error?</v>
      </c>
    </row>
    <row r="783" spans="1:4" x14ac:dyDescent="0.2">
      <c r="A783" s="5">
        <v>722</v>
      </c>
      <c r="B783" s="138">
        <f>'Expenditures 15-22'!D40</f>
        <v>39416</v>
      </c>
      <c r="D783" s="2" t="str">
        <f t="shared" si="11"/>
        <v>Error?</v>
      </c>
    </row>
    <row r="784" spans="1:4" x14ac:dyDescent="0.2">
      <c r="A784" s="5">
        <v>723</v>
      </c>
      <c r="B784" s="138">
        <f>'Expenditures 15-22'!D41</f>
        <v>5127</v>
      </c>
      <c r="D784" s="2" t="str">
        <f t="shared" si="11"/>
        <v>Error?</v>
      </c>
    </row>
    <row r="785" spans="1:4" x14ac:dyDescent="0.2">
      <c r="A785" s="5">
        <v>724</v>
      </c>
      <c r="B785" s="138">
        <f>'Expenditures 15-22'!D42</f>
        <v>120152</v>
      </c>
      <c r="C785" s="2" t="s">
        <v>573</v>
      </c>
      <c r="D785" s="2" t="str">
        <f t="shared" si="11"/>
        <v>Error?</v>
      </c>
    </row>
    <row r="786" spans="1:4" x14ac:dyDescent="0.2">
      <c r="A786" s="5">
        <v>725</v>
      </c>
      <c r="B786" s="138">
        <f>'Expenditures 15-22'!D44</f>
        <v>15852</v>
      </c>
      <c r="D786" s="2" t="str">
        <f t="shared" si="11"/>
        <v>Error?</v>
      </c>
    </row>
    <row r="787" spans="1:4" x14ac:dyDescent="0.2">
      <c r="A787" s="5">
        <v>726</v>
      </c>
      <c r="B787" s="138">
        <f>'Expenditures 15-22'!D45</f>
        <v>37628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53480</v>
      </c>
      <c r="C789" s="2" t="s">
        <v>573</v>
      </c>
      <c r="D789" s="2" t="str">
        <f t="shared" si="11"/>
        <v>Error?</v>
      </c>
    </row>
    <row r="790" spans="1:4" x14ac:dyDescent="0.2">
      <c r="A790" s="5">
        <v>729</v>
      </c>
      <c r="B790" s="138">
        <f>'Expenditures 15-22'!D49</f>
        <v>19501</v>
      </c>
      <c r="D790" s="2" t="str">
        <f t="shared" si="11"/>
        <v>Error?</v>
      </c>
    </row>
    <row r="791" spans="1:4" x14ac:dyDescent="0.2">
      <c r="A791" s="5">
        <v>730</v>
      </c>
      <c r="B791" s="138">
        <f>'Expenditures 15-22'!D50</f>
        <v>21779</v>
      </c>
      <c r="D791" s="2" t="str">
        <f t="shared" si="11"/>
        <v>Error?</v>
      </c>
    </row>
    <row r="792" spans="1:4" x14ac:dyDescent="0.2">
      <c r="A792" s="5">
        <v>731</v>
      </c>
      <c r="B792" s="138">
        <f>'Expenditures 15-22'!D53</f>
        <v>41957</v>
      </c>
      <c r="C792" s="2" t="s">
        <v>573</v>
      </c>
      <c r="D792" s="2" t="str">
        <f t="shared" si="11"/>
        <v>Error?</v>
      </c>
    </row>
    <row r="793" spans="1:4" x14ac:dyDescent="0.2">
      <c r="A793" s="5">
        <v>732</v>
      </c>
      <c r="B793" s="138">
        <f>'Expenditures 15-22'!D55</f>
        <v>132862</v>
      </c>
      <c r="D793" s="2" t="str">
        <f t="shared" si="11"/>
        <v>Error?</v>
      </c>
    </row>
    <row r="794" spans="1:4" x14ac:dyDescent="0.2">
      <c r="A794" s="5">
        <v>733</v>
      </c>
      <c r="B794" s="138">
        <f>'Expenditures 15-22'!D56</f>
        <v>473</v>
      </c>
      <c r="D794" s="2" t="str">
        <f t="shared" si="11"/>
        <v>Error?</v>
      </c>
    </row>
    <row r="795" spans="1:4" x14ac:dyDescent="0.2">
      <c r="A795" s="5">
        <v>734</v>
      </c>
      <c r="B795" s="138">
        <f>'Expenditures 15-22'!D57</f>
        <v>133335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269589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70650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340239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689163</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2779856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8200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11533</v>
      </c>
      <c r="D833" s="2" t="str">
        <f t="shared" si="12"/>
        <v>Error?</v>
      </c>
    </row>
    <row r="834" spans="1:4" x14ac:dyDescent="0.2">
      <c r="A834" s="5">
        <v>773</v>
      </c>
      <c r="B834" s="138">
        <f>'Expenditures 15-22'!E14</f>
        <v>51989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98856</v>
      </c>
      <c r="C836" s="2" t="s">
        <v>573</v>
      </c>
      <c r="D836" s="2" t="str">
        <f t="shared" si="12"/>
        <v>Error?</v>
      </c>
    </row>
    <row r="837" spans="1:4" x14ac:dyDescent="0.2">
      <c r="A837" s="5">
        <v>776</v>
      </c>
      <c r="B837" s="138">
        <f>'Expenditures 15-22'!E36</f>
        <v>985</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46060</v>
      </c>
      <c r="D839" s="2" t="str">
        <f t="shared" si="12"/>
        <v>Error?</v>
      </c>
    </row>
    <row r="840" spans="1:4" x14ac:dyDescent="0.2">
      <c r="A840" s="5">
        <v>779</v>
      </c>
      <c r="B840" s="138">
        <f>'Expenditures 15-22'!E39</f>
        <v>38800</v>
      </c>
      <c r="D840" s="2" t="str">
        <f t="shared" si="12"/>
        <v>Error?</v>
      </c>
    </row>
    <row r="841" spans="1:4" x14ac:dyDescent="0.2">
      <c r="A841" s="5">
        <v>780</v>
      </c>
      <c r="B841" s="138">
        <f>'Expenditures 15-22'!E40</f>
        <v>804</v>
      </c>
      <c r="D841" s="2" t="str">
        <f t="shared" si="12"/>
        <v>Error?</v>
      </c>
    </row>
    <row r="842" spans="1:4" x14ac:dyDescent="0.2">
      <c r="A842" s="5">
        <v>781</v>
      </c>
      <c r="B842" s="138">
        <f>'Expenditures 15-22'!E41</f>
        <v>15719</v>
      </c>
      <c r="D842" s="2" t="str">
        <f t="shared" si="12"/>
        <v>Error?</v>
      </c>
    </row>
    <row r="843" spans="1:4" x14ac:dyDescent="0.2">
      <c r="A843" s="5">
        <v>782</v>
      </c>
      <c r="B843" s="138">
        <f>'Expenditures 15-22'!E42</f>
        <v>102368</v>
      </c>
      <c r="C843" s="2" t="s">
        <v>573</v>
      </c>
      <c r="D843" s="2" t="str">
        <f t="shared" si="12"/>
        <v>Error?</v>
      </c>
    </row>
    <row r="844" spans="1:4" x14ac:dyDescent="0.2">
      <c r="A844" s="5">
        <v>783</v>
      </c>
      <c r="B844" s="138">
        <f>'Expenditures 15-22'!E44</f>
        <v>34418</v>
      </c>
      <c r="D844" s="2" t="str">
        <f t="shared" si="12"/>
        <v>Error?</v>
      </c>
    </row>
    <row r="845" spans="1:4" x14ac:dyDescent="0.2">
      <c r="A845" s="5">
        <v>784</v>
      </c>
      <c r="B845" s="138">
        <f>'Expenditures 15-22'!E45</f>
        <v>68782</v>
      </c>
      <c r="D845" s="2" t="str">
        <f t="shared" si="12"/>
        <v>Error?</v>
      </c>
    </row>
    <row r="846" spans="1:4" x14ac:dyDescent="0.2">
      <c r="A846" s="5">
        <v>785</v>
      </c>
      <c r="B846" s="138">
        <f>'Expenditures 15-22'!E46</f>
        <v>69374</v>
      </c>
      <c r="D846" s="2" t="str">
        <f t="shared" si="12"/>
        <v>Error?</v>
      </c>
    </row>
    <row r="847" spans="1:4" x14ac:dyDescent="0.2">
      <c r="A847" s="5">
        <v>786</v>
      </c>
      <c r="B847" s="138">
        <f>'Expenditures 15-22'!E47</f>
        <v>172574</v>
      </c>
      <c r="C847" s="2" t="s">
        <v>573</v>
      </c>
      <c r="D847" s="2" t="str">
        <f t="shared" si="12"/>
        <v>Error?</v>
      </c>
    </row>
    <row r="848" spans="1:4" x14ac:dyDescent="0.2">
      <c r="A848" s="5">
        <v>787</v>
      </c>
      <c r="B848" s="138">
        <f>'Expenditures 15-22'!E49</f>
        <v>26399</v>
      </c>
      <c r="D848" s="2" t="str">
        <f t="shared" si="12"/>
        <v>Error?</v>
      </c>
    </row>
    <row r="849" spans="1:4" x14ac:dyDescent="0.2">
      <c r="A849" s="5">
        <v>788</v>
      </c>
      <c r="B849" s="138">
        <f>'Expenditures 15-22'!E50</f>
        <v>3284</v>
      </c>
      <c r="D849" s="2" t="str">
        <f t="shared" si="12"/>
        <v>Error?</v>
      </c>
    </row>
    <row r="850" spans="1:4" x14ac:dyDescent="0.2">
      <c r="A850" s="5">
        <v>789</v>
      </c>
      <c r="B850" s="138">
        <f>'Expenditures 15-22'!E53</f>
        <v>50455</v>
      </c>
      <c r="C850" s="2" t="s">
        <v>573</v>
      </c>
      <c r="D850" s="2" t="str">
        <f t="shared" si="12"/>
        <v>Error?</v>
      </c>
    </row>
    <row r="851" spans="1:4" x14ac:dyDescent="0.2">
      <c r="A851" s="5">
        <v>790</v>
      </c>
      <c r="B851" s="138">
        <f>'Expenditures 15-22'!E55</f>
        <v>21079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21079</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49809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544</v>
      </c>
      <c r="D857" s="2" t="str">
        <f t="shared" si="12"/>
        <v>Error?</v>
      </c>
    </row>
    <row r="858" spans="1:4" x14ac:dyDescent="0.2">
      <c r="A858" s="5">
        <v>797</v>
      </c>
      <c r="B858" s="138">
        <f>'Expenditures 15-22'!E63</f>
        <v>36151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86504</v>
      </c>
      <c r="C861" s="2" t="s">
        <v>573</v>
      </c>
      <c r="D861" s="2" t="str">
        <f t="shared" si="12"/>
        <v>Error?</v>
      </c>
    </row>
    <row r="862" spans="1:4" x14ac:dyDescent="0.2">
      <c r="A862" s="5">
        <v>801</v>
      </c>
      <c r="B862" s="138">
        <f>'Expenditures 15-22'!E67</f>
        <v>4800</v>
      </c>
      <c r="D862" s="2" t="str">
        <f t="shared" si="12"/>
        <v>Error?</v>
      </c>
    </row>
    <row r="863" spans="1:4" x14ac:dyDescent="0.2">
      <c r="A863" s="5">
        <v>802</v>
      </c>
      <c r="B863" s="138">
        <f>'Expenditures 15-22'!E68</f>
        <v>10060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4882</v>
      </c>
      <c r="D867" s="2" t="str">
        <f t="shared" si="12"/>
        <v>Error?</v>
      </c>
    </row>
    <row r="868" spans="1:4" x14ac:dyDescent="0.2">
      <c r="A868" s="10">
        <v>807</v>
      </c>
      <c r="D868" s="2" t="str">
        <f t="shared" si="12"/>
        <v>OK</v>
      </c>
    </row>
    <row r="869" spans="1:4" x14ac:dyDescent="0.2">
      <c r="A869" s="5">
        <v>808</v>
      </c>
      <c r="B869" s="138">
        <f>'Expenditures 15-22'!E72</f>
        <v>19742</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452722</v>
      </c>
      <c r="C871" s="2" t="s">
        <v>573</v>
      </c>
      <c r="D871" s="2" t="str">
        <f t="shared" si="12"/>
        <v>Error?</v>
      </c>
    </row>
    <row r="872" spans="1:4" x14ac:dyDescent="0.2">
      <c r="A872" s="5">
        <v>811</v>
      </c>
      <c r="B872" s="138">
        <f>'Expenditures 15-22'!E75</f>
        <v>29765</v>
      </c>
      <c r="D872" s="2" t="str">
        <f t="shared" si="12"/>
        <v>Error?</v>
      </c>
    </row>
    <row r="873" spans="1:4" x14ac:dyDescent="0.2">
      <c r="A873" s="5">
        <v>812</v>
      </c>
      <c r="B873" s="138">
        <f>'Expenditures 15-22'!E114</f>
        <v>589330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44782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6841</v>
      </c>
      <c r="D891" s="2" t="str">
        <f t="shared" si="12"/>
        <v>Error?</v>
      </c>
    </row>
    <row r="892" spans="1:4" x14ac:dyDescent="0.2">
      <c r="A892" s="5">
        <v>831</v>
      </c>
      <c r="B892" s="138">
        <f>'Expenditures 15-22'!F14</f>
        <v>19856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293104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5821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540</v>
      </c>
      <c r="D899" s="2" t="str">
        <f t="shared" si="13"/>
        <v>Error?</v>
      </c>
    </row>
    <row r="900" spans="1:4" x14ac:dyDescent="0.2">
      <c r="A900" s="5">
        <v>839</v>
      </c>
      <c r="B900" s="138">
        <f>'Expenditures 15-22'!F41</f>
        <v>5838</v>
      </c>
      <c r="D900" s="2" t="str">
        <f t="shared" si="13"/>
        <v>Error?</v>
      </c>
    </row>
    <row r="901" spans="1:4" x14ac:dyDescent="0.2">
      <c r="A901" s="5">
        <v>840</v>
      </c>
      <c r="B901" s="138">
        <f>'Expenditures 15-22'!F42</f>
        <v>12199</v>
      </c>
      <c r="C901" s="2" t="s">
        <v>573</v>
      </c>
      <c r="D901" s="2" t="str">
        <f t="shared" si="13"/>
        <v>Error?</v>
      </c>
    </row>
    <row r="902" spans="1:4" x14ac:dyDescent="0.2">
      <c r="A902" s="5">
        <v>841</v>
      </c>
      <c r="B902" s="138">
        <f>'Expenditures 15-22'!F44</f>
        <v>640</v>
      </c>
      <c r="D902" s="2" t="str">
        <f t="shared" si="13"/>
        <v>Error?</v>
      </c>
    </row>
    <row r="903" spans="1:4" x14ac:dyDescent="0.2">
      <c r="A903" s="5">
        <v>842</v>
      </c>
      <c r="B903" s="138">
        <f>'Expenditures 15-22'!F45</f>
        <v>41740</v>
      </c>
      <c r="D903" s="2" t="str">
        <f t="shared" si="13"/>
        <v>Error?</v>
      </c>
    </row>
    <row r="904" spans="1:4" x14ac:dyDescent="0.2">
      <c r="A904" s="5">
        <v>843</v>
      </c>
      <c r="B904" s="138">
        <f>'Expenditures 15-22'!F46</f>
        <v>8079</v>
      </c>
      <c r="D904" s="2" t="str">
        <f t="shared" si="13"/>
        <v>Error?</v>
      </c>
    </row>
    <row r="905" spans="1:4" x14ac:dyDescent="0.2">
      <c r="A905" s="5">
        <v>844</v>
      </c>
      <c r="B905" s="138">
        <f>'Expenditures 15-22'!F47</f>
        <v>50459</v>
      </c>
      <c r="C905" s="2" t="s">
        <v>573</v>
      </c>
      <c r="D905" s="2" t="str">
        <f t="shared" si="13"/>
        <v>Error?</v>
      </c>
    </row>
    <row r="906" spans="1:4" x14ac:dyDescent="0.2">
      <c r="A906" s="5">
        <v>845</v>
      </c>
      <c r="B906" s="138">
        <f>'Expenditures 15-22'!F49</f>
        <v>7107</v>
      </c>
      <c r="D906" s="2" t="str">
        <f t="shared" si="13"/>
        <v>Error?</v>
      </c>
    </row>
    <row r="907" spans="1:4" x14ac:dyDescent="0.2">
      <c r="A907" s="5">
        <v>846</v>
      </c>
      <c r="B907" s="138">
        <f>'Expenditures 15-22'!F50</f>
        <v>631</v>
      </c>
      <c r="D907" s="2" t="str">
        <f t="shared" si="13"/>
        <v>Error?</v>
      </c>
    </row>
    <row r="908" spans="1:4" x14ac:dyDescent="0.2">
      <c r="A908" s="5">
        <v>847</v>
      </c>
      <c r="B908" s="138">
        <f>'Expenditures 15-22'!F53</f>
        <v>12960</v>
      </c>
      <c r="C908" s="2" t="s">
        <v>573</v>
      </c>
      <c r="D908" s="2" t="str">
        <f t="shared" si="13"/>
        <v>Error?</v>
      </c>
    </row>
    <row r="909" spans="1:4" x14ac:dyDescent="0.2">
      <c r="A909" s="5">
        <v>848</v>
      </c>
      <c r="B909" s="138">
        <f>'Expenditures 15-22'!F55</f>
        <v>61467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61467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3685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501183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504868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136</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136</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642089</v>
      </c>
      <c r="C929" s="2" t="s">
        <v>573</v>
      </c>
      <c r="D929" s="2" t="str">
        <f t="shared" si="13"/>
        <v>Error?</v>
      </c>
    </row>
    <row r="930" spans="1:4" x14ac:dyDescent="0.2">
      <c r="A930" s="5">
        <v>869</v>
      </c>
      <c r="B930" s="138">
        <f>'Expenditures 15-22'!F75</f>
        <v>885</v>
      </c>
      <c r="D930" s="2" t="str">
        <f t="shared" si="13"/>
        <v>Error?</v>
      </c>
    </row>
    <row r="931" spans="1:4" x14ac:dyDescent="0.2">
      <c r="A931" s="5">
        <v>870</v>
      </c>
      <c r="B931" s="138">
        <f>'Expenditures 15-22'!F114</f>
        <v>936078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12301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3753</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27841</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2000</v>
      </c>
      <c r="D960" s="2" t="str">
        <f t="shared" si="14"/>
        <v>Error?</v>
      </c>
    </row>
    <row r="961" spans="1:4" x14ac:dyDescent="0.2">
      <c r="A961" s="5">
        <v>900</v>
      </c>
      <c r="B961" s="138">
        <f>'Expenditures 15-22'!G45</f>
        <v>17697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19697</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26446</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5454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5454</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51597</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79438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3792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2104</v>
      </c>
      <c r="D1007" s="2" t="str">
        <f t="shared" si="14"/>
        <v>Error?</v>
      </c>
    </row>
    <row r="1008" spans="1:4" x14ac:dyDescent="0.2">
      <c r="A1008" s="5">
        <v>947</v>
      </c>
      <c r="B1008" s="138">
        <f>'Expenditures 15-22'!H14</f>
        <v>7887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14383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15</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1604</v>
      </c>
      <c r="D1016" s="2" t="str">
        <f t="shared" si="14"/>
        <v>Error?</v>
      </c>
    </row>
    <row r="1017" spans="1:4" x14ac:dyDescent="0.2">
      <c r="A1017" s="5">
        <v>956</v>
      </c>
      <c r="B1017" s="138">
        <f>'Expenditures 15-22'!H42</f>
        <v>1619</v>
      </c>
      <c r="C1017" s="2" t="s">
        <v>573</v>
      </c>
      <c r="D1017" s="2" t="str">
        <f t="shared" si="14"/>
        <v>Error?</v>
      </c>
    </row>
    <row r="1018" spans="1:4" x14ac:dyDescent="0.2">
      <c r="A1018" s="5">
        <v>957</v>
      </c>
      <c r="B1018" s="138">
        <f>'Expenditures 15-22'!H44</f>
        <v>289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289</v>
      </c>
      <c r="C1021" s="2" t="s">
        <v>573</v>
      </c>
      <c r="D1021" s="2" t="str">
        <f t="shared" si="14"/>
        <v>Error?</v>
      </c>
    </row>
    <row r="1022" spans="1:4" x14ac:dyDescent="0.2">
      <c r="A1022" s="5">
        <v>961</v>
      </c>
      <c r="B1022" s="138">
        <f>'Expenditures 15-22'!H49</f>
        <v>11002</v>
      </c>
      <c r="D1022" s="2" t="str">
        <f t="shared" si="14"/>
        <v>Error?</v>
      </c>
    </row>
    <row r="1023" spans="1:4" x14ac:dyDescent="0.2">
      <c r="A1023" s="5">
        <v>962</v>
      </c>
      <c r="B1023" s="138">
        <f>'Expenditures 15-22'!H50</f>
        <v>1193</v>
      </c>
      <c r="D1023" s="2" t="str">
        <f t="shared" ref="D1023:D1086" si="15">IF(ISBLANK(B1023),"OK",IF(A1023-B1023=0,"OK","Error?"))</f>
        <v>Error?</v>
      </c>
    </row>
    <row r="1024" spans="1:4" x14ac:dyDescent="0.2">
      <c r="A1024" s="5">
        <v>963</v>
      </c>
      <c r="B1024" s="138">
        <f>'Expenditures 15-22'!H53</f>
        <v>12195</v>
      </c>
      <c r="C1024" s="2" t="s">
        <v>573</v>
      </c>
      <c r="D1024" s="2" t="str">
        <f t="shared" si="15"/>
        <v>Error?</v>
      </c>
    </row>
    <row r="1025" spans="1:4" x14ac:dyDescent="0.2">
      <c r="A1025" s="5">
        <v>964</v>
      </c>
      <c r="B1025" s="138">
        <f>'Expenditures 15-22'!H55</f>
        <v>3509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3509</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3843</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936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4779</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22391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164604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201378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7231394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582458</v>
      </c>
      <c r="C1105" s="2" t="s">
        <v>573</v>
      </c>
      <c r="D1105" s="2" t="str">
        <f t="shared" si="16"/>
        <v>Error?</v>
      </c>
    </row>
    <row r="1106" spans="1:4" x14ac:dyDescent="0.2">
      <c r="A1106" s="5">
        <v>1045</v>
      </c>
      <c r="B1106" s="138">
        <f>'Expenditures 15-22'!K14</f>
        <v>263761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11630716</v>
      </c>
      <c r="C1108" s="2" t="s">
        <v>573</v>
      </c>
      <c r="D1108" s="2" t="str">
        <f t="shared" si="16"/>
        <v>Error?</v>
      </c>
    </row>
    <row r="1109" spans="1:4" x14ac:dyDescent="0.2">
      <c r="A1109" s="5">
        <v>1048</v>
      </c>
      <c r="B1109" s="138">
        <f>'Expenditures 15-22'!K36</f>
        <v>156888</v>
      </c>
      <c r="C1109" s="2" t="s">
        <v>573</v>
      </c>
      <c r="D1109" s="2" t="str">
        <f t="shared" si="16"/>
        <v>Error?</v>
      </c>
    </row>
    <row r="1110" spans="1:4" x14ac:dyDescent="0.2">
      <c r="A1110" s="5">
        <v>1049</v>
      </c>
      <c r="B1110" s="138">
        <f>'Expenditures 15-22'!K37</f>
        <v>166131</v>
      </c>
      <c r="C1110" s="2" t="s">
        <v>573</v>
      </c>
      <c r="D1110" s="2" t="str">
        <f t="shared" si="16"/>
        <v>Error?</v>
      </c>
    </row>
    <row r="1111" spans="1:4" x14ac:dyDescent="0.2">
      <c r="A1111" s="5">
        <v>1050</v>
      </c>
      <c r="B1111" s="138">
        <f>'Expenditures 15-22'!K38</f>
        <v>152963</v>
      </c>
      <c r="C1111" s="2" t="s">
        <v>573</v>
      </c>
      <c r="D1111" s="2" t="str">
        <f t="shared" si="16"/>
        <v>Error?</v>
      </c>
    </row>
    <row r="1112" spans="1:4" x14ac:dyDescent="0.2">
      <c r="A1112" s="5">
        <v>1051</v>
      </c>
      <c r="B1112" s="138">
        <f>'Expenditures 15-22'!K39</f>
        <v>68014</v>
      </c>
      <c r="C1112" s="2" t="s">
        <v>573</v>
      </c>
      <c r="D1112" s="2" t="str">
        <f t="shared" si="16"/>
        <v>Error?</v>
      </c>
    </row>
    <row r="1113" spans="1:4" x14ac:dyDescent="0.2">
      <c r="A1113" s="5">
        <v>1052</v>
      </c>
      <c r="B1113" s="138">
        <f>'Expenditures 15-22'!K40</f>
        <v>227418</v>
      </c>
      <c r="C1113" s="2" t="s">
        <v>573</v>
      </c>
      <c r="D1113" s="2" t="str">
        <f t="shared" si="16"/>
        <v>Error?</v>
      </c>
    </row>
    <row r="1114" spans="1:4" x14ac:dyDescent="0.2">
      <c r="A1114" s="5">
        <v>1053</v>
      </c>
      <c r="B1114" s="138">
        <f>'Expenditures 15-22'!K41</f>
        <v>74611</v>
      </c>
      <c r="C1114" s="2" t="s">
        <v>573</v>
      </c>
      <c r="D1114" s="2" t="str">
        <f t="shared" si="16"/>
        <v>Error?</v>
      </c>
    </row>
    <row r="1115" spans="1:4" x14ac:dyDescent="0.2">
      <c r="A1115" s="5">
        <v>1054</v>
      </c>
      <c r="B1115" s="138">
        <f>'Expenditures 15-22'!K42</f>
        <v>846025</v>
      </c>
      <c r="C1115" s="2" t="s">
        <v>573</v>
      </c>
      <c r="D1115" s="2" t="str">
        <f t="shared" si="16"/>
        <v>Error?</v>
      </c>
    </row>
    <row r="1116" spans="1:4" x14ac:dyDescent="0.2">
      <c r="A1116" s="5">
        <v>1055</v>
      </c>
      <c r="B1116" s="138">
        <f>'Expenditures 15-22'!K44</f>
        <v>123707</v>
      </c>
      <c r="C1116" s="2" t="s">
        <v>573</v>
      </c>
      <c r="D1116" s="2" t="str">
        <f t="shared" si="16"/>
        <v>Error?</v>
      </c>
    </row>
    <row r="1117" spans="1:4" x14ac:dyDescent="0.2">
      <c r="A1117" s="5">
        <v>1056</v>
      </c>
      <c r="B1117" s="138">
        <f>'Expenditures 15-22'!K45</f>
        <v>308163</v>
      </c>
      <c r="C1117" s="2" t="s">
        <v>573</v>
      </c>
      <c r="D1117" s="2" t="str">
        <f t="shared" si="16"/>
        <v>Error?</v>
      </c>
    </row>
    <row r="1118" spans="1:4" x14ac:dyDescent="0.2">
      <c r="A1118" s="5">
        <v>1057</v>
      </c>
      <c r="B1118" s="138">
        <f>'Expenditures 15-22'!K46</f>
        <v>77453</v>
      </c>
      <c r="C1118" s="2" t="s">
        <v>573</v>
      </c>
      <c r="D1118" s="2" t="str">
        <f t="shared" si="16"/>
        <v>Error?</v>
      </c>
    </row>
    <row r="1119" spans="1:4" x14ac:dyDescent="0.2">
      <c r="A1119" s="5">
        <v>1058</v>
      </c>
      <c r="B1119" s="138">
        <f>'Expenditures 15-22'!K47</f>
        <v>509323</v>
      </c>
      <c r="C1119" s="2" t="s">
        <v>573</v>
      </c>
      <c r="D1119" s="2" t="str">
        <f t="shared" si="16"/>
        <v>Error?</v>
      </c>
    </row>
    <row r="1120" spans="1:4" x14ac:dyDescent="0.2">
      <c r="A1120" s="5">
        <v>1059</v>
      </c>
      <c r="B1120" s="138">
        <f>'Expenditures 15-22'!K49</f>
        <v>90739</v>
      </c>
      <c r="C1120" s="2" t="s">
        <v>573</v>
      </c>
      <c r="D1120" s="2" t="str">
        <f t="shared" si="16"/>
        <v>Error?</v>
      </c>
    </row>
    <row r="1121" spans="1:4" x14ac:dyDescent="0.2">
      <c r="A1121" s="5">
        <v>1060</v>
      </c>
      <c r="B1121" s="138">
        <f>'Expenditures 15-22'!K50</f>
        <v>141887</v>
      </c>
      <c r="C1121" s="2" t="s">
        <v>573</v>
      </c>
      <c r="D1121" s="2" t="str">
        <f t="shared" si="16"/>
        <v>Error?</v>
      </c>
    </row>
    <row r="1122" spans="1:4" x14ac:dyDescent="0.2">
      <c r="A1122" s="5">
        <v>1061</v>
      </c>
      <c r="B1122" s="138">
        <f>'Expenditures 15-22'!K53</f>
        <v>290118</v>
      </c>
      <c r="C1122" s="2" t="s">
        <v>573</v>
      </c>
      <c r="D1122" s="2" t="str">
        <f t="shared" si="16"/>
        <v>Error?</v>
      </c>
    </row>
    <row r="1123" spans="1:4" x14ac:dyDescent="0.2">
      <c r="A1123" s="5">
        <v>1062</v>
      </c>
      <c r="B1123" s="138">
        <f>'Expenditures 15-22'!K55</f>
        <v>1044338</v>
      </c>
      <c r="C1123" s="2" t="s">
        <v>573</v>
      </c>
      <c r="D1123" s="2" t="str">
        <f t="shared" si="16"/>
        <v>Error?</v>
      </c>
    </row>
    <row r="1124" spans="1:4" x14ac:dyDescent="0.2">
      <c r="A1124" s="5">
        <v>1063</v>
      </c>
      <c r="B1124" s="138">
        <f>'Expenditures 15-22'!K56</f>
        <v>4136</v>
      </c>
      <c r="C1124" s="2" t="s">
        <v>573</v>
      </c>
      <c r="D1124" s="2" t="str">
        <f t="shared" si="16"/>
        <v>Error?</v>
      </c>
    </row>
    <row r="1125" spans="1:4" x14ac:dyDescent="0.2">
      <c r="A1125" s="5">
        <v>1064</v>
      </c>
      <c r="B1125" s="138">
        <f>'Expenditures 15-22'!K57</f>
        <v>1048474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563012</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544</v>
      </c>
      <c r="C1129" s="2" t="s">
        <v>573</v>
      </c>
      <c r="D1129" s="2" t="str">
        <f t="shared" si="16"/>
        <v>Error?</v>
      </c>
    </row>
    <row r="1130" spans="1:4" x14ac:dyDescent="0.2">
      <c r="A1130" s="5">
        <v>1069</v>
      </c>
      <c r="B1130" s="138">
        <f>'Expenditures 15-22'!K63</f>
        <v>1009680</v>
      </c>
      <c r="C1130" s="2" t="s">
        <v>573</v>
      </c>
      <c r="D1130" s="2" t="str">
        <f t="shared" si="16"/>
        <v>Error?</v>
      </c>
    </row>
    <row r="1131" spans="1:4" x14ac:dyDescent="0.2">
      <c r="A1131" s="5">
        <v>1070</v>
      </c>
      <c r="B1131" s="138">
        <f>'Expenditures 15-22'!K64</f>
        <v>833</v>
      </c>
      <c r="C1131" s="2" t="s">
        <v>573</v>
      </c>
      <c r="D1131" s="2" t="str">
        <f t="shared" si="16"/>
        <v>Error?</v>
      </c>
    </row>
    <row r="1132" spans="1:4" x14ac:dyDescent="0.2">
      <c r="A1132" s="10">
        <v>1071</v>
      </c>
      <c r="D1132" s="2" t="str">
        <f t="shared" si="16"/>
        <v>OK</v>
      </c>
    </row>
    <row r="1133" spans="1:4" x14ac:dyDescent="0.2">
      <c r="A1133" s="5">
        <v>1072</v>
      </c>
      <c r="B1133" s="138">
        <f>'Expenditures 15-22'!K65</f>
        <v>1574069</v>
      </c>
      <c r="C1133" s="2" t="s">
        <v>573</v>
      </c>
      <c r="D1133" s="2" t="str">
        <f t="shared" si="16"/>
        <v>Error?</v>
      </c>
    </row>
    <row r="1134" spans="1:4" x14ac:dyDescent="0.2">
      <c r="A1134" s="5">
        <v>1073</v>
      </c>
      <c r="B1134" s="138">
        <f>'Expenditures 15-22'!K67</f>
        <v>4800</v>
      </c>
      <c r="C1134" s="2" t="s">
        <v>573</v>
      </c>
      <c r="D1134" s="2" t="str">
        <f t="shared" si="16"/>
        <v>Error?</v>
      </c>
    </row>
    <row r="1135" spans="1:4" x14ac:dyDescent="0.2">
      <c r="A1135" s="5">
        <v>1074</v>
      </c>
      <c r="B1135" s="138">
        <f>'Expenditures 15-22'!K68</f>
        <v>10060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136</v>
      </c>
      <c r="C1137" s="2" t="s">
        <v>573</v>
      </c>
      <c r="D1137" s="2" t="str">
        <f t="shared" si="16"/>
        <v>Error?</v>
      </c>
    </row>
    <row r="1138" spans="1:4" x14ac:dyDescent="0.2">
      <c r="A1138" s="10">
        <v>1077</v>
      </c>
      <c r="D1138" s="2" t="str">
        <f t="shared" si="16"/>
        <v>OK</v>
      </c>
    </row>
    <row r="1139" spans="1:4" x14ac:dyDescent="0.2">
      <c r="A1139" s="5">
        <v>1078</v>
      </c>
      <c r="B1139" s="138">
        <f>'Expenditures 15-22'!K71</f>
        <v>4882</v>
      </c>
      <c r="C1139" s="2" t="s">
        <v>573</v>
      </c>
      <c r="D1139" s="2" t="str">
        <f t="shared" si="16"/>
        <v>Error?</v>
      </c>
    </row>
    <row r="1140" spans="1:4" x14ac:dyDescent="0.2">
      <c r="A1140" s="10">
        <v>1079</v>
      </c>
      <c r="D1140" s="2" t="str">
        <f t="shared" si="16"/>
        <v>OK</v>
      </c>
    </row>
    <row r="1141" spans="1:4" x14ac:dyDescent="0.2">
      <c r="A1141" s="5">
        <v>1080</v>
      </c>
      <c r="B1141" s="138">
        <f>'Expenditures 15-22'!K72</f>
        <v>19878</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4287887</v>
      </c>
      <c r="C1143" s="2" t="s">
        <v>573</v>
      </c>
      <c r="D1143" s="2" t="str">
        <f t="shared" si="16"/>
        <v>Error?</v>
      </c>
    </row>
    <row r="1144" spans="1:4" x14ac:dyDescent="0.2">
      <c r="A1144" s="5">
        <v>1083</v>
      </c>
      <c r="B1144" s="138">
        <f>'Expenditures 15-22'!K75</f>
        <v>30650</v>
      </c>
      <c r="C1144" s="2" t="s">
        <v>573</v>
      </c>
      <c r="D1144" s="2" t="str">
        <f t="shared" si="16"/>
        <v>Error?</v>
      </c>
    </row>
    <row r="1145" spans="1:4" x14ac:dyDescent="0.2">
      <c r="A1145" s="5">
        <v>1084</v>
      </c>
      <c r="B1145" s="138">
        <f>'Expenditures 15-22'!K102</f>
        <v>172591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16121844</v>
      </c>
      <c r="C1152" s="2" t="s">
        <v>573</v>
      </c>
      <c r="D1152" s="2" t="str">
        <f t="shared" si="17"/>
        <v>Error?</v>
      </c>
    </row>
    <row r="1153" spans="1:4" x14ac:dyDescent="0.2">
      <c r="A1153" s="5">
        <v>1092</v>
      </c>
      <c r="B1153" s="138">
        <f>'Expenditures 15-22'!K115</f>
        <v>1106033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775913</v>
      </c>
      <c r="D1221" s="2" t="str">
        <f t="shared" si="18"/>
        <v>Error?</v>
      </c>
    </row>
    <row r="1222" spans="1:4" x14ac:dyDescent="0.2">
      <c r="A1222" s="10">
        <v>1161</v>
      </c>
      <c r="D1222" s="2" t="str">
        <f t="shared" si="18"/>
        <v>OK</v>
      </c>
    </row>
    <row r="1223" spans="1:4" x14ac:dyDescent="0.2">
      <c r="A1223" s="5">
        <v>1162</v>
      </c>
      <c r="B1223" s="138">
        <f>'Expenditures 15-22'!C127</f>
        <v>775913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775913</v>
      </c>
      <c r="C1225" s="2" t="s">
        <v>573</v>
      </c>
      <c r="D1225" s="2" t="str">
        <f t="shared" si="18"/>
        <v>Error?</v>
      </c>
    </row>
    <row r="1226" spans="1:4" x14ac:dyDescent="0.2">
      <c r="A1226" s="5">
        <v>1165</v>
      </c>
      <c r="B1226" s="138">
        <f>'Expenditures 15-22'!C151</f>
        <v>775913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89797</v>
      </c>
      <c r="D1229" s="2" t="str">
        <f t="shared" si="18"/>
        <v>Error?</v>
      </c>
    </row>
    <row r="1230" spans="1:4" x14ac:dyDescent="0.2">
      <c r="A1230" s="10">
        <v>1169</v>
      </c>
      <c r="D1230" s="2" t="str">
        <f t="shared" si="18"/>
        <v>OK</v>
      </c>
    </row>
    <row r="1231" spans="1:4" x14ac:dyDescent="0.2">
      <c r="A1231" s="5">
        <v>1170</v>
      </c>
      <c r="B1231" s="138">
        <f>'Expenditures 15-22'!D127</f>
        <v>89797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89797</v>
      </c>
      <c r="C1233" s="2" t="s">
        <v>573</v>
      </c>
      <c r="D1233" s="2" t="str">
        <f t="shared" si="18"/>
        <v>Error?</v>
      </c>
    </row>
    <row r="1234" spans="1:4" x14ac:dyDescent="0.2">
      <c r="A1234" s="5">
        <v>1173</v>
      </c>
      <c r="B1234" s="138">
        <f>'Expenditures 15-22'!D151</f>
        <v>89797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471852</v>
      </c>
      <c r="D1237" s="2" t="str">
        <f t="shared" si="18"/>
        <v>Error?</v>
      </c>
    </row>
    <row r="1238" spans="1:4" x14ac:dyDescent="0.2">
      <c r="A1238" s="10">
        <v>1177</v>
      </c>
      <c r="D1238" s="2" t="str">
        <f t="shared" si="18"/>
        <v>OK</v>
      </c>
    </row>
    <row r="1239" spans="1:4" x14ac:dyDescent="0.2">
      <c r="A1239" s="5">
        <v>1178</v>
      </c>
      <c r="B1239" s="138">
        <f>'Expenditures 15-22'!E127</f>
        <v>471852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471852</v>
      </c>
      <c r="C1241" s="2" t="s">
        <v>573</v>
      </c>
      <c r="D1241" s="2" t="str">
        <f t="shared" si="18"/>
        <v>Error?</v>
      </c>
    </row>
    <row r="1242" spans="1:4" x14ac:dyDescent="0.2">
      <c r="A1242" s="5">
        <v>1181</v>
      </c>
      <c r="B1242" s="138">
        <f>'Expenditures 15-22'!E151</f>
        <v>471852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797099</v>
      </c>
      <c r="D1245" s="2" t="str">
        <f t="shared" si="18"/>
        <v>Error?</v>
      </c>
    </row>
    <row r="1246" spans="1:4" x14ac:dyDescent="0.2">
      <c r="A1246" s="10">
        <v>1185</v>
      </c>
      <c r="D1246" s="2" t="str">
        <f t="shared" si="18"/>
        <v>OK</v>
      </c>
    </row>
    <row r="1247" spans="1:4" x14ac:dyDescent="0.2">
      <c r="A1247" s="5">
        <v>1186</v>
      </c>
      <c r="B1247" s="138">
        <f>'Expenditures 15-22'!F127</f>
        <v>797099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797099</v>
      </c>
      <c r="C1249" s="2" t="s">
        <v>573</v>
      </c>
      <c r="D1249" s="2" t="str">
        <f t="shared" si="18"/>
        <v>Error?</v>
      </c>
    </row>
    <row r="1250" spans="1:4" x14ac:dyDescent="0.2">
      <c r="A1250" s="5">
        <v>1189</v>
      </c>
      <c r="B1250" s="138">
        <f>'Expenditures 15-22'!F151</f>
        <v>797099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110732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110732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110732</v>
      </c>
      <c r="C1258" s="2" t="s">
        <v>573</v>
      </c>
      <c r="D1258" s="2" t="str">
        <f t="shared" si="18"/>
        <v>Error?</v>
      </c>
    </row>
    <row r="1259" spans="1:4" x14ac:dyDescent="0.2">
      <c r="A1259" s="5">
        <v>1198</v>
      </c>
      <c r="B1259" s="138">
        <f>'Expenditures 15-22'!G151</f>
        <v>110732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80</v>
      </c>
      <c r="D1262" s="2" t="str">
        <f t="shared" si="18"/>
        <v>Error?</v>
      </c>
    </row>
    <row r="1263" spans="1:4" x14ac:dyDescent="0.2">
      <c r="A1263" s="10">
        <v>1202</v>
      </c>
      <c r="D1263" s="2" t="str">
        <f t="shared" si="18"/>
        <v>OK</v>
      </c>
    </row>
    <row r="1264" spans="1:4" x14ac:dyDescent="0.2">
      <c r="A1264" s="5">
        <v>1203</v>
      </c>
      <c r="B1264" s="138">
        <f>'Expenditures 15-22'!H127</f>
        <v>80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80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80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2245473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2245473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2245473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2245473</v>
      </c>
      <c r="C1288" s="2" t="s">
        <v>573</v>
      </c>
      <c r="D1288" s="2" t="str">
        <f t="shared" si="19"/>
        <v>Error?</v>
      </c>
    </row>
    <row r="1289" spans="1:4" x14ac:dyDescent="0.2">
      <c r="A1289" s="5">
        <v>1228</v>
      </c>
      <c r="B1289" s="138">
        <f>'Expenditures 15-22'!K152</f>
        <v>154411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62824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638600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701424</v>
      </c>
      <c r="C1317" s="2" t="s">
        <v>573</v>
      </c>
      <c r="D1317" s="2" t="str">
        <f t="shared" si="19"/>
        <v>Error?</v>
      </c>
    </row>
    <row r="1318" spans="1:4" x14ac:dyDescent="0.2">
      <c r="A1318" s="5">
        <v>1257</v>
      </c>
      <c r="B1318" s="138">
        <f>'Expenditures 15-22'!H174</f>
        <v>701424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62824</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638600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701424</v>
      </c>
      <c r="C1331" s="2" t="s">
        <v>573</v>
      </c>
      <c r="D1331" s="2" t="str">
        <f t="shared" si="19"/>
        <v>Error?</v>
      </c>
    </row>
    <row r="1332" spans="1:4" x14ac:dyDescent="0.2">
      <c r="A1332" s="5">
        <v>1271</v>
      </c>
      <c r="B1332" s="138">
        <f>'Expenditures 15-22'!K174</f>
        <v>701424</v>
      </c>
      <c r="C1332" s="2" t="s">
        <v>573</v>
      </c>
      <c r="D1332" s="2" t="str">
        <f t="shared" si="19"/>
        <v>Error?</v>
      </c>
    </row>
    <row r="1333" spans="1:4" x14ac:dyDescent="0.2">
      <c r="A1333" s="5">
        <v>1272</v>
      </c>
      <c r="B1333" s="138">
        <f>'Expenditures 15-22'!K175</f>
        <v>58448</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1490044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1490044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1490044</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23850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23850</v>
      </c>
      <c r="C1364" s="2" t="s">
        <v>573</v>
      </c>
      <c r="D1364" s="2" t="str">
        <f t="shared" si="20"/>
        <v>Error?</v>
      </c>
    </row>
    <row r="1365" spans="1:4" x14ac:dyDescent="0.2">
      <c r="A1365" s="5">
        <v>1304</v>
      </c>
      <c r="B1365" s="138">
        <f>'Expenditures 15-22'!G210</f>
        <v>23850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1513894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1513894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1513894</v>
      </c>
      <c r="C1388" s="2" t="s">
        <v>573</v>
      </c>
      <c r="D1388" s="2" t="str">
        <f t="shared" si="20"/>
        <v>Error?</v>
      </c>
    </row>
    <row r="1389" spans="1:4" x14ac:dyDescent="0.2">
      <c r="A1389" s="5">
        <v>1328</v>
      </c>
      <c r="B1389" s="138">
        <f>'Expenditures 15-22'!K211</f>
        <v>69419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6668</v>
      </c>
      <c r="D1407" s="2" t="str">
        <f t="shared" ref="D1407:D1470" si="21">IF(ISBLANK(B1407),"OK",IF(A1407-B1407=0,"OK","Error?"))</f>
        <v>Error?</v>
      </c>
    </row>
    <row r="1408" spans="1:4" x14ac:dyDescent="0.2">
      <c r="A1408" s="5">
        <v>1347</v>
      </c>
      <c r="B1408" s="138">
        <f>'Expenditures 15-22'!D223</f>
        <v>8005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279574</v>
      </c>
      <c r="C1410" s="2" t="s">
        <v>573</v>
      </c>
      <c r="D1410" s="2" t="str">
        <f t="shared" si="21"/>
        <v>Error?</v>
      </c>
    </row>
    <row r="1411" spans="1:4" x14ac:dyDescent="0.2">
      <c r="A1411" s="5">
        <v>1350</v>
      </c>
      <c r="B1411" s="138">
        <f>'Expenditures 15-22'!D232</f>
        <v>1725</v>
      </c>
      <c r="D1411" s="2" t="str">
        <f t="shared" si="21"/>
        <v>Error?</v>
      </c>
    </row>
    <row r="1412" spans="1:4" x14ac:dyDescent="0.2">
      <c r="A1412" s="5">
        <v>1351</v>
      </c>
      <c r="B1412" s="138">
        <f>'Expenditures 15-22'!D233</f>
        <v>1884</v>
      </c>
      <c r="D1412" s="2" t="str">
        <f t="shared" si="21"/>
        <v>Error?</v>
      </c>
    </row>
    <row r="1413" spans="1:4" x14ac:dyDescent="0.2">
      <c r="A1413" s="5">
        <v>1352</v>
      </c>
      <c r="B1413" s="138">
        <f>'Expenditures 15-22'!D234</f>
        <v>13738</v>
      </c>
      <c r="D1413" s="2" t="str">
        <f t="shared" si="21"/>
        <v>Error?</v>
      </c>
    </row>
    <row r="1414" spans="1:4" x14ac:dyDescent="0.2">
      <c r="A1414" s="5">
        <v>1353</v>
      </c>
      <c r="B1414" s="138">
        <f>'Expenditures 15-22'!D235</f>
        <v>322</v>
      </c>
      <c r="D1414" s="2" t="str">
        <f t="shared" si="21"/>
        <v>Error?</v>
      </c>
    </row>
    <row r="1415" spans="1:4" x14ac:dyDescent="0.2">
      <c r="A1415" s="5">
        <v>1354</v>
      </c>
      <c r="B1415" s="138">
        <f>'Expenditures 15-22'!D236</f>
        <v>2614</v>
      </c>
      <c r="D1415" s="2" t="str">
        <f t="shared" si="21"/>
        <v>Error?</v>
      </c>
    </row>
    <row r="1416" spans="1:4" x14ac:dyDescent="0.2">
      <c r="A1416" s="5">
        <v>1355</v>
      </c>
      <c r="B1416" s="138">
        <f>'Expenditures 15-22'!D237</f>
        <v>1762</v>
      </c>
      <c r="D1416" s="2" t="str">
        <f t="shared" si="21"/>
        <v>Error?</v>
      </c>
    </row>
    <row r="1417" spans="1:4" x14ac:dyDescent="0.2">
      <c r="A1417" s="5">
        <v>1356</v>
      </c>
      <c r="B1417" s="138">
        <f>'Expenditures 15-22'!D238</f>
        <v>22045</v>
      </c>
      <c r="C1417" s="2" t="s">
        <v>573</v>
      </c>
      <c r="D1417" s="2" t="str">
        <f t="shared" si="21"/>
        <v>Error?</v>
      </c>
    </row>
    <row r="1418" spans="1:4" x14ac:dyDescent="0.2">
      <c r="A1418" s="5">
        <v>1357</v>
      </c>
      <c r="B1418" s="138">
        <f>'Expenditures 15-22'!D240</f>
        <v>994</v>
      </c>
      <c r="D1418" s="2" t="str">
        <f t="shared" si="21"/>
        <v>Error?</v>
      </c>
    </row>
    <row r="1419" spans="1:4" x14ac:dyDescent="0.2">
      <c r="A1419" s="5">
        <v>1358</v>
      </c>
      <c r="B1419" s="138">
        <f>'Expenditures 15-22'!D241</f>
        <v>1865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2859</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1597</v>
      </c>
      <c r="D1423" s="2" t="str">
        <f t="shared" si="21"/>
        <v>Error?</v>
      </c>
    </row>
    <row r="1424" spans="1:4" x14ac:dyDescent="0.2">
      <c r="A1424" s="5">
        <v>1363</v>
      </c>
      <c r="B1424" s="138">
        <f>'Expenditures 15-22'!D257</f>
        <v>1661</v>
      </c>
      <c r="C1424" s="2" t="s">
        <v>573</v>
      </c>
      <c r="D1424" s="2" t="str">
        <f t="shared" si="21"/>
        <v>Error?</v>
      </c>
    </row>
    <row r="1425" spans="1:4" x14ac:dyDescent="0.2">
      <c r="A1425" s="5">
        <v>1364</v>
      </c>
      <c r="B1425" s="138">
        <f>'Expenditures 15-22'!D259</f>
        <v>60717</v>
      </c>
      <c r="D1425" s="2" t="str">
        <f t="shared" si="21"/>
        <v>Error?</v>
      </c>
    </row>
    <row r="1426" spans="1:4" x14ac:dyDescent="0.2">
      <c r="A1426" s="5">
        <v>1365</v>
      </c>
      <c r="B1426" s="138">
        <f>'Expenditures 15-22'!D260</f>
        <v>53</v>
      </c>
      <c r="D1426" s="2" t="str">
        <f t="shared" si="21"/>
        <v>Error?</v>
      </c>
    </row>
    <row r="1427" spans="1:4" x14ac:dyDescent="0.2">
      <c r="A1427" s="5">
        <v>1366</v>
      </c>
      <c r="B1427" s="138">
        <f>'Expenditures 15-22'!D261</f>
        <v>60770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37835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123413</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68038</v>
      </c>
      <c r="D1433" s="2" t="str">
        <f t="shared" si="21"/>
        <v>Error?</v>
      </c>
    </row>
    <row r="1434" spans="1:4" x14ac:dyDescent="0.2">
      <c r="A1434" s="5">
        <v>1373</v>
      </c>
      <c r="B1434" s="138">
        <f>'Expenditures 15-22'!D269</f>
        <v>144</v>
      </c>
      <c r="D1434" s="2" t="str">
        <f t="shared" si="21"/>
        <v>Error?</v>
      </c>
    </row>
    <row r="1435" spans="1:4" x14ac:dyDescent="0.2">
      <c r="A1435" s="10">
        <v>1374</v>
      </c>
      <c r="D1435" s="2" t="str">
        <f t="shared" si="21"/>
        <v>OK</v>
      </c>
    </row>
    <row r="1436" spans="1:4" x14ac:dyDescent="0.2">
      <c r="A1436" s="5">
        <v>1375</v>
      </c>
      <c r="B1436" s="138">
        <f>'Expenditures 15-22'!D270</f>
        <v>229430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316765</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596339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6668</v>
      </c>
      <c r="C1471" s="2" t="s">
        <v>573</v>
      </c>
      <c r="D1471" s="2" t="str">
        <f t="shared" ref="D1471:D1534" si="22">IF(ISBLANK(B1471),"OK",IF(A1471-B1471=0,"OK","Error?"))</f>
        <v>Error?</v>
      </c>
    </row>
    <row r="1472" spans="1:4" x14ac:dyDescent="0.2">
      <c r="A1472" s="5">
        <v>1411</v>
      </c>
      <c r="B1472" s="138">
        <f>'Expenditures 15-22'!K223</f>
        <v>8005</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279574</v>
      </c>
      <c r="C1474" s="2" t="s">
        <v>573</v>
      </c>
      <c r="D1474" s="2" t="str">
        <f t="shared" si="22"/>
        <v>Error?</v>
      </c>
    </row>
    <row r="1475" spans="1:4" x14ac:dyDescent="0.2">
      <c r="A1475" s="5">
        <v>1414</v>
      </c>
      <c r="B1475" s="138">
        <f>'Expenditures 15-22'!K232</f>
        <v>1725</v>
      </c>
      <c r="C1475" s="2" t="s">
        <v>573</v>
      </c>
      <c r="D1475" s="2" t="str">
        <f t="shared" si="22"/>
        <v>Error?</v>
      </c>
    </row>
    <row r="1476" spans="1:4" x14ac:dyDescent="0.2">
      <c r="A1476" s="5">
        <v>1415</v>
      </c>
      <c r="B1476" s="138">
        <f>'Expenditures 15-22'!K233</f>
        <v>1884</v>
      </c>
      <c r="C1476" s="2" t="s">
        <v>573</v>
      </c>
      <c r="D1476" s="2" t="str">
        <f t="shared" si="22"/>
        <v>Error?</v>
      </c>
    </row>
    <row r="1477" spans="1:4" x14ac:dyDescent="0.2">
      <c r="A1477" s="5">
        <v>1416</v>
      </c>
      <c r="B1477" s="138">
        <f>'Expenditures 15-22'!K234</f>
        <v>13738</v>
      </c>
      <c r="C1477" s="2" t="s">
        <v>573</v>
      </c>
      <c r="D1477" s="2" t="str">
        <f t="shared" si="22"/>
        <v>Error?</v>
      </c>
    </row>
    <row r="1478" spans="1:4" x14ac:dyDescent="0.2">
      <c r="A1478" s="5">
        <v>1417</v>
      </c>
      <c r="B1478" s="138">
        <f>'Expenditures 15-22'!K235</f>
        <v>322</v>
      </c>
      <c r="C1478" s="2" t="s">
        <v>573</v>
      </c>
      <c r="D1478" s="2" t="str">
        <f t="shared" si="22"/>
        <v>Error?</v>
      </c>
    </row>
    <row r="1479" spans="1:4" x14ac:dyDescent="0.2">
      <c r="A1479" s="5">
        <v>1418</v>
      </c>
      <c r="B1479" s="138">
        <f>'Expenditures 15-22'!K236</f>
        <v>2614</v>
      </c>
      <c r="C1479" s="2" t="s">
        <v>573</v>
      </c>
      <c r="D1479" s="2" t="str">
        <f t="shared" si="22"/>
        <v>Error?</v>
      </c>
    </row>
    <row r="1480" spans="1:4" x14ac:dyDescent="0.2">
      <c r="A1480" s="5">
        <v>1419</v>
      </c>
      <c r="B1480" s="138">
        <f>'Expenditures 15-22'!K237</f>
        <v>1762</v>
      </c>
      <c r="C1480" s="2" t="s">
        <v>573</v>
      </c>
      <c r="D1480" s="2" t="str">
        <f t="shared" si="22"/>
        <v>Error?</v>
      </c>
    </row>
    <row r="1481" spans="1:4" x14ac:dyDescent="0.2">
      <c r="A1481" s="5">
        <v>1420</v>
      </c>
      <c r="B1481" s="138">
        <f>'Expenditures 15-22'!K238</f>
        <v>22045</v>
      </c>
      <c r="C1481" s="2" t="s">
        <v>573</v>
      </c>
      <c r="D1481" s="2" t="str">
        <f t="shared" si="22"/>
        <v>Error?</v>
      </c>
    </row>
    <row r="1482" spans="1:4" x14ac:dyDescent="0.2">
      <c r="A1482" s="5">
        <v>1421</v>
      </c>
      <c r="B1482" s="138">
        <f>'Expenditures 15-22'!K240</f>
        <v>994</v>
      </c>
      <c r="C1482" s="2" t="s">
        <v>573</v>
      </c>
      <c r="D1482" s="2" t="str">
        <f t="shared" si="22"/>
        <v>Error?</v>
      </c>
    </row>
    <row r="1483" spans="1:4" x14ac:dyDescent="0.2">
      <c r="A1483" s="5">
        <v>1422</v>
      </c>
      <c r="B1483" s="138">
        <f>'Expenditures 15-22'!K241</f>
        <v>1865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2859</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1597</v>
      </c>
      <c r="C1487" s="2" t="s">
        <v>573</v>
      </c>
      <c r="D1487" s="2" t="str">
        <f t="shared" si="22"/>
        <v>Error?</v>
      </c>
    </row>
    <row r="1488" spans="1:4" x14ac:dyDescent="0.2">
      <c r="A1488" s="5">
        <v>1427</v>
      </c>
      <c r="B1488" s="138">
        <f>'Expenditures 15-22'!K257</f>
        <v>1661</v>
      </c>
      <c r="C1488" s="2" t="s">
        <v>573</v>
      </c>
      <c r="D1488" s="2" t="str">
        <f t="shared" si="22"/>
        <v>Error?</v>
      </c>
    </row>
    <row r="1489" spans="1:4" x14ac:dyDescent="0.2">
      <c r="A1489" s="5">
        <v>1428</v>
      </c>
      <c r="B1489" s="138">
        <f>'Expenditures 15-22'!K259</f>
        <v>60717</v>
      </c>
      <c r="C1489" s="2" t="s">
        <v>573</v>
      </c>
      <c r="D1489" s="2" t="str">
        <f t="shared" si="22"/>
        <v>Error?</v>
      </c>
    </row>
    <row r="1490" spans="1:4" x14ac:dyDescent="0.2">
      <c r="A1490" s="5">
        <v>1429</v>
      </c>
      <c r="B1490" s="138">
        <f>'Expenditures 15-22'!K260</f>
        <v>53</v>
      </c>
      <c r="C1490" s="2" t="s">
        <v>573</v>
      </c>
      <c r="D1490" s="2" t="str">
        <f t="shared" si="22"/>
        <v>Error?</v>
      </c>
    </row>
    <row r="1491" spans="1:4" x14ac:dyDescent="0.2">
      <c r="A1491" s="5">
        <v>1430</v>
      </c>
      <c r="B1491" s="138">
        <f>'Expenditures 15-22'!K261</f>
        <v>60770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37835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123413</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68038</v>
      </c>
      <c r="C1497" s="2" t="s">
        <v>573</v>
      </c>
      <c r="D1497" s="2" t="str">
        <f t="shared" si="22"/>
        <v>Error?</v>
      </c>
    </row>
    <row r="1498" spans="1:4" x14ac:dyDescent="0.2">
      <c r="A1498" s="5">
        <v>1437</v>
      </c>
      <c r="B1498" s="138">
        <f>'Expenditures 15-22'!K269</f>
        <v>144</v>
      </c>
      <c r="C1498" s="2" t="s">
        <v>573</v>
      </c>
      <c r="D1498" s="2" t="str">
        <f t="shared" si="22"/>
        <v>Error?</v>
      </c>
    </row>
    <row r="1499" spans="1:4" x14ac:dyDescent="0.2">
      <c r="A1499" s="10">
        <v>1438</v>
      </c>
      <c r="D1499" s="2" t="str">
        <f t="shared" si="22"/>
        <v>OK</v>
      </c>
    </row>
    <row r="1500" spans="1:4" x14ac:dyDescent="0.2">
      <c r="A1500" s="5">
        <v>1439</v>
      </c>
      <c r="B1500" s="138">
        <f>'Expenditures 15-22'!K270</f>
        <v>229430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316765</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596339</v>
      </c>
      <c r="C1517" s="2" t="s">
        <v>573</v>
      </c>
      <c r="D1517" s="2" t="str">
        <f t="shared" si="22"/>
        <v>Error?</v>
      </c>
    </row>
    <row r="1518" spans="1:4" x14ac:dyDescent="0.2">
      <c r="A1518" s="5">
        <v>1457</v>
      </c>
      <c r="B1518" s="138">
        <f>'Expenditures 15-22'!K296</f>
        <v>-23532</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100261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4783845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5889878</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154411</v>
      </c>
      <c r="C1644" s="2" t="s">
        <v>573</v>
      </c>
      <c r="D1644" s="2" t="str">
        <f t="shared" si="24"/>
        <v>Error?</v>
      </c>
    </row>
    <row r="1645" spans="1:4" x14ac:dyDescent="0.2">
      <c r="A1645" s="5">
        <v>1584</v>
      </c>
      <c r="B1645" s="138">
        <f>'Acct Summary 7-8'!E79</f>
        <v>491290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549738</v>
      </c>
      <c r="C1658" s="2" t="s">
        <v>573</v>
      </c>
      <c r="D1658" s="2" t="str">
        <f t="shared" si="24"/>
        <v>Error?</v>
      </c>
    </row>
    <row r="1659" spans="1:4" x14ac:dyDescent="0.2">
      <c r="A1659" s="5">
        <v>1598</v>
      </c>
      <c r="B1659" s="138">
        <f>'Acct Summary 7-8'!F79</f>
        <v>30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69449</v>
      </c>
      <c r="C1672" s="2" t="s">
        <v>573</v>
      </c>
      <c r="D1672" s="2" t="str">
        <f t="shared" si="25"/>
        <v>Error?</v>
      </c>
    </row>
    <row r="1673" spans="1:4" x14ac:dyDescent="0.2">
      <c r="A1673" s="5">
        <v>1612</v>
      </c>
      <c r="B1673" s="138">
        <f>'Acct Summary 7-8'!G79</f>
        <v>623003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599471</v>
      </c>
      <c r="C1686" s="2" t="s">
        <v>573</v>
      </c>
      <c r="D1686" s="2" t="str">
        <f t="shared" si="25"/>
        <v>Error?</v>
      </c>
    </row>
    <row r="1687" spans="1:4" x14ac:dyDescent="0.2">
      <c r="A1687" s="5">
        <v>1626</v>
      </c>
      <c r="B1687" s="138">
        <f>'Acct Summary 7-8'!H79</f>
        <v>48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100309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3830436</v>
      </c>
      <c r="C1744" s="2" t="s">
        <v>573</v>
      </c>
      <c r="D1744" s="2" t="str">
        <f t="shared" si="26"/>
        <v>Error?</v>
      </c>
    </row>
    <row r="1745" spans="1:5" x14ac:dyDescent="0.2">
      <c r="A1745" s="5">
        <v>1684</v>
      </c>
      <c r="B1745" s="138">
        <f>'Tax Sched 23'!B5</f>
        <v>728836</v>
      </c>
      <c r="C1745" s="2" t="s">
        <v>573</v>
      </c>
      <c r="D1745" s="2" t="str">
        <f t="shared" si="26"/>
        <v>Error?</v>
      </c>
    </row>
    <row r="1746" spans="1:5" x14ac:dyDescent="0.2">
      <c r="A1746" s="5">
        <v>1685</v>
      </c>
      <c r="B1746" s="138">
        <f>'Tax Sched 23'!B6</f>
        <v>709089</v>
      </c>
      <c r="C1746" s="2" t="s">
        <v>573</v>
      </c>
      <c r="D1746" s="2" t="str">
        <f t="shared" si="26"/>
        <v>Error?</v>
      </c>
    </row>
    <row r="1747" spans="1:5" x14ac:dyDescent="0.2">
      <c r="A1747" s="5">
        <v>1686</v>
      </c>
      <c r="B1747" s="138">
        <f>'Tax Sched 23'!B7</f>
        <v>277085</v>
      </c>
      <c r="C1747" s="2" t="s">
        <v>573</v>
      </c>
      <c r="D1747" s="2" t="str">
        <f t="shared" si="26"/>
        <v>Error?</v>
      </c>
    </row>
    <row r="1748" spans="1:5" x14ac:dyDescent="0.2">
      <c r="A1748" s="5">
        <v>1687</v>
      </c>
      <c r="B1748" s="138">
        <f>'Tax Sched 23'!B8</f>
        <v>227751</v>
      </c>
      <c r="C1748" s="2" t="s">
        <v>573</v>
      </c>
      <c r="D1748" s="2" t="str">
        <f t="shared" si="26"/>
        <v>Error?</v>
      </c>
    </row>
    <row r="1749" spans="1:5" x14ac:dyDescent="0.2">
      <c r="A1749" s="5">
        <v>1688</v>
      </c>
      <c r="B1749" s="138">
        <f>'Tax Sched 23'!B10</f>
        <v>67599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476411</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6579695</v>
      </c>
      <c r="C1759" s="2" t="s">
        <v>573</v>
      </c>
      <c r="D1759" s="2" t="str">
        <f t="shared" si="26"/>
        <v>Error?</v>
      </c>
    </row>
    <row r="1760" spans="1:5" x14ac:dyDescent="0.2">
      <c r="A1760" s="5">
        <v>1699</v>
      </c>
      <c r="B1760" s="138">
        <f>'Tax Sched 23'!D4</f>
        <v>3830436</v>
      </c>
      <c r="C1760" s="2" t="s">
        <v>573</v>
      </c>
      <c r="D1760" s="2" t="str">
        <f t="shared" si="26"/>
        <v>Error?</v>
      </c>
    </row>
    <row r="1761" spans="1:5" x14ac:dyDescent="0.2">
      <c r="A1761" s="5">
        <v>1700</v>
      </c>
      <c r="B1761" s="138">
        <f>'Tax Sched 23'!D5</f>
        <v>728836</v>
      </c>
      <c r="C1761" s="2" t="s">
        <v>573</v>
      </c>
      <c r="D1761" s="2" t="str">
        <f t="shared" si="26"/>
        <v>Error?</v>
      </c>
    </row>
    <row r="1762" spans="1:5" s="8" customFormat="1" x14ac:dyDescent="0.2">
      <c r="A1762" s="5">
        <v>1701</v>
      </c>
      <c r="B1762" s="138">
        <f>'Tax Sched 23'!D6</f>
        <v>709089</v>
      </c>
      <c r="C1762" s="2" t="s">
        <v>573</v>
      </c>
      <c r="D1762" s="2" t="str">
        <f t="shared" si="26"/>
        <v>Error?</v>
      </c>
      <c r="E1762" s="9"/>
    </row>
    <row r="1763" spans="1:5" x14ac:dyDescent="0.2">
      <c r="A1763" s="5">
        <v>1702</v>
      </c>
      <c r="B1763" s="138">
        <f>'Tax Sched 23'!D7</f>
        <v>277085</v>
      </c>
      <c r="C1763" s="2" t="s">
        <v>573</v>
      </c>
      <c r="D1763" s="2" t="str">
        <f t="shared" si="26"/>
        <v>Error?</v>
      </c>
    </row>
    <row r="1764" spans="1:5" x14ac:dyDescent="0.2">
      <c r="A1764" s="5">
        <v>1703</v>
      </c>
      <c r="B1764" s="138">
        <f>'Tax Sched 23'!D8</f>
        <v>227751</v>
      </c>
      <c r="C1764" s="2" t="s">
        <v>573</v>
      </c>
      <c r="D1764" s="2" t="str">
        <f t="shared" si="26"/>
        <v>Error?</v>
      </c>
    </row>
    <row r="1765" spans="1:5" x14ac:dyDescent="0.2">
      <c r="A1765" s="5">
        <v>1704</v>
      </c>
      <c r="B1765" s="138">
        <f>'Tax Sched 23'!D10</f>
        <v>67599</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476411</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6579695</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3938296</v>
      </c>
      <c r="C1792" s="2" t="s">
        <v>573</v>
      </c>
      <c r="D1792" s="2" t="str">
        <f t="shared" si="27"/>
        <v>Error?</v>
      </c>
    </row>
    <row r="1793" spans="1:4" x14ac:dyDescent="0.2">
      <c r="A1793" s="5">
        <v>1732</v>
      </c>
      <c r="B1793" s="138">
        <f>'Tax Sched 23'!F5</f>
        <v>749364</v>
      </c>
      <c r="C1793" s="2" t="s">
        <v>573</v>
      </c>
      <c r="D1793" s="2" t="str">
        <f t="shared" si="27"/>
        <v>Error?</v>
      </c>
    </row>
    <row r="1794" spans="1:4" x14ac:dyDescent="0.2">
      <c r="A1794" s="5">
        <v>1733</v>
      </c>
      <c r="B1794" s="138">
        <f>'Tax Sched 23'!F6</f>
        <v>715310</v>
      </c>
      <c r="C1794" s="2" t="s">
        <v>573</v>
      </c>
      <c r="D1794" s="2" t="str">
        <f t="shared" si="27"/>
        <v>Error?</v>
      </c>
    </row>
    <row r="1795" spans="1:4" x14ac:dyDescent="0.2">
      <c r="A1795" s="5">
        <v>1734</v>
      </c>
      <c r="B1795" s="138">
        <f>'Tax Sched 23'!F7</f>
        <v>278593</v>
      </c>
      <c r="C1795" s="2" t="s">
        <v>573</v>
      </c>
      <c r="D1795" s="2" t="str">
        <f t="shared" si="27"/>
        <v>Error?</v>
      </c>
    </row>
    <row r="1796" spans="1:4" x14ac:dyDescent="0.2">
      <c r="A1796" s="5">
        <v>1735</v>
      </c>
      <c r="B1796" s="138">
        <f>'Tax Sched 23'!F8</f>
        <v>234174</v>
      </c>
      <c r="C1796" s="2" t="s">
        <v>573</v>
      </c>
      <c r="D1796" s="2" t="str">
        <f t="shared" si="27"/>
        <v>Error?</v>
      </c>
    </row>
    <row r="1797" spans="1:4" x14ac:dyDescent="0.2">
      <c r="A1797" s="5">
        <v>1736</v>
      </c>
      <c r="B1797" s="138">
        <f>'Tax Sched 23'!F10</f>
        <v>69508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489836</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6744976</v>
      </c>
      <c r="C1807" s="2" t="s">
        <v>573</v>
      </c>
      <c r="D1807" s="2" t="str">
        <f t="shared" si="27"/>
        <v>Error?</v>
      </c>
    </row>
    <row r="1808" spans="1:4" x14ac:dyDescent="0.2">
      <c r="A1808" s="5">
        <v>1747</v>
      </c>
      <c r="B1808" s="138">
        <f>'Tax Sched 23'!E4</f>
        <v>3938296</v>
      </c>
      <c r="D1808" s="2" t="str">
        <f t="shared" si="27"/>
        <v>Error?</v>
      </c>
    </row>
    <row r="1809" spans="1:4" x14ac:dyDescent="0.2">
      <c r="A1809" s="5">
        <v>1748</v>
      </c>
      <c r="B1809" s="138">
        <f>'Tax Sched 23'!E5</f>
        <v>749364</v>
      </c>
      <c r="D1809" s="2" t="str">
        <f t="shared" si="27"/>
        <v>Error?</v>
      </c>
    </row>
    <row r="1810" spans="1:4" x14ac:dyDescent="0.2">
      <c r="A1810" s="5">
        <v>1749</v>
      </c>
      <c r="B1810" s="138">
        <f>'Tax Sched 23'!E6</f>
        <v>715310</v>
      </c>
      <c r="D1810" s="2" t="str">
        <f t="shared" si="27"/>
        <v>Error?</v>
      </c>
    </row>
    <row r="1811" spans="1:4" x14ac:dyDescent="0.2">
      <c r="A1811" s="5">
        <v>1750</v>
      </c>
      <c r="B1811" s="138">
        <f>'Tax Sched 23'!E7</f>
        <v>278593</v>
      </c>
      <c r="D1811" s="2" t="str">
        <f t="shared" si="27"/>
        <v>Error?</v>
      </c>
    </row>
    <row r="1812" spans="1:4" x14ac:dyDescent="0.2">
      <c r="A1812" s="5">
        <v>1751</v>
      </c>
      <c r="B1812" s="138">
        <f>'Tax Sched 23'!E8</f>
        <v>234174</v>
      </c>
      <c r="D1812" s="2" t="str">
        <f t="shared" si="27"/>
        <v>Error?</v>
      </c>
    </row>
    <row r="1813" spans="1:4" x14ac:dyDescent="0.2">
      <c r="A1813" s="5">
        <v>1752</v>
      </c>
      <c r="B1813" s="138">
        <f>'Tax Sched 23'!E10</f>
        <v>69508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489836</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6744976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3407700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1227227</v>
      </c>
      <c r="D2008" s="2" t="str">
        <f t="shared" si="30"/>
        <v>Error?</v>
      </c>
    </row>
    <row r="2009" spans="1:4" x14ac:dyDescent="0.2">
      <c r="A2009" s="5">
        <v>1948</v>
      </c>
      <c r="B2009" s="138">
        <f>'Cap Outlay Deprec 26'!C8</f>
        <v>24852091</v>
      </c>
      <c r="D2009" s="2" t="str">
        <f t="shared" si="30"/>
        <v>Error?</v>
      </c>
    </row>
    <row r="2010" spans="1:4" x14ac:dyDescent="0.2">
      <c r="A2010" s="5">
        <v>1949</v>
      </c>
      <c r="B2010" s="138">
        <f>'Cap Outlay Deprec 26'!C10</f>
        <v>5854881</v>
      </c>
      <c r="D2010" s="2" t="str">
        <f t="shared" si="30"/>
        <v>Error?</v>
      </c>
    </row>
    <row r="2011" spans="1:4" x14ac:dyDescent="0.2">
      <c r="A2011" s="5">
        <v>1950</v>
      </c>
      <c r="B2011" s="138">
        <f>'Cap Outlay Deprec 26'!C12</f>
        <v>5778342</v>
      </c>
      <c r="D2011" s="2" t="str">
        <f t="shared" si="30"/>
        <v>Error?</v>
      </c>
    </row>
    <row r="2012" spans="1:4" x14ac:dyDescent="0.2">
      <c r="A2012" s="5">
        <v>1951</v>
      </c>
      <c r="B2012" s="138">
        <f>'Cap Outlay Deprec 26'!C13</f>
        <v>419778</v>
      </c>
      <c r="D2012" s="2" t="str">
        <f t="shared" si="30"/>
        <v>Error?</v>
      </c>
    </row>
    <row r="2013" spans="1:4" x14ac:dyDescent="0.2">
      <c r="A2013" s="5">
        <v>1952</v>
      </c>
      <c r="B2013" s="138">
        <f>'Cap Outlay Deprec 26'!C16</f>
        <v>38189242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86581</v>
      </c>
      <c r="D2016" s="2" t="str">
        <f t="shared" si="30"/>
        <v>Error?</v>
      </c>
    </row>
    <row r="2017" spans="1:4" x14ac:dyDescent="0.2">
      <c r="A2017" s="5">
        <v>1956</v>
      </c>
      <c r="B2017" s="138">
        <f>'Cap Outlay Deprec 26'!D12</f>
        <v>124419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211000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3809</v>
      </c>
      <c r="D2024" s="2" t="str">
        <f t="shared" si="30"/>
        <v>Error?</v>
      </c>
    </row>
    <row r="2025" spans="1:4" x14ac:dyDescent="0.2">
      <c r="A2025" s="5">
        <v>1964</v>
      </c>
      <c r="B2025" s="138">
        <f>'Cap Outlay Deprec 26'!E16</f>
        <v>3809</v>
      </c>
      <c r="C2025" s="2" t="s">
        <v>573</v>
      </c>
      <c r="D2025" s="2" t="str">
        <f t="shared" si="30"/>
        <v>Error?</v>
      </c>
    </row>
    <row r="2026" spans="1:4" x14ac:dyDescent="0.2">
      <c r="A2026" s="5">
        <v>1965</v>
      </c>
      <c r="B2026" s="138">
        <f>'Cap Outlay Deprec 26'!F5</f>
        <v>1227227</v>
      </c>
      <c r="C2026" s="2" t="s">
        <v>573</v>
      </c>
      <c r="D2026" s="2" t="str">
        <f t="shared" si="30"/>
        <v>Error?</v>
      </c>
    </row>
    <row r="2027" spans="1:4" x14ac:dyDescent="0.2">
      <c r="A2027" s="5">
        <v>1966</v>
      </c>
      <c r="B2027" s="138">
        <f>'Cap Outlay Deprec 26'!F8</f>
        <v>24852091</v>
      </c>
      <c r="C2027" s="2" t="s">
        <v>573</v>
      </c>
      <c r="D2027" s="2" t="str">
        <f t="shared" si="30"/>
        <v>Error?</v>
      </c>
    </row>
    <row r="2028" spans="1:4" x14ac:dyDescent="0.2">
      <c r="A2028" s="5">
        <v>1967</v>
      </c>
      <c r="B2028" s="138">
        <f>'Cap Outlay Deprec 26'!F10</f>
        <v>5941462</v>
      </c>
      <c r="C2028" s="2" t="s">
        <v>573</v>
      </c>
      <c r="D2028" s="2" t="str">
        <f t="shared" si="30"/>
        <v>Error?</v>
      </c>
    </row>
    <row r="2029" spans="1:4" x14ac:dyDescent="0.2">
      <c r="A2029" s="5">
        <v>1968</v>
      </c>
      <c r="B2029" s="138">
        <f>'Cap Outlay Deprec 26'!F12</f>
        <v>5902761</v>
      </c>
      <c r="C2029" s="2" t="s">
        <v>573</v>
      </c>
      <c r="D2029" s="2" t="str">
        <f t="shared" si="30"/>
        <v>Error?</v>
      </c>
    </row>
    <row r="2030" spans="1:4" x14ac:dyDescent="0.2">
      <c r="A2030" s="5">
        <v>1969</v>
      </c>
      <c r="B2030" s="138">
        <f>'Cap Outlay Deprec 26'!F13</f>
        <v>415969</v>
      </c>
      <c r="C2030" s="2" t="s">
        <v>573</v>
      </c>
      <c r="D2030" s="2" t="str">
        <f t="shared" si="30"/>
        <v>Error?</v>
      </c>
    </row>
    <row r="2031" spans="1:4" x14ac:dyDescent="0.2">
      <c r="A2031" s="5">
        <v>1970</v>
      </c>
      <c r="B2031" s="138">
        <f>'Cap Outlay Deprec 26'!F16</f>
        <v>38396433</v>
      </c>
      <c r="C2031" s="2" t="s">
        <v>573</v>
      </c>
      <c r="D2031" s="2" t="str">
        <f t="shared" si="30"/>
        <v>Error?</v>
      </c>
    </row>
    <row r="2032" spans="1:4" x14ac:dyDescent="0.2">
      <c r="A2032" s="10">
        <v>1971</v>
      </c>
      <c r="D2032" s="2" t="str">
        <f t="shared" si="30"/>
        <v>OK</v>
      </c>
    </row>
    <row r="2033" spans="1:4" x14ac:dyDescent="0.2">
      <c r="A2033" s="5">
        <v>1972</v>
      </c>
      <c r="B2033" s="138">
        <f>'Cap Outlay Deprec 26'!H8</f>
        <v>8258962</v>
      </c>
      <c r="D2033" s="2" t="str">
        <f t="shared" si="30"/>
        <v>Error?</v>
      </c>
    </row>
    <row r="2034" spans="1:4" x14ac:dyDescent="0.2">
      <c r="A2034" s="5">
        <v>1973</v>
      </c>
      <c r="B2034" s="138">
        <f>'Cap Outlay Deprec 26'!H10</f>
        <v>3103439</v>
      </c>
      <c r="D2034" s="2" t="str">
        <f t="shared" si="30"/>
        <v>Error?</v>
      </c>
    </row>
    <row r="2035" spans="1:4" x14ac:dyDescent="0.2">
      <c r="A2035" s="5">
        <v>1974</v>
      </c>
      <c r="B2035" s="138">
        <f>'Cap Outlay Deprec 26'!H12</f>
        <v>5143973</v>
      </c>
      <c r="D2035" s="2" t="str">
        <f t="shared" si="30"/>
        <v>Error?</v>
      </c>
    </row>
    <row r="2036" spans="1:4" x14ac:dyDescent="0.2">
      <c r="A2036" s="5">
        <v>1975</v>
      </c>
      <c r="B2036" s="138">
        <f>'Cap Outlay Deprec 26'!H13</f>
        <v>416044</v>
      </c>
      <c r="D2036" s="2" t="str">
        <f t="shared" si="30"/>
        <v>Error?</v>
      </c>
    </row>
    <row r="2037" spans="1:4" x14ac:dyDescent="0.2">
      <c r="A2037" s="5">
        <v>1976</v>
      </c>
      <c r="B2037" s="138">
        <f>'Cap Outlay Deprec 26'!H16</f>
        <v>16979341</v>
      </c>
      <c r="C2037" s="2" t="s">
        <v>573</v>
      </c>
      <c r="D2037" s="2" t="str">
        <f t="shared" si="30"/>
        <v>Error?</v>
      </c>
    </row>
    <row r="2038" spans="1:4" x14ac:dyDescent="0.2">
      <c r="A2038" s="10">
        <v>1977</v>
      </c>
      <c r="D2038" s="2" t="str">
        <f t="shared" si="30"/>
        <v>OK</v>
      </c>
    </row>
    <row r="2039" spans="1:4" x14ac:dyDescent="0.2">
      <c r="A2039" s="5">
        <v>1978</v>
      </c>
      <c r="B2039" s="138">
        <f>'Cap Outlay Deprec 26'!I8</f>
        <v>497042</v>
      </c>
      <c r="D2039" s="2" t="str">
        <f t="shared" si="30"/>
        <v>Error?</v>
      </c>
    </row>
    <row r="2040" spans="1:4" x14ac:dyDescent="0.2">
      <c r="A2040" s="5">
        <v>1979</v>
      </c>
      <c r="B2040" s="138">
        <f>'Cap Outlay Deprec 26'!I10</f>
        <v>280383</v>
      </c>
      <c r="D2040" s="2" t="str">
        <f t="shared" si="30"/>
        <v>Error?</v>
      </c>
    </row>
    <row r="2041" spans="1:4" x14ac:dyDescent="0.2">
      <c r="A2041" s="5">
        <v>1980</v>
      </c>
      <c r="B2041" s="138">
        <f>'Cap Outlay Deprec 26'!I12</f>
        <v>138428</v>
      </c>
      <c r="D2041" s="2" t="str">
        <f t="shared" si="30"/>
        <v>Error?</v>
      </c>
    </row>
    <row r="2042" spans="1:4" x14ac:dyDescent="0.2">
      <c r="A2042" s="5">
        <v>1981</v>
      </c>
      <c r="B2042" s="138">
        <f>'Cap Outlay Deprec 26'!I13</f>
        <v>1733</v>
      </c>
      <c r="D2042" s="2" t="str">
        <f t="shared" si="30"/>
        <v>Error?</v>
      </c>
    </row>
    <row r="2043" spans="1:4" x14ac:dyDescent="0.2">
      <c r="A2043" s="5">
        <v>1982</v>
      </c>
      <c r="B2043" s="138">
        <f>'Cap Outlay Deprec 26'!I16</f>
        <v>917586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3174</v>
      </c>
      <c r="D2048" s="2" t="str">
        <f t="shared" si="31"/>
        <v>Error?</v>
      </c>
    </row>
    <row r="2049" spans="1:4" x14ac:dyDescent="0.2">
      <c r="A2049" s="5">
        <v>1988</v>
      </c>
      <c r="B2049" s="138">
        <f>'Cap Outlay Deprec 26'!J16</f>
        <v>3174</v>
      </c>
      <c r="C2049" s="2" t="s">
        <v>573</v>
      </c>
      <c r="D2049" s="2" t="str">
        <f t="shared" si="31"/>
        <v>Error?</v>
      </c>
    </row>
    <row r="2050" spans="1:4" x14ac:dyDescent="0.2">
      <c r="A2050" s="10">
        <v>1989</v>
      </c>
      <c r="D2050" s="2" t="str">
        <f t="shared" si="31"/>
        <v>OK</v>
      </c>
    </row>
    <row r="2051" spans="1:4" x14ac:dyDescent="0.2">
      <c r="A2051" s="5">
        <v>1990</v>
      </c>
      <c r="B2051" s="138">
        <f>'Cap Outlay Deprec 26'!K8</f>
        <v>8756004</v>
      </c>
      <c r="C2051" s="2" t="s">
        <v>573</v>
      </c>
      <c r="D2051" s="2" t="str">
        <f t="shared" si="31"/>
        <v>Error?</v>
      </c>
    </row>
    <row r="2052" spans="1:4" x14ac:dyDescent="0.2">
      <c r="A2052" s="5">
        <v>1991</v>
      </c>
      <c r="B2052" s="138">
        <f>'Cap Outlay Deprec 26'!K10</f>
        <v>3383822</v>
      </c>
      <c r="C2052" s="2" t="s">
        <v>573</v>
      </c>
      <c r="D2052" s="2" t="str">
        <f t="shared" si="31"/>
        <v>Error?</v>
      </c>
    </row>
    <row r="2053" spans="1:4" x14ac:dyDescent="0.2">
      <c r="A2053" s="5">
        <v>1992</v>
      </c>
      <c r="B2053" s="138">
        <f>'Cap Outlay Deprec 26'!K12</f>
        <v>5282401</v>
      </c>
      <c r="C2053" s="2" t="s">
        <v>573</v>
      </c>
      <c r="D2053" s="2" t="str">
        <f t="shared" si="31"/>
        <v>Error?</v>
      </c>
    </row>
    <row r="2054" spans="1:4" x14ac:dyDescent="0.2">
      <c r="A2054" s="5">
        <v>1993</v>
      </c>
      <c r="B2054" s="138">
        <f>'Cap Outlay Deprec 26'!K13</f>
        <v>414603</v>
      </c>
      <c r="C2054" s="2" t="s">
        <v>573</v>
      </c>
      <c r="D2054" s="2" t="str">
        <f t="shared" si="31"/>
        <v>Error?</v>
      </c>
    </row>
    <row r="2055" spans="1:4" x14ac:dyDescent="0.2">
      <c r="A2055" s="5">
        <v>1994</v>
      </c>
      <c r="B2055" s="138">
        <f>'Cap Outlay Deprec 26'!K16</f>
        <v>17893753</v>
      </c>
      <c r="C2055" s="2" t="s">
        <v>573</v>
      </c>
      <c r="D2055" s="2" t="str">
        <f t="shared" si="31"/>
        <v>Error?</v>
      </c>
    </row>
    <row r="2056" spans="1:4" x14ac:dyDescent="0.2">
      <c r="A2056" s="5">
        <v>1995</v>
      </c>
      <c r="B2056" s="138">
        <f>'Cap Outlay Deprec 26'!L5</f>
        <v>1227227</v>
      </c>
      <c r="C2056" s="2" t="s">
        <v>573</v>
      </c>
      <c r="D2056" s="2" t="str">
        <f t="shared" si="31"/>
        <v>Error?</v>
      </c>
    </row>
    <row r="2057" spans="1:4" x14ac:dyDescent="0.2">
      <c r="A2057" s="5">
        <v>1996</v>
      </c>
      <c r="B2057" s="138">
        <f>'Cap Outlay Deprec 26'!L8</f>
        <v>16096087</v>
      </c>
      <c r="C2057" s="2" t="s">
        <v>573</v>
      </c>
      <c r="D2057" s="2" t="str">
        <f t="shared" si="31"/>
        <v>Error?</v>
      </c>
    </row>
    <row r="2058" spans="1:4" x14ac:dyDescent="0.2">
      <c r="A2058" s="5">
        <v>1997</v>
      </c>
      <c r="B2058" s="138">
        <f>'Cap Outlay Deprec 26'!L10</f>
        <v>2557640</v>
      </c>
      <c r="C2058" s="2" t="s">
        <v>573</v>
      </c>
      <c r="D2058" s="2" t="str">
        <f t="shared" si="31"/>
        <v>Error?</v>
      </c>
    </row>
    <row r="2059" spans="1:4" x14ac:dyDescent="0.2">
      <c r="A2059" s="5">
        <v>1998</v>
      </c>
      <c r="B2059" s="138">
        <f>'Cap Outlay Deprec 26'!L12</f>
        <v>620360</v>
      </c>
      <c r="C2059" s="2" t="s">
        <v>573</v>
      </c>
      <c r="D2059" s="2" t="str">
        <f t="shared" si="31"/>
        <v>Error?</v>
      </c>
    </row>
    <row r="2060" spans="1:4" x14ac:dyDescent="0.2">
      <c r="A2060" s="5">
        <v>1999</v>
      </c>
      <c r="B2060" s="138">
        <f>'Cap Outlay Deprec 26'!L13</f>
        <v>1366</v>
      </c>
      <c r="C2060" s="2" t="s">
        <v>573</v>
      </c>
      <c r="D2060" s="2" t="str">
        <f t="shared" si="31"/>
        <v>Error?</v>
      </c>
    </row>
    <row r="2061" spans="1:4" x14ac:dyDescent="0.2">
      <c r="A2061" s="5">
        <v>2000</v>
      </c>
      <c r="B2061" s="138">
        <f>'Cap Outlay Deprec 26'!L16</f>
        <v>20502680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97174</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105161</v>
      </c>
      <c r="C2088" s="2" t="s">
        <v>573</v>
      </c>
      <c r="D2088" s="2" t="str">
        <f t="shared" si="31"/>
        <v>Error?</v>
      </c>
    </row>
    <row r="2089" spans="1:4" x14ac:dyDescent="0.2">
      <c r="A2089" s="5">
        <v>2028</v>
      </c>
      <c r="B2089" s="138">
        <f>'Expenditures 15-22'!K92</f>
        <v>67430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599471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549738</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4956794</v>
      </c>
      <c r="C2551" s="2" t="s">
        <v>573</v>
      </c>
      <c r="D2551" s="2" t="str">
        <f t="shared" si="38"/>
        <v>Error?</v>
      </c>
    </row>
    <row r="2552" spans="1:4" x14ac:dyDescent="0.2">
      <c r="A2552" s="10">
        <v>2491</v>
      </c>
      <c r="D2552" s="2" t="str">
        <f t="shared" si="38"/>
        <v>OK</v>
      </c>
    </row>
    <row r="2553" spans="1:4" x14ac:dyDescent="0.2">
      <c r="A2553" s="5">
        <v>2492</v>
      </c>
      <c r="B2553" s="138">
        <f>'Acct Summary 7-8'!C6</f>
        <v>9617054</v>
      </c>
      <c r="C2553" s="2" t="s">
        <v>573</v>
      </c>
      <c r="D2553" s="2" t="str">
        <f t="shared" si="38"/>
        <v>Error?</v>
      </c>
    </row>
    <row r="2554" spans="1:4" x14ac:dyDescent="0.2">
      <c r="A2554" s="5">
        <v>2493</v>
      </c>
      <c r="B2554" s="138">
        <f>'Acct Summary 7-8'!C7</f>
        <v>2652974</v>
      </c>
      <c r="C2554" s="2" t="s">
        <v>573</v>
      </c>
      <c r="D2554" s="2" t="str">
        <f t="shared" si="38"/>
        <v>Error?</v>
      </c>
    </row>
    <row r="2555" spans="1:4" x14ac:dyDescent="0.2">
      <c r="A2555" s="5">
        <v>2494</v>
      </c>
      <c r="B2555" s="138">
        <f>'Acct Summary 7-8'!C8</f>
        <v>17227877</v>
      </c>
      <c r="C2555" s="2" t="s">
        <v>573</v>
      </c>
      <c r="D2555" s="2" t="str">
        <f t="shared" si="38"/>
        <v>Error?</v>
      </c>
    </row>
    <row r="2556" spans="1:4" x14ac:dyDescent="0.2">
      <c r="A2556" s="5">
        <v>2495</v>
      </c>
      <c r="B2556" s="138">
        <f>'Acct Summary 7-8'!C12</f>
        <v>11630716</v>
      </c>
      <c r="C2556" s="2" t="s">
        <v>573</v>
      </c>
      <c r="D2556" s="2" t="str">
        <f t="shared" si="38"/>
        <v>Error?</v>
      </c>
    </row>
    <row r="2557" spans="1:4" x14ac:dyDescent="0.2">
      <c r="A2557" s="5">
        <v>2496</v>
      </c>
      <c r="B2557" s="138">
        <f>'Acct Summary 7-8'!C13</f>
        <v>4287887</v>
      </c>
      <c r="C2557" s="2" t="s">
        <v>573</v>
      </c>
      <c r="D2557" s="2" t="str">
        <f t="shared" si="38"/>
        <v>Error?</v>
      </c>
    </row>
    <row r="2558" spans="1:4" x14ac:dyDescent="0.2">
      <c r="A2558" s="5">
        <v>2497</v>
      </c>
      <c r="B2558" s="138">
        <f>'Acct Summary 7-8'!C14</f>
        <v>30650</v>
      </c>
      <c r="C2558" s="2" t="s">
        <v>573</v>
      </c>
      <c r="D2558" s="2" t="str">
        <f t="shared" si="38"/>
        <v>Error?</v>
      </c>
    </row>
    <row r="2559" spans="1:4" x14ac:dyDescent="0.2">
      <c r="A2559" s="5">
        <v>2498</v>
      </c>
      <c r="B2559" s="138">
        <f>'Acct Summary 7-8'!C15</f>
        <v>172591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16121844</v>
      </c>
      <c r="C2561" s="2" t="s">
        <v>573</v>
      </c>
      <c r="D2561" s="2" t="str">
        <f t="shared" si="39"/>
        <v>Error?</v>
      </c>
    </row>
    <row r="2562" spans="1:4" x14ac:dyDescent="0.2">
      <c r="A2562" s="5">
        <v>2501</v>
      </c>
      <c r="B2562" s="138">
        <f>'Acct Summary 7-8'!C20</f>
        <v>1106033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960934</v>
      </c>
      <c r="C2564" s="2" t="s">
        <v>573</v>
      </c>
      <c r="D2564" s="2" t="str">
        <f t="shared" si="39"/>
        <v>Error?</v>
      </c>
    </row>
    <row r="2565" spans="1:4" x14ac:dyDescent="0.2">
      <c r="A2565" s="10">
        <v>2504</v>
      </c>
      <c r="D2565" s="2" t="str">
        <f t="shared" si="39"/>
        <v>OK</v>
      </c>
    </row>
    <row r="2566" spans="1:4" x14ac:dyDescent="0.2">
      <c r="A2566" s="5">
        <v>2505</v>
      </c>
      <c r="B2566" s="138">
        <f>'Acct Summary 7-8'!D6</f>
        <v>1438950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2399884</v>
      </c>
      <c r="C2568" s="2" t="s">
        <v>573</v>
      </c>
      <c r="D2568" s="2" t="str">
        <f t="shared" si="39"/>
        <v>Error?</v>
      </c>
    </row>
    <row r="2569" spans="1:4" x14ac:dyDescent="0.2">
      <c r="A2569" s="5">
        <v>2508</v>
      </c>
      <c r="B2569" s="138">
        <f>'Acct Summary 7-8'!D13</f>
        <v>2245473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2245473</v>
      </c>
      <c r="C2573" s="2" t="s">
        <v>573</v>
      </c>
      <c r="D2573" s="2" t="str">
        <f t="shared" si="39"/>
        <v>Error?</v>
      </c>
    </row>
    <row r="2574" spans="1:4" x14ac:dyDescent="0.2">
      <c r="A2574" s="5">
        <v>2513</v>
      </c>
      <c r="B2574" s="138">
        <f>'Acct Summary 7-8'!D20</f>
        <v>154411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278560</v>
      </c>
      <c r="C2591" s="2" t="s">
        <v>573</v>
      </c>
      <c r="D2591" s="2" t="str">
        <f t="shared" si="39"/>
        <v>Error?</v>
      </c>
    </row>
    <row r="2592" spans="1:4" x14ac:dyDescent="0.2">
      <c r="A2592" s="10">
        <v>2531</v>
      </c>
      <c r="D2592" s="2" t="str">
        <f t="shared" si="39"/>
        <v>OK</v>
      </c>
    </row>
    <row r="2593" spans="1:4" x14ac:dyDescent="0.2">
      <c r="A2593" s="5">
        <v>2532</v>
      </c>
      <c r="B2593" s="138">
        <f>'Acct Summary 7-8'!F6</f>
        <v>1304753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1583313</v>
      </c>
      <c r="C2595" s="2" t="s">
        <v>573</v>
      </c>
      <c r="D2595" s="2" t="str">
        <f t="shared" si="39"/>
        <v>Error?</v>
      </c>
    </row>
    <row r="2596" spans="1:4" x14ac:dyDescent="0.2">
      <c r="A2596" s="5">
        <v>2535</v>
      </c>
      <c r="B2596" s="138">
        <f>'Acct Summary 7-8'!F13</f>
        <v>1513894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1513894</v>
      </c>
      <c r="C2600" s="2" t="s">
        <v>573</v>
      </c>
      <c r="D2600" s="2" t="str">
        <f t="shared" si="39"/>
        <v>Error?</v>
      </c>
    </row>
    <row r="2601" spans="1:4" x14ac:dyDescent="0.2">
      <c r="A2601" s="5">
        <v>2540</v>
      </c>
      <c r="B2601" s="138">
        <f>'Acct Summary 7-8'!F20</f>
        <v>69419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572807</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572807</v>
      </c>
      <c r="C2606" s="2" t="s">
        <v>573</v>
      </c>
      <c r="D2606" s="2" t="str">
        <f t="shared" si="39"/>
        <v>Error?</v>
      </c>
    </row>
    <row r="2607" spans="1:4" x14ac:dyDescent="0.2">
      <c r="A2607" s="5">
        <v>2546</v>
      </c>
      <c r="B2607" s="138">
        <f>'Acct Summary 7-8'!G12</f>
        <v>279574</v>
      </c>
      <c r="C2607" s="2" t="s">
        <v>573</v>
      </c>
      <c r="D2607" s="2" t="str">
        <f t="shared" si="39"/>
        <v>Error?</v>
      </c>
    </row>
    <row r="2608" spans="1:4" x14ac:dyDescent="0.2">
      <c r="A2608" s="5">
        <v>2547</v>
      </c>
      <c r="B2608" s="138">
        <f>'Acct Summary 7-8'!G13</f>
        <v>316765</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596339</v>
      </c>
      <c r="C2612" s="2" t="s">
        <v>573</v>
      </c>
      <c r="D2612" s="2" t="str">
        <f t="shared" si="39"/>
        <v>Error?</v>
      </c>
    </row>
    <row r="2613" spans="1:4" x14ac:dyDescent="0.2">
      <c r="A2613" s="5">
        <v>2552</v>
      </c>
      <c r="B2613" s="138">
        <f>'Acct Summary 7-8'!G20</f>
        <v>-23532</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709908</v>
      </c>
      <c r="C2630" s="2" t="s">
        <v>573</v>
      </c>
      <c r="D2630" s="2" t="str">
        <f t="shared" si="40"/>
        <v>Error?</v>
      </c>
    </row>
    <row r="2631" spans="1:4" x14ac:dyDescent="0.2">
      <c r="A2631" s="5">
        <v>2570</v>
      </c>
      <c r="B2631" s="138">
        <f>'Acct Summary 7-8'!E6</f>
        <v>49964</v>
      </c>
      <c r="C2631" s="2" t="s">
        <v>573</v>
      </c>
      <c r="D2631" s="2" t="str">
        <f t="shared" si="40"/>
        <v>Error?</v>
      </c>
    </row>
    <row r="2632" spans="1:4" x14ac:dyDescent="0.2">
      <c r="A2632" s="5">
        <v>2571</v>
      </c>
      <c r="B2632" s="138">
        <f>'Acct Summary 7-8'!E8</f>
        <v>759872</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701424</v>
      </c>
      <c r="C2634" s="2" t="s">
        <v>573</v>
      </c>
      <c r="D2634" s="2" t="str">
        <f t="shared" si="40"/>
        <v>Error?</v>
      </c>
    </row>
    <row r="2635" spans="1:4" x14ac:dyDescent="0.2">
      <c r="A2635" s="5">
        <v>2574</v>
      </c>
      <c r="B2635" s="138">
        <f>'Acct Summary 7-8'!E17</f>
        <v>701424</v>
      </c>
      <c r="C2635" s="2" t="s">
        <v>573</v>
      </c>
      <c r="D2635" s="2" t="str">
        <f t="shared" si="40"/>
        <v>Error?</v>
      </c>
    </row>
    <row r="2636" spans="1:4" x14ac:dyDescent="0.2">
      <c r="A2636" s="5">
        <v>2575</v>
      </c>
      <c r="B2636" s="138">
        <f>'Acct Summary 7-8'!E20</f>
        <v>58448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625</v>
      </c>
      <c r="C2655" s="2" t="s">
        <v>573</v>
      </c>
      <c r="D2655" s="2" t="str">
        <f t="shared" si="40"/>
        <v>Error?</v>
      </c>
    </row>
    <row r="2656" spans="1:4" x14ac:dyDescent="0.2">
      <c r="A2656" s="5">
        <v>2595</v>
      </c>
      <c r="B2656" s="138">
        <f>'Acct Summary 7-8'!H6</f>
        <v>99636</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100261</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100261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4375</v>
      </c>
      <c r="D2718" s="2" t="str">
        <f t="shared" si="41"/>
        <v>Error?</v>
      </c>
    </row>
    <row r="2719" spans="1:4" x14ac:dyDescent="0.2">
      <c r="A2719" s="5">
        <v>2658</v>
      </c>
      <c r="B2719" s="138">
        <f>'Expenditures 15-22'!D51</f>
        <v>677</v>
      </c>
      <c r="D2719" s="2" t="str">
        <f t="shared" si="41"/>
        <v>Error?</v>
      </c>
    </row>
    <row r="2720" spans="1:4" x14ac:dyDescent="0.2">
      <c r="A2720" s="5">
        <v>2659</v>
      </c>
      <c r="B2720" s="138">
        <f>'Expenditures 15-22'!E51</f>
        <v>14965</v>
      </c>
      <c r="D2720" s="2" t="str">
        <f t="shared" si="41"/>
        <v>Error?</v>
      </c>
    </row>
    <row r="2721" spans="1:4" x14ac:dyDescent="0.2">
      <c r="A2721" s="5">
        <v>2660</v>
      </c>
      <c r="B2721" s="138">
        <f>'Expenditures 15-22'!F51</f>
        <v>5222</v>
      </c>
      <c r="D2721" s="2" t="str">
        <f t="shared" si="41"/>
        <v>Error?</v>
      </c>
    </row>
    <row r="2722" spans="1:4" x14ac:dyDescent="0.2">
      <c r="A2722" s="5">
        <v>2661</v>
      </c>
      <c r="B2722" s="138">
        <f>'Expenditures 15-22'!G51</f>
        <v>26446</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51685</v>
      </c>
      <c r="C2724" s="2" t="s">
        <v>573</v>
      </c>
      <c r="D2724" s="2" t="str">
        <f t="shared" si="41"/>
        <v>Error?</v>
      </c>
    </row>
    <row r="2725" spans="1:4" x14ac:dyDescent="0.2">
      <c r="A2725" s="5">
        <v>2664</v>
      </c>
      <c r="B2725" s="138">
        <f>'Expenditures 15-22'!D247</f>
        <v>64</v>
      </c>
      <c r="D2725" s="2" t="str">
        <f t="shared" si="41"/>
        <v>Error?</v>
      </c>
    </row>
    <row r="2726" spans="1:4" x14ac:dyDescent="0.2">
      <c r="A2726" s="5">
        <v>2665</v>
      </c>
      <c r="B2726" s="138">
        <f>'Expenditures 15-22'!K247</f>
        <v>64</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7987</v>
      </c>
      <c r="C2789" s="2" t="s">
        <v>573</v>
      </c>
      <c r="D2789" s="2" t="str">
        <f t="shared" si="42"/>
        <v>Error?</v>
      </c>
    </row>
    <row r="2790" spans="1:4" x14ac:dyDescent="0.2">
      <c r="A2790" s="5">
        <v>2729</v>
      </c>
      <c r="B2790" s="138">
        <f>'Expenditures 15-22'!E102</f>
        <v>7987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2850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136</v>
      </c>
      <c r="D2858" s="2" t="str">
        <f t="shared" si="43"/>
        <v>Error?</v>
      </c>
    </row>
    <row r="2859" spans="1:4" x14ac:dyDescent="0.2">
      <c r="A2859" s="10">
        <v>2798</v>
      </c>
      <c r="D2859" s="2" t="str">
        <f t="shared" si="43"/>
        <v>OK</v>
      </c>
    </row>
    <row r="2860" spans="1:4" x14ac:dyDescent="0.2">
      <c r="A2860" s="5">
        <v>2799</v>
      </c>
      <c r="B2860" s="138">
        <f>'ICR Computation 30'!E14</f>
        <v>4883</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392</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162631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212358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162631</v>
      </c>
      <c r="D2912" s="2" t="str">
        <f t="shared" si="44"/>
        <v>Error?</v>
      </c>
    </row>
    <row r="2913" spans="1:4" x14ac:dyDescent="0.2">
      <c r="A2913" s="5">
        <v>2852</v>
      </c>
      <c r="B2913" s="138">
        <f>'Assets-Liab 5-6'!I41</f>
        <v>162631</v>
      </c>
      <c r="C2913" s="2" t="s">
        <v>573</v>
      </c>
      <c r="D2913" s="2" t="str">
        <f t="shared" si="44"/>
        <v>Error?</v>
      </c>
    </row>
    <row r="2914" spans="1:4" x14ac:dyDescent="0.2">
      <c r="A2914" s="5">
        <v>2853</v>
      </c>
      <c r="B2914" s="138">
        <f>'Assets-Liab 5-6'!L33</f>
        <v>212358</v>
      </c>
      <c r="D2914" s="2" t="str">
        <f t="shared" si="44"/>
        <v>Error?</v>
      </c>
    </row>
    <row r="2915" spans="1:4" x14ac:dyDescent="0.2">
      <c r="A2915" s="10">
        <v>2854</v>
      </c>
      <c r="D2915" s="2" t="str">
        <f t="shared" si="44"/>
        <v>OK</v>
      </c>
    </row>
    <row r="2916" spans="1:4" x14ac:dyDescent="0.2">
      <c r="A2916" s="5">
        <v>2855</v>
      </c>
      <c r="B2916" s="138">
        <f>'Assets-Liab 5-6'!L34</f>
        <v>212358</v>
      </c>
      <c r="C2916" s="2" t="s">
        <v>573</v>
      </c>
      <c r="D2916" s="2" t="str">
        <f t="shared" si="44"/>
        <v>Error?</v>
      </c>
    </row>
    <row r="2917" spans="1:4" x14ac:dyDescent="0.2">
      <c r="A2917" s="5">
        <v>2856</v>
      </c>
      <c r="B2917" s="138">
        <f>'Assets-Liab 5-6'!L41</f>
        <v>212358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7987</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3188</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17690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76296</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11175</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17690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76296</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393053</v>
      </c>
      <c r="D3055" s="2" t="str">
        <f t="shared" si="46"/>
        <v>Error?</v>
      </c>
    </row>
    <row r="3056" spans="1:4" x14ac:dyDescent="0.2">
      <c r="A3056" s="5">
        <v>2995</v>
      </c>
      <c r="B3056" s="138">
        <f>'Expenditures 15-22'!D10</f>
        <v>90870</v>
      </c>
      <c r="D3056" s="2" t="str">
        <f t="shared" si="46"/>
        <v>Error?</v>
      </c>
    </row>
    <row r="3057" spans="1:4" x14ac:dyDescent="0.2">
      <c r="A3057" s="5">
        <v>2996</v>
      </c>
      <c r="B3057" s="138">
        <f>'Expenditures 15-22'!E10</f>
        <v>4200</v>
      </c>
      <c r="D3057" s="2" t="str">
        <f t="shared" si="46"/>
        <v>Error?</v>
      </c>
    </row>
    <row r="3058" spans="1:4" x14ac:dyDescent="0.2">
      <c r="A3058" s="5">
        <v>2997</v>
      </c>
      <c r="B3058" s="138">
        <f>'Expenditures 15-22'!F10</f>
        <v>188774</v>
      </c>
      <c r="D3058" s="2" t="str">
        <f t="shared" si="46"/>
        <v>Error?</v>
      </c>
    </row>
    <row r="3059" spans="1:4" x14ac:dyDescent="0.2">
      <c r="A3059" s="5">
        <v>2998</v>
      </c>
      <c r="B3059" s="138">
        <f>'Expenditures 15-22'!G10</f>
        <v>9499</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686396</v>
      </c>
      <c r="C3062" s="2" t="s">
        <v>573</v>
      </c>
      <c r="D3062" s="2" t="str">
        <f t="shared" si="46"/>
        <v>Error?</v>
      </c>
    </row>
    <row r="3063" spans="1:4" x14ac:dyDescent="0.2">
      <c r="A3063" s="10">
        <v>3002</v>
      </c>
      <c r="D3063" s="2" t="str">
        <f t="shared" si="46"/>
        <v>OK</v>
      </c>
    </row>
    <row r="3064" spans="1:4" x14ac:dyDescent="0.2">
      <c r="A3064" s="5">
        <v>3003</v>
      </c>
      <c r="B3064" s="138">
        <f>'Expenditures 15-22'!D219</f>
        <v>46648</v>
      </c>
      <c r="D3064" s="2" t="str">
        <f t="shared" si="46"/>
        <v>Error?</v>
      </c>
    </row>
    <row r="3065" spans="1:4" x14ac:dyDescent="0.2">
      <c r="A3065" s="5">
        <v>3004</v>
      </c>
      <c r="B3065" s="138">
        <f>'Expenditures 15-22'!K219</f>
        <v>46648</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67742</v>
      </c>
      <c r="C3225" s="2" t="s">
        <v>573</v>
      </c>
      <c r="D3225" s="2" t="str">
        <f t="shared" si="49"/>
        <v>Error?</v>
      </c>
    </row>
    <row r="3226" spans="1:4" x14ac:dyDescent="0.2">
      <c r="A3226" s="5">
        <v>3165</v>
      </c>
      <c r="B3226" s="138">
        <f>'Acct Summary 7-8'!I8</f>
        <v>67742</v>
      </c>
      <c r="C3226" s="2" t="s">
        <v>573</v>
      </c>
      <c r="D3226" s="2" t="str">
        <f t="shared" si="49"/>
        <v>Error?</v>
      </c>
    </row>
    <row r="3227" spans="1:4" x14ac:dyDescent="0.2">
      <c r="A3227" s="5">
        <v>3166</v>
      </c>
      <c r="B3227" s="138">
        <f>'Acct Summary 7-8'!I20</f>
        <v>67742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1106033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154411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69419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-23532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58448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100261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67742</v>
      </c>
      <c r="C3320" s="2" t="s">
        <v>573</v>
      </c>
      <c r="D3320" s="2" t="str">
        <f t="shared" si="50"/>
        <v>Error?</v>
      </c>
    </row>
    <row r="3321" spans="1:4" x14ac:dyDescent="0.2">
      <c r="A3321" s="5">
        <v>3260</v>
      </c>
      <c r="B3321" s="138">
        <f>'Acct Summary 7-8'!I79</f>
        <v>94889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162631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2101627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498385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19834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9902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600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2630348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96963</v>
      </c>
      <c r="D3387" s="2" t="str">
        <f t="shared" si="51"/>
        <v>Error?</v>
      </c>
    </row>
    <row r="3388" spans="1:4" x14ac:dyDescent="0.2">
      <c r="A3388" s="5">
        <v>3327</v>
      </c>
      <c r="B3388" s="138">
        <f>'Expenditures 15-22'!D217</f>
        <v>112428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96963</v>
      </c>
      <c r="C3390" s="2" t="s">
        <v>573</v>
      </c>
      <c r="D3390" s="2" t="str">
        <f t="shared" si="51"/>
        <v>Error?</v>
      </c>
    </row>
    <row r="3391" spans="1:4" x14ac:dyDescent="0.2">
      <c r="A3391" s="5">
        <v>3330</v>
      </c>
      <c r="B3391" s="138">
        <f>'Expenditures 15-22'!K217</f>
        <v>112428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1055</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3848475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35633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434738</v>
      </c>
      <c r="D3417" s="2" t="str">
        <f t="shared" si="52"/>
        <v>Error?</v>
      </c>
    </row>
    <row r="3418" spans="1:4" x14ac:dyDescent="0.2">
      <c r="A3418" s="10">
        <v>3357</v>
      </c>
      <c r="D3418" s="2" t="str">
        <f t="shared" si="52"/>
        <v>OK</v>
      </c>
    </row>
    <row r="3419" spans="1:4" x14ac:dyDescent="0.2">
      <c r="A3419" s="5">
        <v>3358</v>
      </c>
      <c r="B3419" s="138">
        <f>'Assets-Liab 5-6'!F4</f>
        <v>62617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544993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92515</v>
      </c>
      <c r="D3425" s="2" t="str">
        <f t="shared" si="52"/>
        <v>Error?</v>
      </c>
    </row>
    <row r="3426" spans="1:4" x14ac:dyDescent="0.2">
      <c r="A3426" s="10">
        <v>3365</v>
      </c>
      <c r="D3426" s="2" t="str">
        <f t="shared" si="52"/>
        <v>OK</v>
      </c>
    </row>
    <row r="3427" spans="1:4" x14ac:dyDescent="0.2">
      <c r="A3427" s="5">
        <v>3366</v>
      </c>
      <c r="B3427" s="138">
        <f>'Assets-Liab 5-6'!I4</f>
        <v>162239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212358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227751</v>
      </c>
      <c r="C3446" s="2" t="s">
        <v>573</v>
      </c>
      <c r="D3446" s="2" t="str">
        <f t="shared" si="52"/>
        <v>Error?</v>
      </c>
    </row>
    <row r="3447" spans="1:4" x14ac:dyDescent="0.2">
      <c r="A3447" s="5">
        <v>3386</v>
      </c>
      <c r="B3447" s="138">
        <f>'Tax Sched 23'!D16</f>
        <v>227751</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234174</v>
      </c>
      <c r="C3449" s="2" t="s">
        <v>573</v>
      </c>
      <c r="D3449" s="2" t="str">
        <f t="shared" si="52"/>
        <v>Error?</v>
      </c>
    </row>
    <row r="3450" spans="1:4" x14ac:dyDescent="0.2">
      <c r="A3450" s="5">
        <v>3389</v>
      </c>
      <c r="B3450" s="138">
        <f>'Tax Sched 23'!E16</f>
        <v>234174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34737</v>
      </c>
      <c r="C3725" s="2" t="s">
        <v>573</v>
      </c>
      <c r="D3725" s="2" t="str">
        <f t="shared" si="57"/>
        <v>Error?</v>
      </c>
    </row>
    <row r="3726" spans="1:4" x14ac:dyDescent="0.2">
      <c r="A3726" s="5">
        <v>3665</v>
      </c>
      <c r="B3726" s="138">
        <f>'Tax Sched 23'!D13</f>
        <v>34737</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35721</v>
      </c>
      <c r="C3728" s="2" t="s">
        <v>573</v>
      </c>
      <c r="D3728" s="2" t="str">
        <f t="shared" si="57"/>
        <v>Error?</v>
      </c>
    </row>
    <row r="3729" spans="1:4" x14ac:dyDescent="0.2">
      <c r="A3729" s="5">
        <v>3668</v>
      </c>
      <c r="B3729" s="138">
        <f>'Tax Sched 23'!E13</f>
        <v>35721</v>
      </c>
      <c r="D3729" s="2" t="str">
        <f t="shared" si="57"/>
        <v>Error?</v>
      </c>
    </row>
    <row r="3730" spans="1:4" x14ac:dyDescent="0.2">
      <c r="A3730" s="5">
        <v>3669</v>
      </c>
      <c r="B3730" s="138">
        <f>'ICR Computation 30'!E10</f>
        <v>537334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6633450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23861327</v>
      </c>
      <c r="C4122" s="2" t="s">
        <v>573</v>
      </c>
      <c r="D4122" s="2" t="str">
        <f t="shared" si="63"/>
        <v>Error?</v>
      </c>
    </row>
    <row r="4123" spans="1:4" x14ac:dyDescent="0.2">
      <c r="A4123" s="5">
        <v>4062</v>
      </c>
      <c r="B4123" s="138">
        <f>'Acct Summary 7-8'!D10</f>
        <v>2399884</v>
      </c>
      <c r="C4123" s="2" t="s">
        <v>573</v>
      </c>
      <c r="D4123" s="2" t="str">
        <f t="shared" si="63"/>
        <v>Error?</v>
      </c>
    </row>
    <row r="4124" spans="1:4" x14ac:dyDescent="0.2">
      <c r="A4124" s="5">
        <v>4063</v>
      </c>
      <c r="B4124" s="138">
        <f>'Acct Summary 7-8'!E10</f>
        <v>759872</v>
      </c>
      <c r="C4124" s="2" t="s">
        <v>573</v>
      </c>
      <c r="D4124" s="2" t="str">
        <f t="shared" si="63"/>
        <v>Error?</v>
      </c>
    </row>
    <row r="4125" spans="1:4" x14ac:dyDescent="0.2">
      <c r="A4125" s="5">
        <v>4064</v>
      </c>
      <c r="B4125" s="138">
        <f>'Acct Summary 7-8'!F10</f>
        <v>1583313</v>
      </c>
      <c r="C4125" s="2" t="s">
        <v>573</v>
      </c>
      <c r="D4125" s="2" t="str">
        <f t="shared" si="63"/>
        <v>Error?</v>
      </c>
    </row>
    <row r="4126" spans="1:4" x14ac:dyDescent="0.2">
      <c r="A4126" s="5">
        <v>4065</v>
      </c>
      <c r="B4126" s="138">
        <f>'Acct Summary 7-8'!G10</f>
        <v>572807</v>
      </c>
      <c r="C4126" s="2" t="s">
        <v>573</v>
      </c>
      <c r="D4126" s="2" t="str">
        <f t="shared" si="63"/>
        <v>Error?</v>
      </c>
    </row>
    <row r="4127" spans="1:4" x14ac:dyDescent="0.2">
      <c r="A4127" s="5">
        <v>4066</v>
      </c>
      <c r="B4127" s="138">
        <f>'Acct Summary 7-8'!H10</f>
        <v>100261</v>
      </c>
      <c r="C4127" s="2" t="s">
        <v>573</v>
      </c>
      <c r="D4127" s="2" t="str">
        <f t="shared" si="63"/>
        <v>Error?</v>
      </c>
    </row>
    <row r="4128" spans="1:4" x14ac:dyDescent="0.2">
      <c r="A4128" s="5">
        <v>4067</v>
      </c>
      <c r="B4128" s="138">
        <f>'Acct Summary 7-8'!I10</f>
        <v>67742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6633450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22755294</v>
      </c>
      <c r="C4136" s="2" t="s">
        <v>573</v>
      </c>
      <c r="D4136" s="2" t="str">
        <f t="shared" si="63"/>
        <v>Error?</v>
      </c>
    </row>
    <row r="4137" spans="1:4" x14ac:dyDescent="0.2">
      <c r="A4137" s="5">
        <v>4076</v>
      </c>
      <c r="B4137" s="138">
        <f>'Acct Summary 7-8'!D19</f>
        <v>2245473</v>
      </c>
      <c r="C4137" s="2" t="s">
        <v>573</v>
      </c>
      <c r="D4137" s="2" t="str">
        <f t="shared" si="63"/>
        <v>Error?</v>
      </c>
    </row>
    <row r="4138" spans="1:4" x14ac:dyDescent="0.2">
      <c r="A4138" s="5">
        <v>4077</v>
      </c>
      <c r="B4138" s="138">
        <f>'Acct Summary 7-8'!E19</f>
        <v>701424</v>
      </c>
      <c r="C4138" s="2" t="s">
        <v>573</v>
      </c>
      <c r="D4138" s="2" t="str">
        <f t="shared" si="63"/>
        <v>Error?</v>
      </c>
    </row>
    <row r="4139" spans="1:4" x14ac:dyDescent="0.2">
      <c r="A4139" s="5">
        <v>4078</v>
      </c>
      <c r="B4139" s="138">
        <f>'Acct Summary 7-8'!F19</f>
        <v>1513894</v>
      </c>
      <c r="C4139" s="2" t="s">
        <v>573</v>
      </c>
      <c r="D4139" s="2" t="str">
        <f t="shared" si="63"/>
        <v>Error?</v>
      </c>
    </row>
    <row r="4140" spans="1:4" x14ac:dyDescent="0.2">
      <c r="A4140" s="5">
        <v>4079</v>
      </c>
      <c r="B4140" s="138">
        <f>'Acct Summary 7-8'!G19</f>
        <v>596339</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2769100</v>
      </c>
      <c r="C4171" s="2" t="s">
        <v>573</v>
      </c>
      <c r="D4171" s="2" t="str">
        <f t="shared" si="64"/>
        <v>Error?</v>
      </c>
    </row>
    <row r="4172" spans="1:4" x14ac:dyDescent="0.2">
      <c r="A4172" s="5">
        <v>4111</v>
      </c>
      <c r="B4172" s="138">
        <f>'Short-Term Long-Term Debt 24'!J49</f>
        <v>2219362</v>
      </c>
      <c r="C4172" s="2" t="s">
        <v>573</v>
      </c>
      <c r="D4172" s="2" t="str">
        <f t="shared" si="64"/>
        <v>Error?</v>
      </c>
    </row>
    <row r="4173" spans="1:4" x14ac:dyDescent="0.2">
      <c r="A4173" s="5">
        <v>4112</v>
      </c>
      <c r="B4173" s="138">
        <f>'Short-Term Long-Term Debt 24'!H49</f>
        <v>638600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2811.44</v>
      </c>
      <c r="C4265" s="2" t="s">
        <v>573</v>
      </c>
      <c r="D4265" s="2" t="str">
        <f t="shared" si="65"/>
        <v>Error?</v>
      </c>
      <c r="E4265" s="128"/>
    </row>
    <row r="4266" spans="1:5" x14ac:dyDescent="0.2">
      <c r="A4266" s="12">
        <v>4205</v>
      </c>
      <c r="B4266" s="138">
        <f>('FP Info 3'!F10)*100000</f>
        <v>534.95000000000005</v>
      </c>
      <c r="C4266" s="2" t="s">
        <v>573</v>
      </c>
      <c r="D4266" s="2" t="str">
        <f t="shared" si="65"/>
        <v>Error?</v>
      </c>
      <c r="E4266" s="128"/>
    </row>
    <row r="4267" spans="1:5" x14ac:dyDescent="0.2">
      <c r="A4267" s="12">
        <v>4206</v>
      </c>
      <c r="B4267" s="138">
        <f>('FP Info 3'!H10)*100000</f>
        <v>198.88000000000002</v>
      </c>
      <c r="C4267" s="2" t="s">
        <v>573</v>
      </c>
      <c r="D4267" s="2" t="str">
        <f t="shared" si="65"/>
        <v>Error?</v>
      </c>
      <c r="E4267" s="128"/>
    </row>
    <row r="4268" spans="1:5" x14ac:dyDescent="0.2">
      <c r="A4268" s="12">
        <v>4207</v>
      </c>
      <c r="B4268" s="138">
        <f>('FP Info 3'!J10)*100000</f>
        <v>3545.0000000000005</v>
      </c>
      <c r="C4268" s="2" t="s">
        <v>573</v>
      </c>
      <c r="D4268" s="2" t="str">
        <f t="shared" si="65"/>
        <v>Error?</v>
      </c>
    </row>
    <row r="4269" spans="1:5" x14ac:dyDescent="0.2">
      <c r="A4269" s="12">
        <v>4208</v>
      </c>
      <c r="B4269" s="138">
        <f>'FP Info 3'!J16</f>
        <v>6276369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32114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260509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37861</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37861</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97441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49.620000000000005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21855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140081076</v>
      </c>
      <c r="D4995" s="2" t="str">
        <f t="shared" si="77"/>
        <v>Error?</v>
      </c>
    </row>
    <row r="4996" spans="1:4" x14ac:dyDescent="0.2">
      <c r="A4996" s="12">
        <v>4935</v>
      </c>
      <c r="B4996" s="138">
        <f>'FP Info 3'!H31</f>
        <v>19331188.488000002</v>
      </c>
      <c r="D4996" s="2" t="str">
        <f t="shared" si="77"/>
        <v>Error?</v>
      </c>
    </row>
    <row r="4997" spans="1:4" x14ac:dyDescent="0.2">
      <c r="A4997" s="12">
        <v>4936</v>
      </c>
      <c r="B4997" s="138">
        <f>'FP Info 3'!H37</f>
        <v>2769100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3830436</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3830436</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552108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552108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70685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70685</v>
      </c>
      <c r="C5090" s="2" t="s">
        <v>573</v>
      </c>
      <c r="D5090" s="2" t="str">
        <f t="shared" si="78"/>
        <v>Error?</v>
      </c>
    </row>
    <row r="5091" spans="1:4" x14ac:dyDescent="0.2">
      <c r="A5091" s="5">
        <v>5030</v>
      </c>
      <c r="B5091" s="138">
        <f>'Revenues 9-14'!C70</f>
        <v>2254</v>
      </c>
      <c r="D5091" s="2" t="str">
        <f t="shared" si="78"/>
        <v>Error?</v>
      </c>
    </row>
    <row r="5092" spans="1:4" x14ac:dyDescent="0.2">
      <c r="A5092" s="5">
        <v>5031</v>
      </c>
      <c r="B5092" s="138">
        <f>'Revenues 9-14'!C71</f>
        <v>194036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15745</v>
      </c>
      <c r="D5094" s="2" t="str">
        <f t="shared" si="78"/>
        <v>Error?</v>
      </c>
    </row>
    <row r="5095" spans="1:4" x14ac:dyDescent="0.2">
      <c r="A5095" s="5">
        <v>5034</v>
      </c>
      <c r="B5095" s="138">
        <f>'Revenues 9-14'!C74</f>
        <v>4046</v>
      </c>
      <c r="D5095" s="2" t="str">
        <f t="shared" si="78"/>
        <v>Error?</v>
      </c>
    </row>
    <row r="5096" spans="1:4" x14ac:dyDescent="0.2">
      <c r="A5096" s="5">
        <v>5035</v>
      </c>
      <c r="B5096" s="138">
        <f>'Revenues 9-14'!C75</f>
        <v>255729</v>
      </c>
      <c r="C5096" s="2" t="s">
        <v>573</v>
      </c>
      <c r="D5096" s="2" t="str">
        <f t="shared" si="78"/>
        <v>Error?</v>
      </c>
    </row>
    <row r="5097" spans="1:4" x14ac:dyDescent="0.2">
      <c r="A5097" s="5">
        <v>5036</v>
      </c>
      <c r="B5097" s="138">
        <f>'Revenues 9-14'!C77</f>
        <v>39867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39867</v>
      </c>
      <c r="C5102" s="2" t="s">
        <v>573</v>
      </c>
      <c r="D5102" s="2" t="str">
        <f t="shared" si="78"/>
        <v>Error?</v>
      </c>
    </row>
    <row r="5103" spans="1:4" x14ac:dyDescent="0.2">
      <c r="A5103" s="5">
        <v>5042</v>
      </c>
      <c r="B5103" s="138">
        <f>'Revenues 9-14'!C84</f>
        <v>20496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20496</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167752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19721</v>
      </c>
      <c r="D5119" s="2" t="str">
        <f t="shared" ref="D5119:D5182" si="79">IF(ISBLANK(B5119),"OK",IF(A5119-B5119=0,"OK","Error?"))</f>
        <v>Error?</v>
      </c>
    </row>
    <row r="5120" spans="1:4" x14ac:dyDescent="0.2">
      <c r="A5120" s="5">
        <v>5059</v>
      </c>
      <c r="B5120" s="138">
        <f>'Revenues 9-14'!C108</f>
        <v>187473</v>
      </c>
      <c r="C5120" s="2" t="s">
        <v>573</v>
      </c>
      <c r="D5120" s="2" t="str">
        <f t="shared" si="79"/>
        <v>Error?</v>
      </c>
    </row>
    <row r="5121" spans="1:4" x14ac:dyDescent="0.2">
      <c r="A5121" s="5">
        <v>5060</v>
      </c>
      <c r="B5121" s="138">
        <f>'Revenues 9-14'!C109</f>
        <v>4956794</v>
      </c>
      <c r="C5121" s="2" t="s">
        <v>573</v>
      </c>
      <c r="D5121" s="2" t="str">
        <f t="shared" si="79"/>
        <v>Error?</v>
      </c>
    </row>
    <row r="5122" spans="1:4" x14ac:dyDescent="0.2">
      <c r="A5122" s="5">
        <v>5061</v>
      </c>
      <c r="B5122" s="138">
        <f>'Revenues 9-14'!C111</f>
        <v>1055</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1055</v>
      </c>
      <c r="C5125" s="2" t="s">
        <v>573</v>
      </c>
      <c r="D5125" s="2" t="str">
        <f t="shared" si="79"/>
        <v>Error?</v>
      </c>
    </row>
    <row r="5126" spans="1:4" x14ac:dyDescent="0.2">
      <c r="A5126" s="5">
        <v>5065</v>
      </c>
      <c r="B5126" s="138">
        <f>'Revenues 9-14'!C117</f>
        <v>9003432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9003432</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64485</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64485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33584</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16586</v>
      </c>
      <c r="D5167" s="2" t="str">
        <f t="shared" si="79"/>
        <v>Error?</v>
      </c>
    </row>
    <row r="5168" spans="1:4" x14ac:dyDescent="0.2">
      <c r="A5168" s="5">
        <v>5107</v>
      </c>
      <c r="B5168" s="138">
        <f>'Revenues 9-14'!C148</f>
        <v>25635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451477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613622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9617054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516099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196842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712941</v>
      </c>
      <c r="C5246" s="2" t="s">
        <v>573</v>
      </c>
      <c r="D5246" s="2" t="str">
        <f t="shared" si="80"/>
        <v>Error?</v>
      </c>
    </row>
    <row r="5247" spans="1:4" x14ac:dyDescent="0.2">
      <c r="A5247" s="5">
        <v>5186</v>
      </c>
      <c r="B5247" s="138">
        <f>'Revenues 9-14'!C200</f>
        <v>970863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970863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41575</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484911</v>
      </c>
      <c r="D5278" s="2" t="str">
        <f t="shared" si="81"/>
        <v>Error?</v>
      </c>
    </row>
    <row r="5279" spans="1:4" x14ac:dyDescent="0.2">
      <c r="A5279" s="5">
        <v>5218</v>
      </c>
      <c r="B5279" s="138">
        <f>'Revenues 9-14'!C214</f>
        <v>14759</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541245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2652974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2652974</v>
      </c>
      <c r="C5326" s="2" t="s">
        <v>573</v>
      </c>
      <c r="D5326" s="2" t="str">
        <f t="shared" si="82"/>
        <v>Error?</v>
      </c>
    </row>
    <row r="5327" spans="1:5" x14ac:dyDescent="0.2">
      <c r="A5327" s="5">
        <v>5266</v>
      </c>
      <c r="B5327" s="138">
        <f>'Revenues 9-14'!C268</f>
        <v>17227877</v>
      </c>
      <c r="C5327" s="2" t="s">
        <v>573</v>
      </c>
      <c r="D5327" s="2" t="str">
        <f t="shared" si="82"/>
        <v>Error?</v>
      </c>
    </row>
    <row r="5328" spans="1:5" x14ac:dyDescent="0.2">
      <c r="A5328" s="5">
        <v>5267</v>
      </c>
      <c r="B5328" s="138">
        <f>'Revenues 9-14'!D5</f>
        <v>728836</v>
      </c>
      <c r="D5328" s="2" t="str">
        <f t="shared" si="82"/>
        <v>Error?</v>
      </c>
    </row>
    <row r="5329" spans="1:4" x14ac:dyDescent="0.2">
      <c r="A5329" s="10">
        <v>5268</v>
      </c>
      <c r="D5329" s="2" t="str">
        <f t="shared" si="82"/>
        <v>OK</v>
      </c>
    </row>
    <row r="5330" spans="1:4" x14ac:dyDescent="0.2">
      <c r="A5330" s="5">
        <v>5269</v>
      </c>
      <c r="B5330" s="138">
        <f>'Revenues 9-14'!D6</f>
        <v>34737</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763573</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193320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193320</v>
      </c>
      <c r="C5339" s="2" t="s">
        <v>573</v>
      </c>
      <c r="D5339" s="2" t="str">
        <f t="shared" si="82"/>
        <v>Error?</v>
      </c>
    </row>
    <row r="5340" spans="1:4" x14ac:dyDescent="0.2">
      <c r="A5340" s="5">
        <v>5279</v>
      </c>
      <c r="B5340" s="138">
        <f>'Revenues 9-14'!D65</f>
        <v>2518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2518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1523</v>
      </c>
      <c r="D5354" s="2" t="str">
        <f t="shared" si="82"/>
        <v>Error?</v>
      </c>
    </row>
    <row r="5355" spans="1:4" x14ac:dyDescent="0.2">
      <c r="A5355" s="5">
        <v>5294</v>
      </c>
      <c r="B5355" s="138">
        <f>'Revenues 9-14'!D108</f>
        <v>1523</v>
      </c>
      <c r="C5355" s="2" t="s">
        <v>573</v>
      </c>
      <c r="D5355" s="2" t="str">
        <f t="shared" si="82"/>
        <v>Error?</v>
      </c>
    </row>
    <row r="5356" spans="1:4" x14ac:dyDescent="0.2">
      <c r="A5356" s="5">
        <v>5295</v>
      </c>
      <c r="B5356" s="138">
        <f>'Revenues 9-14'!D109</f>
        <v>960934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1438950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1438950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1438950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2399884</v>
      </c>
      <c r="C5508" s="2" t="s">
        <v>573</v>
      </c>
      <c r="D5508" s="2" t="str">
        <f t="shared" si="85"/>
        <v>Error?</v>
      </c>
    </row>
    <row r="5509" spans="1:4" x14ac:dyDescent="0.2">
      <c r="A5509" s="5">
        <v>5448</v>
      </c>
      <c r="B5509" s="138">
        <f>'Revenues 9-14'!E5</f>
        <v>709089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709089</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819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819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709908</v>
      </c>
      <c r="C5527" s="2" t="s">
        <v>573</v>
      </c>
      <c r="D5527" s="2" t="str">
        <f t="shared" si="85"/>
        <v>Error?</v>
      </c>
    </row>
    <row r="5528" spans="1:4" x14ac:dyDescent="0.2">
      <c r="A5528" s="5">
        <v>5467</v>
      </c>
      <c r="B5528" s="138">
        <f>'Revenues 9-14'!E117</f>
        <v>49964</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49964</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49964</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759872</v>
      </c>
      <c r="C5552" s="2" t="s">
        <v>573</v>
      </c>
      <c r="D5552" s="2" t="str">
        <f t="shared" si="85"/>
        <v>Error?</v>
      </c>
    </row>
    <row r="5553" spans="1:4" x14ac:dyDescent="0.2">
      <c r="A5553" s="5">
        <v>5492</v>
      </c>
      <c r="B5553" s="138">
        <f>'Revenues 9-14'!F5</f>
        <v>277085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277085</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402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402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1073</v>
      </c>
      <c r="D5586" s="2" t="str">
        <f t="shared" si="86"/>
        <v>Error?</v>
      </c>
    </row>
    <row r="5587" spans="1:4" x14ac:dyDescent="0.2">
      <c r="A5587" s="5">
        <v>5526</v>
      </c>
      <c r="B5587" s="138">
        <f>'Revenues 9-14'!F108</f>
        <v>1073</v>
      </c>
      <c r="C5587" s="2" t="s">
        <v>573</v>
      </c>
      <c r="D5587" s="2" t="str">
        <f t="shared" si="86"/>
        <v>Error?</v>
      </c>
    </row>
    <row r="5588" spans="1:4" x14ac:dyDescent="0.2">
      <c r="A5588" s="5">
        <v>5527</v>
      </c>
      <c r="B5588" s="138">
        <f>'Revenues 9-14'!F109</f>
        <v>278560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400000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400000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602201</v>
      </c>
      <c r="D5615" s="2" t="str">
        <f t="shared" si="86"/>
        <v>Error?</v>
      </c>
    </row>
    <row r="5616" spans="1:4" x14ac:dyDescent="0.2">
      <c r="A5616" s="10">
        <v>5555</v>
      </c>
      <c r="D5616" s="2" t="str">
        <f t="shared" si="86"/>
        <v>OK</v>
      </c>
    </row>
    <row r="5617" spans="1:5" x14ac:dyDescent="0.2">
      <c r="A5617" s="5">
        <v>5556</v>
      </c>
      <c r="B5617" s="138">
        <f>'Revenues 9-14'!F153</f>
        <v>302552</v>
      </c>
      <c r="D5617" s="2" t="str">
        <f t="shared" si="86"/>
        <v>Error?</v>
      </c>
    </row>
    <row r="5618" spans="1:5" x14ac:dyDescent="0.2">
      <c r="A5618" s="5">
        <v>5557</v>
      </c>
      <c r="B5618" s="138">
        <f>'Revenues 9-14'!F155</f>
        <v>904753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904753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1304753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1583313</v>
      </c>
      <c r="C5720" s="2" t="s">
        <v>573</v>
      </c>
      <c r="D5720" s="2" t="str">
        <f t="shared" si="88"/>
        <v>Error?</v>
      </c>
    </row>
    <row r="5721" spans="1:4" x14ac:dyDescent="0.2">
      <c r="A5721" s="5">
        <v>5660</v>
      </c>
      <c r="B5721" s="138">
        <f>'Revenues 9-14'!G5</f>
        <v>227751</v>
      </c>
      <c r="D5721" s="2" t="str">
        <f t="shared" si="88"/>
        <v>Error?</v>
      </c>
    </row>
    <row r="5722" spans="1:4" x14ac:dyDescent="0.2">
      <c r="A5722" s="5">
        <v>5661</v>
      </c>
      <c r="B5722" s="138">
        <f>'Revenues 9-14'!G7</f>
        <v>0</v>
      </c>
      <c r="D5722" s="2" t="str">
        <f t="shared" si="88"/>
        <v>Error?</v>
      </c>
    </row>
    <row r="5723" spans="1:4" x14ac:dyDescent="0.2">
      <c r="A5723" s="5">
        <v>5662</v>
      </c>
      <c r="B5723" s="138">
        <f>'Revenues 9-14'!G8</f>
        <v>227751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455502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114235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114235</v>
      </c>
      <c r="C5730" s="2" t="s">
        <v>573</v>
      </c>
      <c r="D5730" s="2" t="str">
        <f t="shared" si="88"/>
        <v>Error?</v>
      </c>
    </row>
    <row r="5731" spans="1:4" x14ac:dyDescent="0.2">
      <c r="A5731" s="5">
        <v>5670</v>
      </c>
      <c r="B5731" s="138">
        <f>'Revenues 9-14'!G65</f>
        <v>1659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1659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1411</v>
      </c>
      <c r="D5736" s="2" t="str">
        <f t="shared" si="88"/>
        <v>Error?</v>
      </c>
    </row>
    <row r="5737" spans="1:4" x14ac:dyDescent="0.2">
      <c r="A5737" s="5">
        <v>5676</v>
      </c>
      <c r="B5737" s="138">
        <f>'Revenues 9-14'!G108</f>
        <v>1411</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572807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625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625</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99636</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99636</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99636</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100261</v>
      </c>
      <c r="C5915" s="2" t="s">
        <v>573</v>
      </c>
      <c r="D5915" s="2" t="str">
        <f t="shared" si="91"/>
        <v>Error?</v>
      </c>
    </row>
    <row r="5916" spans="1:4" x14ac:dyDescent="0.2">
      <c r="A5916" s="5">
        <v>5855</v>
      </c>
      <c r="B5916" s="138">
        <f>'Revenues 9-14'!I5</f>
        <v>67599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67599</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143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143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67742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572807</v>
      </c>
      <c r="C6024" s="2" t="s">
        <v>573</v>
      </c>
      <c r="D6024" s="2" t="str">
        <f t="shared" si="93"/>
        <v>Error?</v>
      </c>
    </row>
    <row r="6025" spans="1:5" x14ac:dyDescent="0.2">
      <c r="A6025" s="5">
        <v>5964</v>
      </c>
      <c r="B6025" s="138">
        <f>'Revenues 9-14'!H109</f>
        <v>625</v>
      </c>
      <c r="C6025" s="2" t="s">
        <v>573</v>
      </c>
      <c r="D6025" s="2" t="str">
        <f t="shared" si="93"/>
        <v>Error?</v>
      </c>
    </row>
    <row r="6026" spans="1:5" x14ac:dyDescent="0.2">
      <c r="A6026" s="5">
        <v>5965</v>
      </c>
      <c r="B6026" s="138">
        <f>'Revenues 9-14'!I109</f>
        <v>67742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39648</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79961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1843.4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262083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262083</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262083</v>
      </c>
      <c r="D6216" s="2" t="str">
        <f t="shared" si="96"/>
        <v>Error?</v>
      </c>
      <c r="E6216" s="2" t="s">
        <v>190</v>
      </c>
    </row>
    <row r="6217" spans="1:5" x14ac:dyDescent="0.2">
      <c r="A6217">
        <v>6156</v>
      </c>
      <c r="B6217" s="138">
        <f>'Assets-Liab 5-6'!J4</f>
        <v>262083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478131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478131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478131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379651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379651</v>
      </c>
      <c r="D6229" s="2" t="str">
        <f t="shared" si="96"/>
        <v>Error?</v>
      </c>
      <c r="E6229" s="2" t="s">
        <v>190</v>
      </c>
    </row>
    <row r="6230" spans="1:5" x14ac:dyDescent="0.2">
      <c r="A6230">
        <v>6169</v>
      </c>
      <c r="B6230" s="138">
        <f>'Acct Summary 7-8'!J20</f>
        <v>98480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98480</v>
      </c>
      <c r="D6263" s="2" t="str">
        <f t="shared" si="96"/>
        <v>Error?</v>
      </c>
      <c r="E6263" s="2" t="s">
        <v>190</v>
      </c>
    </row>
    <row r="6264" spans="1:5" x14ac:dyDescent="0.2">
      <c r="A6264">
        <v>6203</v>
      </c>
      <c r="B6264" s="138">
        <f>'Acct Summary 7-8'!J79</f>
        <v>163603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262083</v>
      </c>
      <c r="D6266" s="2" t="str">
        <f t="shared" si="96"/>
        <v>Error?</v>
      </c>
      <c r="E6266" s="2" t="s">
        <v>190</v>
      </c>
    </row>
    <row r="6267" spans="1:5" x14ac:dyDescent="0.2">
      <c r="A6267">
        <v>6206</v>
      </c>
      <c r="B6267" s="138">
        <f>'Acct Summary 7-8'!C82</f>
        <v>1106033</v>
      </c>
      <c r="D6267" s="2" t="str">
        <f t="shared" si="96"/>
        <v>Error?</v>
      </c>
      <c r="E6267" s="2" t="s">
        <v>190</v>
      </c>
    </row>
    <row r="6268" spans="1:5" x14ac:dyDescent="0.2">
      <c r="A6268">
        <v>6207</v>
      </c>
      <c r="B6268" s="138">
        <f>'Acct Summary 7-8'!D82</f>
        <v>154411</v>
      </c>
      <c r="D6268" s="2" t="str">
        <f t="shared" si="96"/>
        <v>Error?</v>
      </c>
      <c r="E6268" s="2" t="s">
        <v>190</v>
      </c>
    </row>
    <row r="6269" spans="1:5" x14ac:dyDescent="0.2">
      <c r="A6269">
        <v>6208</v>
      </c>
      <c r="B6269" s="138">
        <f>'Acct Summary 7-8'!E82</f>
        <v>58448</v>
      </c>
      <c r="D6269" s="2" t="str">
        <f t="shared" si="96"/>
        <v>Error?</v>
      </c>
      <c r="E6269" s="2" t="s">
        <v>190</v>
      </c>
    </row>
    <row r="6270" spans="1:5" x14ac:dyDescent="0.2">
      <c r="A6270">
        <v>6209</v>
      </c>
      <c r="B6270" s="138">
        <f>'Acct Summary 7-8'!F82</f>
        <v>69419</v>
      </c>
      <c r="D6270" s="2" t="str">
        <f t="shared" si="96"/>
        <v>Error?</v>
      </c>
      <c r="E6270" s="2" t="s">
        <v>190</v>
      </c>
    </row>
    <row r="6271" spans="1:5" x14ac:dyDescent="0.2">
      <c r="A6271">
        <v>6210</v>
      </c>
      <c r="B6271" s="138">
        <f>'Acct Summary 7-8'!G82</f>
        <v>-23532</v>
      </c>
      <c r="D6271" s="2" t="str">
        <f t="shared" ref="D6271:D6334" si="97">IF(ISBLANK(B6271),"OK",IF(A6271-B6271=0,"OK","Error?"))</f>
        <v>Error?</v>
      </c>
      <c r="E6271" s="2" t="s">
        <v>190</v>
      </c>
    </row>
    <row r="6272" spans="1:5" x14ac:dyDescent="0.2">
      <c r="A6272">
        <v>6211</v>
      </c>
      <c r="B6272" s="138">
        <f>'Acct Summary 7-8'!H82</f>
        <v>100261</v>
      </c>
      <c r="D6272" s="2" t="str">
        <f t="shared" si="97"/>
        <v>Error?</v>
      </c>
      <c r="E6272" s="2" t="s">
        <v>190</v>
      </c>
    </row>
    <row r="6273" spans="1:5" x14ac:dyDescent="0.2">
      <c r="A6273">
        <v>6212</v>
      </c>
      <c r="B6273" s="138">
        <f>'Acct Summary 7-8'!I82</f>
        <v>67742</v>
      </c>
      <c r="D6273" s="2" t="str">
        <f t="shared" si="97"/>
        <v>Error?</v>
      </c>
      <c r="E6273" s="2" t="s">
        <v>190</v>
      </c>
    </row>
    <row r="6274" spans="1:5" x14ac:dyDescent="0.2">
      <c r="A6274">
        <v>6213</v>
      </c>
      <c r="B6274" s="138">
        <f>'Acct Summary 7-8'!J82</f>
        <v>98480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0.18778538367008621</v>
      </c>
      <c r="D6276" s="2" t="str">
        <f t="shared" si="97"/>
        <v>Error?</v>
      </c>
      <c r="E6276" s="2" t="s">
        <v>190</v>
      </c>
    </row>
    <row r="6277" spans="1:5" x14ac:dyDescent="0.2">
      <c r="A6277">
        <v>6216</v>
      </c>
      <c r="B6277" s="138">
        <f>'Acct Summary 7-8'!D83</f>
        <v>1</v>
      </c>
      <c r="D6277" s="2" t="str">
        <f t="shared" si="97"/>
        <v>Error?</v>
      </c>
      <c r="E6277" s="2" t="s">
        <v>190</v>
      </c>
    </row>
    <row r="6278" spans="1:5" x14ac:dyDescent="0.2">
      <c r="A6278">
        <v>6217</v>
      </c>
      <c r="B6278" s="138">
        <f>'Acct Summary 7-8'!E83</f>
        <v>0.10631973776599034</v>
      </c>
      <c r="D6278" s="2" t="str">
        <f t="shared" si="97"/>
        <v>Error?</v>
      </c>
      <c r="E6278" s="2" t="s">
        <v>190</v>
      </c>
    </row>
    <row r="6279" spans="1:5" x14ac:dyDescent="0.2">
      <c r="A6279">
        <v>6218</v>
      </c>
      <c r="B6279" s="138">
        <f>'Acct Summary 7-8'!F83</f>
        <v>0.99956802833734104</v>
      </c>
      <c r="D6279" s="2" t="str">
        <f t="shared" si="97"/>
        <v>Error?</v>
      </c>
      <c r="E6279" s="2" t="s">
        <v>190</v>
      </c>
    </row>
    <row r="6280" spans="1:5" x14ac:dyDescent="0.2">
      <c r="A6280">
        <v>6219</v>
      </c>
      <c r="B6280" s="138">
        <f>'Acct Summary 7-8'!G83</f>
        <v>-3.9254609480692142E-2</v>
      </c>
      <c r="D6280" s="2" t="str">
        <f t="shared" si="97"/>
        <v>Error?</v>
      </c>
      <c r="E6280" s="2" t="s">
        <v>190</v>
      </c>
    </row>
    <row r="6281" spans="1:5" x14ac:dyDescent="0.2">
      <c r="A6281">
        <v>6220</v>
      </c>
      <c r="B6281" s="138">
        <f>'Acct Summary 7-8'!H83</f>
        <v>0.99952147863103014</v>
      </c>
      <c r="D6281" s="2" t="str">
        <f t="shared" si="97"/>
        <v>Error?</v>
      </c>
      <c r="E6281" s="2" t="s">
        <v>190</v>
      </c>
    </row>
    <row r="6282" spans="1:5" x14ac:dyDescent="0.2">
      <c r="A6282">
        <v>6221</v>
      </c>
      <c r="B6282" s="138">
        <f>'Acct Summary 7-8'!I83</f>
        <v>0.4165380524008338</v>
      </c>
      <c r="D6282" s="2" t="str">
        <f t="shared" si="97"/>
        <v>Error?</v>
      </c>
      <c r="E6282" s="2" t="s">
        <v>190</v>
      </c>
    </row>
    <row r="6283" spans="1:5" x14ac:dyDescent="0.2">
      <c r="A6283">
        <v>6222</v>
      </c>
      <c r="B6283" s="138">
        <f>'Acct Summary 7-8'!J83</f>
        <v>0.37575882449453035</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476411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476411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480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480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1240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1240</v>
      </c>
      <c r="D6351" s="2" t="str">
        <f t="shared" si="98"/>
        <v>Error?</v>
      </c>
      <c r="E6351" s="2" t="s">
        <v>190</v>
      </c>
    </row>
    <row r="6352" spans="1:5" x14ac:dyDescent="0.2">
      <c r="A6352">
        <v>6291</v>
      </c>
      <c r="B6352" s="138">
        <f>'Revenues 9-14'!J109</f>
        <v>478131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33584</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162384</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236359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5807</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5807</v>
      </c>
      <c r="D6940" s="2" t="str">
        <f t="shared" si="107"/>
        <v>Error?</v>
      </c>
    </row>
    <row r="6941" spans="1:4" x14ac:dyDescent="0.2">
      <c r="A6941">
        <v>6880</v>
      </c>
      <c r="B6941" s="138">
        <f>'Expenditures 15-22'!L52</f>
        <v>5807</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67430</v>
      </c>
      <c r="D6983" s="2" t="str">
        <f t="shared" si="108"/>
        <v>Error?</v>
      </c>
    </row>
    <row r="6984" spans="1:4" x14ac:dyDescent="0.2">
      <c r="A6984">
        <v>6923</v>
      </c>
      <c r="B6984" s="138">
        <f>'Expenditures 15-22'!K86</f>
        <v>67430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67430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379651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478131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8862</v>
      </c>
      <c r="D7073" s="2" t="str">
        <f t="shared" si="109"/>
        <v>Error?</v>
      </c>
    </row>
    <row r="7074" spans="1:4" x14ac:dyDescent="0.2">
      <c r="A7074">
        <v>7013</v>
      </c>
      <c r="B7074" s="138">
        <f>'Expenditures 15-22'!K216</f>
        <v>8862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203418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203418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148153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148153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5000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5000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23080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23080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379651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379651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379651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379651</v>
      </c>
      <c r="D7224" s="2" t="str">
        <f t="shared" si="111"/>
        <v>Error?</v>
      </c>
    </row>
    <row r="7225" spans="1:4" x14ac:dyDescent="0.2">
      <c r="A7225">
        <v>7164</v>
      </c>
      <c r="B7225" s="138">
        <f>'Expenditures 15-22'!K343</f>
        <v>98480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45638</v>
      </c>
      <c r="D7246" s="2" t="str">
        <f t="shared" si="112"/>
        <v>Error?</v>
      </c>
    </row>
    <row r="7247" spans="1:4" x14ac:dyDescent="0.2">
      <c r="A7247">
        <f t="shared" si="113"/>
        <v>7186</v>
      </c>
      <c r="B7247" s="138">
        <f>'Expenditures 15-22'!E7</f>
        <v>3100</v>
      </c>
      <c r="D7247" s="2" t="str">
        <f t="shared" si="112"/>
        <v>Error?</v>
      </c>
    </row>
    <row r="7248" spans="1:4" x14ac:dyDescent="0.2">
      <c r="A7248">
        <f t="shared" si="113"/>
        <v>7187</v>
      </c>
      <c r="B7248" s="138">
        <f>'Expenditures 15-22'!F7</f>
        <v>22949</v>
      </c>
      <c r="D7248" s="2" t="str">
        <f t="shared" si="112"/>
        <v>Error?</v>
      </c>
    </row>
    <row r="7249" spans="1:4" x14ac:dyDescent="0.2">
      <c r="A7249">
        <f t="shared" si="113"/>
        <v>7188</v>
      </c>
      <c r="B7249" s="138">
        <f>'Expenditures 15-22'!G7</f>
        <v>2288</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56923</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56923</v>
      </c>
      <c r="D7618" s="2" t="str">
        <f t="shared" si="124"/>
        <v>Error?</v>
      </c>
      <c r="E7618" s="2" t="s">
        <v>19</v>
      </c>
    </row>
    <row r="7619" spans="1:5" x14ac:dyDescent="0.2">
      <c r="A7619">
        <f t="shared" si="123"/>
        <v>7558</v>
      </c>
      <c r="B7619" s="138">
        <f>'Cap Outlay Deprec 26'!H14</f>
        <v>56923</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56923</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917586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25635</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25635</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25635</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2772846</v>
      </c>
      <c r="D7797" s="2" t="str">
        <f t="shared" si="127"/>
        <v>Error?</v>
      </c>
      <c r="E7797" s="4" t="s">
        <v>1900</v>
      </c>
    </row>
    <row r="7798" spans="1:5" x14ac:dyDescent="0.2">
      <c r="A7798">
        <v>7737</v>
      </c>
      <c r="B7798" s="138">
        <f>'Contracts Paid in CY 29'!F141</f>
        <v>325000</v>
      </c>
      <c r="D7798" s="2" t="str">
        <f t="shared" si="127"/>
        <v>Error?</v>
      </c>
      <c r="E7798" s="4" t="s">
        <v>1900</v>
      </c>
    </row>
    <row r="7799" spans="1:5" x14ac:dyDescent="0.2">
      <c r="A7799">
        <v>7738</v>
      </c>
      <c r="B7799" s="138">
        <f>'Contracts Paid in CY 29'!G141</f>
        <v>2372429</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5" t="s">
        <v>1191</v>
      </c>
      <c r="B2" s="2415"/>
      <c r="C2" s="2415"/>
      <c r="D2" s="2415"/>
      <c r="E2" s="2415"/>
      <c r="F2" s="2415"/>
      <c r="G2" s="2415"/>
      <c r="H2" s="2415"/>
      <c r="I2" s="2415"/>
      <c r="J2" s="2415"/>
      <c r="K2" s="2415"/>
      <c r="L2" s="2415"/>
    </row>
    <row r="3" spans="1:29" ht="13.5" customHeight="1" x14ac:dyDescent="0.2">
      <c r="A3" s="2401" t="s">
        <v>1190</v>
      </c>
      <c r="B3" s="2401"/>
      <c r="C3" s="2401"/>
      <c r="D3" s="2401"/>
      <c r="E3" s="2401"/>
      <c r="F3" s="2401"/>
      <c r="G3" s="2401"/>
      <c r="H3" s="2401"/>
      <c r="I3" s="2401"/>
      <c r="J3" s="2401"/>
      <c r="K3" s="2401"/>
      <c r="L3" s="2401"/>
    </row>
    <row r="4" spans="1:29" ht="13.5" customHeight="1" x14ac:dyDescent="0.2">
      <c r="A4" s="2415" t="s">
        <v>1985</v>
      </c>
      <c r="B4" s="2432"/>
      <c r="C4" s="2432"/>
      <c r="D4" s="2432"/>
      <c r="E4" s="2432"/>
      <c r="F4" s="2432"/>
      <c r="G4" s="2432"/>
      <c r="H4" s="2432"/>
      <c r="I4" s="2432"/>
      <c r="J4" s="2432"/>
      <c r="K4" s="2432"/>
      <c r="L4" s="243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5" t="str">
        <f>COVER!A17</f>
        <v>Massac UD 1</v>
      </c>
      <c r="B7" s="2396"/>
      <c r="C7" s="2396"/>
      <c r="D7" s="2433"/>
      <c r="E7" s="2434">
        <f>COVER!A13</f>
        <v>21061001026</v>
      </c>
      <c r="F7" s="2435"/>
      <c r="G7" s="2402" t="str">
        <f>COVER!T23</f>
        <v>066-003889</v>
      </c>
      <c r="H7" s="2403"/>
      <c r="I7" s="2403"/>
      <c r="J7" s="2403"/>
      <c r="K7" s="2403"/>
      <c r="L7" s="240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5"/>
      <c r="B9" s="2406"/>
      <c r="C9" s="2406"/>
      <c r="D9" s="2406"/>
      <c r="E9" s="2406"/>
      <c r="F9" s="2407"/>
      <c r="G9" s="2408" t="str">
        <f>COVER!T13</f>
        <v>Beussink, Hey, Roe &amp; Stroder, L.L.C.</v>
      </c>
      <c r="H9" s="2409"/>
      <c r="I9" s="2409"/>
      <c r="J9" s="2409"/>
      <c r="K9" s="2409"/>
      <c r="L9" s="2410"/>
    </row>
    <row r="10" spans="1:29" ht="13.5" customHeight="1" x14ac:dyDescent="0.2">
      <c r="A10" s="2392">
        <f>COVER!A38</f>
        <v>0</v>
      </c>
      <c r="B10" s="2393"/>
      <c r="C10" s="2393"/>
      <c r="D10" s="2393"/>
      <c r="E10" s="2393"/>
      <c r="F10" s="2394"/>
      <c r="G10" s="2408" t="str">
        <f>COVER!T17</f>
        <v>16 South Silver Springs Road</v>
      </c>
      <c r="H10" s="2421"/>
      <c r="I10" s="2421"/>
      <c r="J10" s="2421"/>
      <c r="K10" s="2421"/>
      <c r="L10" s="2422"/>
    </row>
    <row r="11" spans="1:29" ht="13.5" customHeight="1" x14ac:dyDescent="0.2">
      <c r="A11" s="1184" t="s">
        <v>1519</v>
      </c>
      <c r="B11" s="1185"/>
      <c r="C11" s="1186"/>
      <c r="D11" s="1191"/>
      <c r="E11" s="1186"/>
      <c r="F11" s="1190"/>
      <c r="G11" s="2408" t="str">
        <f>COVER!T19</f>
        <v>Cape Girardeau</v>
      </c>
      <c r="H11" s="2421"/>
      <c r="I11" s="2421"/>
      <c r="J11" s="2421"/>
      <c r="K11" s="2421"/>
      <c r="L11" s="2422"/>
    </row>
    <row r="12" spans="1:29" ht="13.5" customHeight="1" x14ac:dyDescent="0.2">
      <c r="A12" s="2426" t="s">
        <v>1518</v>
      </c>
      <c r="B12" s="2427"/>
      <c r="C12" s="2427"/>
      <c r="D12" s="2427"/>
      <c r="E12" s="2427"/>
      <c r="F12" s="2428"/>
      <c r="G12" s="2423"/>
      <c r="H12" s="2424"/>
      <c r="I12" s="2424"/>
      <c r="J12" s="2424"/>
      <c r="K12" s="2424"/>
      <c r="L12" s="2425"/>
    </row>
    <row r="13" spans="1:29" ht="13.5" customHeight="1" x14ac:dyDescent="0.2">
      <c r="A13" s="2408"/>
      <c r="B13" s="2421"/>
      <c r="C13" s="2421"/>
      <c r="D13" s="2421"/>
      <c r="E13" s="2421"/>
      <c r="F13" s="2422"/>
      <c r="G13" s="2416" t="s">
        <v>1520</v>
      </c>
      <c r="H13" s="2417"/>
      <c r="I13" s="2429" t="str">
        <f>COVER!T25</f>
        <v>jstroder@bhrcpas.com</v>
      </c>
      <c r="J13" s="2430"/>
      <c r="K13" s="2430"/>
      <c r="L13" s="2431"/>
    </row>
    <row r="14" spans="1:29" ht="13.5" customHeight="1" x14ac:dyDescent="0.2">
      <c r="A14" s="2408" t="str">
        <f>COVER!A19</f>
        <v>401 Metropolis Street</v>
      </c>
      <c r="B14" s="2421"/>
      <c r="C14" s="2421"/>
      <c r="D14" s="2421"/>
      <c r="E14" s="2421"/>
      <c r="F14" s="2422"/>
      <c r="G14" s="1195" t="s">
        <v>1185</v>
      </c>
      <c r="H14" s="1193"/>
      <c r="I14" s="1193"/>
      <c r="J14" s="1193"/>
      <c r="K14" s="1193"/>
      <c r="L14" s="1194"/>
    </row>
    <row r="15" spans="1:29" ht="13.5" customHeight="1" x14ac:dyDescent="0.2">
      <c r="A15" s="2408" t="str">
        <f>COVER!A21</f>
        <v>Metropolis</v>
      </c>
      <c r="B15" s="2421"/>
      <c r="C15" s="2421"/>
      <c r="D15" s="2421"/>
      <c r="E15" s="2421"/>
      <c r="F15" s="2422"/>
      <c r="G15" s="2418" t="str">
        <f>COVER!T15</f>
        <v>Jeffrey C. Stroder, CPA</v>
      </c>
      <c r="H15" s="2419"/>
      <c r="I15" s="2419"/>
      <c r="J15" s="2419"/>
      <c r="K15" s="2419"/>
      <c r="L15" s="2420"/>
    </row>
    <row r="16" spans="1:29" ht="12.2" customHeight="1" x14ac:dyDescent="0.2">
      <c r="A16" s="2398">
        <f>COVER!A25</f>
        <v>62960</v>
      </c>
      <c r="B16" s="2399"/>
      <c r="C16" s="2399"/>
      <c r="D16" s="2399"/>
      <c r="E16" s="2399"/>
      <c r="F16" s="2400"/>
      <c r="G16" s="2411"/>
      <c r="H16" s="2412"/>
      <c r="I16" s="2412"/>
      <c r="J16" s="2412"/>
      <c r="K16" s="2412"/>
      <c r="L16" s="2413"/>
    </row>
    <row r="17" spans="1:13" ht="12.2" customHeight="1" x14ac:dyDescent="0.2">
      <c r="A17" s="2414"/>
      <c r="B17" s="2399"/>
      <c r="C17" s="2399"/>
      <c r="D17" s="2399"/>
      <c r="E17" s="2399"/>
      <c r="F17" s="2400"/>
      <c r="G17" s="1195" t="s">
        <v>1184</v>
      </c>
      <c r="H17" s="1193"/>
      <c r="I17" s="1193"/>
      <c r="J17" s="1193"/>
      <c r="K17" s="1197" t="s">
        <v>1183</v>
      </c>
      <c r="L17" s="1190"/>
      <c r="M17" s="1183"/>
    </row>
    <row r="18" spans="1:13" ht="12.2" customHeight="1" x14ac:dyDescent="0.2">
      <c r="A18" s="2392"/>
      <c r="B18" s="2393"/>
      <c r="C18" s="2393"/>
      <c r="D18" s="2393"/>
      <c r="E18" s="2393"/>
      <c r="F18" s="2394"/>
      <c r="G18" s="2395" t="str">
        <f>COVER!T21</f>
        <v>573-334-7971</v>
      </c>
      <c r="H18" s="2396"/>
      <c r="I18" s="2396"/>
      <c r="J18" s="2396"/>
      <c r="K18" s="2395" t="str">
        <f>COVER!X21</f>
        <v>573-334-8875</v>
      </c>
      <c r="L18" s="239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verticalCentered="1"/>
  <pageMargins left="0.32" right="0.32" top="0.68" bottom="1" header="0.26" footer="0.75"/>
  <pageSetup scale="90" firstPageNumber="35" fitToHeight="0" orientation="portrait" useFirstPageNumber="1" r:id="rId1"/>
  <headerFooter alignWithMargins="0">
    <oddHeader>&amp;L&amp;8Page 37&amp;R&amp;8Page 37</oddHeader>
    <oddFooter>&amp;CSee Independent Auditors' Report.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6" t="str">
        <f>'Single Audit Cover'!A7</f>
        <v>Massac UD 1</v>
      </c>
      <c r="B1" s="2432"/>
      <c r="C1" s="2432"/>
      <c r="D1" s="2432"/>
    </row>
    <row r="2" spans="1:11" s="1212" customFormat="1" ht="12.75" x14ac:dyDescent="0.2">
      <c r="A2" s="2437">
        <f>'Single Audit Cover'!E7</f>
        <v>21061001026</v>
      </c>
      <c r="B2" s="2438"/>
      <c r="C2" s="2438"/>
      <c r="D2" s="2438"/>
    </row>
    <row r="3" spans="1:11" s="1212" customFormat="1" ht="12.75" x14ac:dyDescent="0.2">
      <c r="A3" s="2436" t="s">
        <v>1513</v>
      </c>
      <c r="B3" s="2432"/>
      <c r="C3" s="2432"/>
      <c r="D3" s="243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4"/>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2"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0" t="str">
        <f>'Single Audit Cover'!A7</f>
        <v>Massac UD 1</v>
      </c>
      <c r="B1" s="2440"/>
      <c r="C1" s="2440"/>
      <c r="D1" s="2440"/>
      <c r="E1" s="2440"/>
    </row>
    <row r="2" spans="1:5" x14ac:dyDescent="0.2">
      <c r="A2" s="2441">
        <f>'Single Audit Cover'!E7</f>
        <v>21061001026</v>
      </c>
      <c r="B2" s="2441"/>
      <c r="C2" s="2441"/>
      <c r="D2" s="2441"/>
      <c r="E2" s="2441"/>
    </row>
    <row r="3" spans="1:5" ht="4.5" customHeight="1" x14ac:dyDescent="0.2"/>
    <row r="4" spans="1:5" x14ac:dyDescent="0.2">
      <c r="A4" s="2440" t="s">
        <v>1245</v>
      </c>
      <c r="B4" s="2440"/>
      <c r="C4" s="2440"/>
      <c r="D4" s="2440"/>
      <c r="E4" s="2440"/>
    </row>
    <row r="5" spans="1:5" x14ac:dyDescent="0.2">
      <c r="A5" s="2443" t="str">
        <f>'Single Audit Cover'!A4</f>
        <v>Year Ending June 30, 2019</v>
      </c>
      <c r="B5" s="2443"/>
      <c r="C5" s="2443"/>
      <c r="D5" s="2443"/>
      <c r="E5" s="2443"/>
    </row>
    <row r="6" spans="1:5" x14ac:dyDescent="0.2">
      <c r="A6" s="2440" t="s">
        <v>1244</v>
      </c>
      <c r="B6" s="2440"/>
      <c r="C6" s="2440"/>
      <c r="D6" s="2440"/>
      <c r="E6" s="2440"/>
    </row>
    <row r="8" spans="1:5" x14ac:dyDescent="0.2">
      <c r="A8" s="1257" t="s">
        <v>1243</v>
      </c>
    </row>
    <row r="10" spans="1:5" x14ac:dyDescent="0.2">
      <c r="A10" s="1258" t="s">
        <v>1242</v>
      </c>
      <c r="B10" s="1259" t="s">
        <v>1241</v>
      </c>
      <c r="C10" s="1259"/>
      <c r="D10" s="1260">
        <f>SUM('Acct Summary 7-8'!C7:K7)</f>
        <v>2652974</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79961</v>
      </c>
    </row>
    <row r="15" spans="1:5" x14ac:dyDescent="0.2">
      <c r="A15" s="1258"/>
      <c r="B15" s="1259"/>
      <c r="C15" s="1259"/>
    </row>
    <row r="16" spans="1:5" x14ac:dyDescent="0.2">
      <c r="A16" s="1258" t="s">
        <v>1840</v>
      </c>
      <c r="B16" s="1259"/>
      <c r="C16" s="1259"/>
    </row>
    <row r="17" spans="1:4" x14ac:dyDescent="0.2">
      <c r="A17" s="1258" t="s">
        <v>2057</v>
      </c>
      <c r="B17" s="1259" t="s">
        <v>1236</v>
      </c>
      <c r="C17" s="1259"/>
      <c r="D17" s="1261">
        <f>-SUM('Revenues 9-14'!C264:D264,'Revenues 9-14'!F264:G264)</f>
        <v>-260509</v>
      </c>
    </row>
    <row r="19" spans="1:4" ht="13.5" thickBot="1" x14ac:dyDescent="0.25">
      <c r="A19" s="1262" t="s">
        <v>1235</v>
      </c>
      <c r="D19" s="1263">
        <f>SUM(D10:D17)</f>
        <v>2472426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2"/>
      <c r="B24" s="2442"/>
      <c r="D24" s="1265"/>
    </row>
    <row r="25" spans="1:4" x14ac:dyDescent="0.2">
      <c r="A25" s="2439"/>
      <c r="B25" s="2439"/>
      <c r="D25" s="1265"/>
    </row>
    <row r="26" spans="1:4" x14ac:dyDescent="0.2">
      <c r="A26" s="2439"/>
      <c r="B26" s="2439"/>
      <c r="D26" s="1265"/>
    </row>
    <row r="27" spans="1:4" x14ac:dyDescent="0.2">
      <c r="A27" s="2439"/>
      <c r="B27" s="2439"/>
      <c r="D27" s="1265"/>
    </row>
    <row r="28" spans="1:4" x14ac:dyDescent="0.2">
      <c r="A28" s="2439"/>
      <c r="B28" s="2439"/>
      <c r="D28" s="1265"/>
    </row>
    <row r="29" spans="1:4" x14ac:dyDescent="0.2">
      <c r="A29" s="2439"/>
      <c r="B29" s="2439"/>
      <c r="D29" s="1265"/>
    </row>
    <row r="30" spans="1:4" x14ac:dyDescent="0.2">
      <c r="A30" s="2439"/>
      <c r="B30" s="2439"/>
      <c r="D30" s="1265"/>
    </row>
    <row r="32" spans="1:4" x14ac:dyDescent="0.2">
      <c r="A32" s="1257" t="s">
        <v>1233</v>
      </c>
      <c r="D32" s="1260">
        <f>SUM(D19:D30)</f>
        <v>2472426</v>
      </c>
    </row>
    <row r="33" spans="1:4" x14ac:dyDescent="0.2">
      <c r="D33" s="1266"/>
    </row>
    <row r="34" spans="1:4" x14ac:dyDescent="0.2">
      <c r="A34" s="317" t="s">
        <v>1232</v>
      </c>
    </row>
    <row r="35" spans="1:4" x14ac:dyDescent="0.2">
      <c r="A35" s="317" t="s">
        <v>1231</v>
      </c>
      <c r="B35" s="1255" t="s">
        <v>1230</v>
      </c>
      <c r="D35" s="1267">
        <v>2472426</v>
      </c>
    </row>
    <row r="37" spans="1:4" x14ac:dyDescent="0.2">
      <c r="A37" s="1257" t="s">
        <v>1229</v>
      </c>
    </row>
    <row r="39" spans="1:4" ht="13.35" customHeight="1" x14ac:dyDescent="0.2">
      <c r="A39" s="1264" t="s">
        <v>1228</v>
      </c>
    </row>
    <row r="40" spans="1:4" x14ac:dyDescent="0.2">
      <c r="A40" s="2439"/>
      <c r="B40" s="2439"/>
      <c r="D40" s="1265"/>
    </row>
    <row r="41" spans="1:4" x14ac:dyDescent="0.2">
      <c r="A41" s="2439"/>
      <c r="B41" s="2439"/>
      <c r="D41" s="1268"/>
    </row>
    <row r="42" spans="1:4" x14ac:dyDescent="0.2">
      <c r="A42" s="2439"/>
      <c r="B42" s="2439"/>
      <c r="D42" s="1268"/>
    </row>
    <row r="43" spans="1:4" x14ac:dyDescent="0.2">
      <c r="A43" s="2439"/>
      <c r="B43" s="2439"/>
      <c r="D43" s="1268"/>
    </row>
    <row r="44" spans="1:4" x14ac:dyDescent="0.2">
      <c r="A44" s="2439"/>
      <c r="B44" s="2439"/>
      <c r="D44" s="1268"/>
    </row>
    <row r="45" spans="1:4" x14ac:dyDescent="0.2">
      <c r="A45" s="2439"/>
      <c r="B45" s="2439"/>
      <c r="D45" s="1268"/>
    </row>
    <row r="47" spans="1:4" x14ac:dyDescent="0.2">
      <c r="B47" s="1269" t="s">
        <v>1227</v>
      </c>
      <c r="C47" s="1269"/>
      <c r="D47" s="1270">
        <f>SUM(D35:D45)</f>
        <v>2472426</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verticalCentered="1"/>
  <pageMargins left="0.65" right="0.5" top="0.79" bottom="1.1100000000000001" header="0.5" footer="0.8"/>
  <pageSetup firstPageNumber="37" orientation="portrait" useFirstPageNumber="1" r:id="rId1"/>
  <headerFooter alignWithMargins="0">
    <oddHeader>&amp;L&amp;8Page 39&amp;R&amp;8Page 39</oddHeader>
    <oddFooter>&amp;CSee Independent Auditors' Report.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E209B-E5B0-4CDD-BB75-421632926AC4}">
  <dimension ref="B1:N153"/>
  <sheetViews>
    <sheetView topLeftCell="A4" zoomScaleNormal="100" workbookViewId="0">
      <selection activeCell="I24" sqref="I24"/>
    </sheetView>
  </sheetViews>
  <sheetFormatPr defaultColWidth="33.5703125" defaultRowHeight="12.75" x14ac:dyDescent="0.2"/>
  <cols>
    <col min="1" max="1" width="0.140625" style="317" customWidth="1"/>
    <col min="2" max="2" width="39.2851562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1" t="str">
        <f>'Single Audit Cover'!A7</f>
        <v>Massac UD 1</v>
      </c>
      <c r="C1" s="2444"/>
      <c r="D1" s="2444"/>
      <c r="E1" s="2444"/>
      <c r="F1" s="2444"/>
      <c r="G1" s="2444"/>
      <c r="H1" s="2444"/>
      <c r="I1" s="2444"/>
      <c r="J1" s="2444"/>
      <c r="K1" s="2444"/>
      <c r="L1" s="2444"/>
      <c r="M1" s="2444"/>
    </row>
    <row r="2" spans="2:14" ht="15" x14ac:dyDescent="0.2">
      <c r="B2" s="2445">
        <f>'Single Audit Cover'!E7</f>
        <v>21061001026</v>
      </c>
      <c r="C2" s="2445"/>
      <c r="D2" s="2445"/>
      <c r="E2" s="2445"/>
      <c r="F2" s="2445"/>
      <c r="G2" s="2445"/>
      <c r="H2" s="2445"/>
      <c r="I2" s="2445"/>
      <c r="J2" s="2445"/>
      <c r="K2" s="2445"/>
      <c r="L2" s="2445"/>
      <c r="M2" s="2445"/>
      <c r="N2" s="1299"/>
    </row>
    <row r="3" spans="2:14" ht="15" x14ac:dyDescent="0.2">
      <c r="B3" s="2446" t="s">
        <v>1219</v>
      </c>
      <c r="C3" s="2446"/>
      <c r="D3" s="2446"/>
      <c r="E3" s="2446"/>
      <c r="F3" s="2446"/>
      <c r="G3" s="2446"/>
      <c r="H3" s="2446"/>
      <c r="I3" s="2446"/>
      <c r="J3" s="2446"/>
      <c r="K3" s="2446"/>
      <c r="L3" s="2446"/>
      <c r="M3" s="2446"/>
      <c r="N3" s="1299"/>
    </row>
    <row r="4" spans="2:14" ht="15" x14ac:dyDescent="0.2">
      <c r="B4" s="2447" t="str">
        <f>'Single Audit Cover'!A4</f>
        <v>Year Ending June 30, 2019</v>
      </c>
      <c r="C4" s="2447"/>
      <c r="D4" s="2447"/>
      <c r="E4" s="2447"/>
      <c r="F4" s="2447"/>
      <c r="G4" s="2447"/>
      <c r="H4" s="2447"/>
      <c r="I4" s="2447"/>
      <c r="J4" s="2447"/>
      <c r="K4" s="2447"/>
      <c r="L4" s="2447"/>
      <c r="M4" s="2447"/>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1986</v>
      </c>
      <c r="K8" s="1316" t="s">
        <v>1261</v>
      </c>
      <c r="L8" s="1317" t="s">
        <v>1257</v>
      </c>
      <c r="M8" s="1318" t="s">
        <v>30</v>
      </c>
    </row>
    <row r="9" spans="2:14" ht="14.25" x14ac:dyDescent="0.2">
      <c r="B9" s="1322" t="s">
        <v>1259</v>
      </c>
      <c r="C9" s="1310" t="s">
        <v>1732</v>
      </c>
      <c r="D9" s="1311" t="s">
        <v>1733</v>
      </c>
      <c r="E9" s="1319" t="s">
        <v>1836</v>
      </c>
      <c r="F9" s="1320" t="s">
        <v>1986</v>
      </c>
      <c r="G9" s="1321" t="s">
        <v>1836</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2106</v>
      </c>
      <c r="C11" s="1335"/>
      <c r="D11" s="1336"/>
      <c r="E11" s="1337"/>
      <c r="F11" s="1337"/>
      <c r="G11" s="1337"/>
      <c r="H11" s="1337"/>
      <c r="I11" s="1337"/>
      <c r="J11" s="1337"/>
      <c r="K11" s="1337"/>
      <c r="L11" s="1337"/>
      <c r="M11" s="1337"/>
    </row>
    <row r="12" spans="2:14" ht="20.100000000000001" customHeight="1" x14ac:dyDescent="0.2">
      <c r="B12" s="1334" t="s">
        <v>2107</v>
      </c>
      <c r="C12" s="1338"/>
      <c r="D12" s="1339"/>
      <c r="E12" s="1340"/>
      <c r="F12" s="1340"/>
      <c r="G12" s="1340"/>
      <c r="H12" s="1340"/>
      <c r="I12" s="1340"/>
      <c r="J12" s="1340"/>
      <c r="K12" s="1340"/>
      <c r="L12" s="1337"/>
      <c r="M12" s="1340"/>
    </row>
    <row r="13" spans="2:14" ht="20.100000000000001" customHeight="1" x14ac:dyDescent="0.2">
      <c r="B13" s="1334" t="s">
        <v>2108</v>
      </c>
      <c r="C13" s="1338">
        <v>10.553000000000001</v>
      </c>
      <c r="D13" s="1339" t="s">
        <v>2109</v>
      </c>
      <c r="E13" s="1340">
        <v>181529</v>
      </c>
      <c r="F13" s="1340">
        <v>41502</v>
      </c>
      <c r="G13" s="1340">
        <v>181529</v>
      </c>
      <c r="H13" s="1340"/>
      <c r="I13" s="1340">
        <v>41502</v>
      </c>
      <c r="J13" s="1340"/>
      <c r="K13" s="1340"/>
      <c r="L13" s="1337">
        <f t="shared" ref="L13:L28" si="0">+G13+I13+K13</f>
        <v>223031</v>
      </c>
      <c r="M13" s="1340"/>
    </row>
    <row r="14" spans="2:14" ht="20.100000000000001" customHeight="1" x14ac:dyDescent="0.2">
      <c r="B14" s="1334" t="s">
        <v>2108</v>
      </c>
      <c r="C14" s="1338">
        <v>10.553000000000001</v>
      </c>
      <c r="D14" s="1339" t="s">
        <v>2110</v>
      </c>
      <c r="E14" s="1340"/>
      <c r="F14" s="1340">
        <v>155340</v>
      </c>
      <c r="G14" s="1340"/>
      <c r="H14" s="1340"/>
      <c r="I14" s="1340">
        <v>155340</v>
      </c>
      <c r="J14" s="1340"/>
      <c r="K14" s="1340"/>
      <c r="L14" s="1337">
        <f t="shared" si="0"/>
        <v>155340</v>
      </c>
      <c r="M14" s="1340"/>
    </row>
    <row r="15" spans="2:14" ht="20.100000000000001" customHeight="1" x14ac:dyDescent="0.2">
      <c r="B15" s="1334" t="s">
        <v>2133</v>
      </c>
      <c r="C15" s="1338"/>
      <c r="D15" s="1339"/>
      <c r="E15" s="1340">
        <f t="shared" ref="E15:K15" si="1">E13+E14</f>
        <v>181529</v>
      </c>
      <c r="F15" s="1340">
        <f t="shared" si="1"/>
        <v>196842</v>
      </c>
      <c r="G15" s="1340">
        <f t="shared" si="1"/>
        <v>181529</v>
      </c>
      <c r="H15" s="1340">
        <f t="shared" si="1"/>
        <v>0</v>
      </c>
      <c r="I15" s="1340">
        <f t="shared" si="1"/>
        <v>196842</v>
      </c>
      <c r="J15" s="1340">
        <f t="shared" si="1"/>
        <v>0</v>
      </c>
      <c r="K15" s="1340">
        <f t="shared" si="1"/>
        <v>0</v>
      </c>
      <c r="L15" s="1337">
        <f t="shared" si="0"/>
        <v>378371</v>
      </c>
      <c r="M15" s="1340">
        <f>M13+M14</f>
        <v>0</v>
      </c>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334" t="s">
        <v>2107</v>
      </c>
      <c r="C17" s="1338"/>
      <c r="D17" s="1339"/>
      <c r="E17" s="1340"/>
      <c r="F17" s="1340"/>
      <c r="G17" s="1340"/>
      <c r="H17" s="1340"/>
      <c r="I17" s="1340"/>
      <c r="J17" s="1340"/>
      <c r="K17" s="1340"/>
      <c r="L17" s="1337"/>
      <c r="M17" s="1340"/>
    </row>
    <row r="18" spans="2:14" ht="20.100000000000001" customHeight="1" x14ac:dyDescent="0.2">
      <c r="B18" s="1334" t="s">
        <v>2111</v>
      </c>
      <c r="C18" s="1338">
        <v>10.555</v>
      </c>
      <c r="D18" s="1339" t="s">
        <v>2112</v>
      </c>
      <c r="E18" s="1340">
        <v>442062</v>
      </c>
      <c r="F18" s="1340">
        <v>109665</v>
      </c>
      <c r="G18" s="1340">
        <v>442062</v>
      </c>
      <c r="H18" s="1340"/>
      <c r="I18" s="1340">
        <v>109665</v>
      </c>
      <c r="J18" s="1340"/>
      <c r="K18" s="1340"/>
      <c r="L18" s="1337">
        <f t="shared" si="0"/>
        <v>551727</v>
      </c>
      <c r="M18" s="1340"/>
    </row>
    <row r="19" spans="2:14" ht="20.100000000000001" customHeight="1" x14ac:dyDescent="0.2">
      <c r="B19" s="1334" t="s">
        <v>2111</v>
      </c>
      <c r="C19" s="1338">
        <v>10.555</v>
      </c>
      <c r="D19" s="1339" t="s">
        <v>2113</v>
      </c>
      <c r="E19" s="1340"/>
      <c r="F19" s="1340">
        <v>406434</v>
      </c>
      <c r="G19" s="1340"/>
      <c r="H19" s="1340"/>
      <c r="I19" s="1340">
        <v>406434</v>
      </c>
      <c r="J19" s="1340"/>
      <c r="K19" s="1340"/>
      <c r="L19" s="1337">
        <f t="shared" si="0"/>
        <v>406434</v>
      </c>
      <c r="M19" s="1340"/>
    </row>
    <row r="20" spans="2:14" ht="20.100000000000001" customHeight="1" x14ac:dyDescent="0.2">
      <c r="B20" s="1334" t="s">
        <v>2114</v>
      </c>
      <c r="C20" s="1338">
        <v>10.555</v>
      </c>
      <c r="D20" s="1339" t="s">
        <v>2115</v>
      </c>
      <c r="E20" s="1340">
        <v>74107</v>
      </c>
      <c r="F20" s="1340"/>
      <c r="G20" s="1340">
        <v>74107</v>
      </c>
      <c r="H20" s="1340"/>
      <c r="I20" s="1340"/>
      <c r="J20" s="1340"/>
      <c r="K20" s="1340"/>
      <c r="L20" s="1337">
        <f t="shared" si="0"/>
        <v>74107</v>
      </c>
      <c r="M20" s="1340"/>
    </row>
    <row r="21" spans="2:14" ht="20.100000000000001" customHeight="1" x14ac:dyDescent="0.2">
      <c r="B21" s="1334" t="s">
        <v>2114</v>
      </c>
      <c r="C21" s="1338">
        <v>10.555</v>
      </c>
      <c r="D21" s="1339" t="s">
        <v>2116</v>
      </c>
      <c r="E21" s="1340"/>
      <c r="F21" s="1340">
        <v>68771</v>
      </c>
      <c r="G21" s="1340"/>
      <c r="H21" s="1340"/>
      <c r="I21" s="1340">
        <v>68771</v>
      </c>
      <c r="J21" s="1340"/>
      <c r="K21" s="1340"/>
      <c r="L21" s="1337">
        <f t="shared" si="0"/>
        <v>68771</v>
      </c>
      <c r="M21" s="1340"/>
    </row>
    <row r="22" spans="2:14" ht="20.100000000000001" customHeight="1" x14ac:dyDescent="0.2">
      <c r="B22" s="1334" t="s">
        <v>2117</v>
      </c>
      <c r="C22" s="1338">
        <v>10.555</v>
      </c>
      <c r="D22" s="1339" t="s">
        <v>2115</v>
      </c>
      <c r="E22" s="1340">
        <v>15412</v>
      </c>
      <c r="F22" s="1340"/>
      <c r="G22" s="1340">
        <v>15412</v>
      </c>
      <c r="H22" s="1340"/>
      <c r="I22" s="1340"/>
      <c r="J22" s="1340"/>
      <c r="K22" s="1340"/>
      <c r="L22" s="1337">
        <f t="shared" si="0"/>
        <v>15412</v>
      </c>
      <c r="M22" s="1340"/>
    </row>
    <row r="23" spans="2:14" ht="20.100000000000001" customHeight="1" x14ac:dyDescent="0.2">
      <c r="B23" s="1334" t="s">
        <v>2117</v>
      </c>
      <c r="C23" s="1338">
        <v>10.555</v>
      </c>
      <c r="D23" s="1339" t="s">
        <v>2116</v>
      </c>
      <c r="E23" s="1340"/>
      <c r="F23" s="1340">
        <v>11190</v>
      </c>
      <c r="G23" s="1340"/>
      <c r="H23" s="1340"/>
      <c r="I23" s="1340">
        <v>11190</v>
      </c>
      <c r="J23" s="1340"/>
      <c r="K23" s="1340"/>
      <c r="L23" s="1337">
        <f t="shared" si="0"/>
        <v>11190</v>
      </c>
      <c r="M23" s="1340"/>
    </row>
    <row r="24" spans="2:14" ht="20.100000000000001" customHeight="1" x14ac:dyDescent="0.2">
      <c r="B24" s="1334" t="s">
        <v>2134</v>
      </c>
      <c r="C24" s="1338"/>
      <c r="D24" s="1339"/>
      <c r="E24" s="1340">
        <f t="shared" ref="E24:K24" si="2">SUM(E18:E23)</f>
        <v>531581</v>
      </c>
      <c r="F24" s="1340">
        <f t="shared" si="2"/>
        <v>596060</v>
      </c>
      <c r="G24" s="1340">
        <f t="shared" si="2"/>
        <v>531581</v>
      </c>
      <c r="H24" s="1340">
        <f t="shared" si="2"/>
        <v>0</v>
      </c>
      <c r="I24" s="1340">
        <f t="shared" si="2"/>
        <v>596060</v>
      </c>
      <c r="J24" s="1340">
        <f t="shared" si="2"/>
        <v>0</v>
      </c>
      <c r="K24" s="1340">
        <f t="shared" si="2"/>
        <v>0</v>
      </c>
      <c r="L24" s="1337">
        <f t="shared" si="0"/>
        <v>1127641</v>
      </c>
      <c r="M24" s="1340">
        <f>SUM(M18:M23)</f>
        <v>0</v>
      </c>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t="s">
        <v>2118</v>
      </c>
      <c r="C26" s="1338"/>
      <c r="D26" s="1339"/>
      <c r="E26" s="1340">
        <f t="shared" ref="E26:K26" si="3">E24+E15</f>
        <v>713110</v>
      </c>
      <c r="F26" s="1340">
        <f t="shared" si="3"/>
        <v>792902</v>
      </c>
      <c r="G26" s="1340">
        <f t="shared" si="3"/>
        <v>713110</v>
      </c>
      <c r="H26" s="1340">
        <f t="shared" si="3"/>
        <v>0</v>
      </c>
      <c r="I26" s="1340">
        <f t="shared" si="3"/>
        <v>792902</v>
      </c>
      <c r="J26" s="1340">
        <f t="shared" si="3"/>
        <v>0</v>
      </c>
      <c r="K26" s="1340">
        <f t="shared" si="3"/>
        <v>0</v>
      </c>
      <c r="L26" s="1337">
        <f t="shared" si="0"/>
        <v>1506012</v>
      </c>
      <c r="M26" s="1340">
        <f>M24+M15</f>
        <v>0</v>
      </c>
    </row>
    <row r="27" spans="2:14" ht="20.100000000000001" customHeight="1" x14ac:dyDescent="0.2">
      <c r="B27" s="1334"/>
      <c r="C27" s="1338"/>
      <c r="D27" s="1339"/>
      <c r="E27" s="1340"/>
      <c r="F27" s="1340"/>
      <c r="G27" s="1340"/>
      <c r="H27" s="1340"/>
      <c r="I27" s="1340"/>
      <c r="J27" s="1340"/>
      <c r="K27" s="1340"/>
      <c r="L27" s="1337"/>
      <c r="M27" s="1340"/>
    </row>
    <row r="28" spans="2:14" ht="20.100000000000001" customHeight="1" x14ac:dyDescent="0.2">
      <c r="B28" s="1334" t="s">
        <v>2119</v>
      </c>
      <c r="C28" s="1338"/>
      <c r="D28" s="1339"/>
      <c r="E28" s="1340">
        <f t="shared" ref="E28:K28" si="4">E26</f>
        <v>713110</v>
      </c>
      <c r="F28" s="1340">
        <f t="shared" si="4"/>
        <v>792902</v>
      </c>
      <c r="G28" s="1340">
        <f t="shared" si="4"/>
        <v>713110</v>
      </c>
      <c r="H28" s="1340">
        <f t="shared" si="4"/>
        <v>0</v>
      </c>
      <c r="I28" s="1340">
        <f t="shared" si="4"/>
        <v>792902</v>
      </c>
      <c r="J28" s="1340">
        <f t="shared" si="4"/>
        <v>0</v>
      </c>
      <c r="K28" s="1340">
        <f t="shared" si="4"/>
        <v>0</v>
      </c>
      <c r="L28" s="1337">
        <f t="shared" si="0"/>
        <v>1506012</v>
      </c>
      <c r="M28" s="1340">
        <f>M26</f>
        <v>0</v>
      </c>
      <c r="N28" s="1341"/>
    </row>
    <row r="29" spans="2:14" ht="12.75" customHeight="1" x14ac:dyDescent="0.2">
      <c r="B29" s="1342"/>
      <c r="C29" s="1343"/>
      <c r="D29" s="1344"/>
      <c r="E29" s="1345"/>
      <c r="F29" s="1345"/>
      <c r="G29" s="1345"/>
      <c r="H29" s="1345"/>
      <c r="I29" s="1345"/>
      <c r="J29" s="1345"/>
      <c r="K29" s="1345"/>
      <c r="L29" s="1345"/>
      <c r="M29" s="1345"/>
      <c r="N29" s="1341"/>
    </row>
    <row r="30" spans="2:14" x14ac:dyDescent="0.2">
      <c r="B30" s="1254"/>
      <c r="C30" s="1346"/>
      <c r="D30" s="1347"/>
      <c r="E30" s="1254"/>
      <c r="F30" s="1254"/>
      <c r="G30" s="1247"/>
      <c r="H30" s="1247"/>
      <c r="I30" s="1247"/>
      <c r="J30" s="1247"/>
      <c r="K30" s="1247"/>
      <c r="L30" s="1247"/>
      <c r="M30" s="1254"/>
      <c r="N30" s="1341"/>
    </row>
    <row r="31" spans="2:14" ht="13.5" customHeight="1" x14ac:dyDescent="0.2">
      <c r="B31" s="1279" t="s">
        <v>1734</v>
      </c>
      <c r="C31" s="1346"/>
      <c r="D31" s="1347"/>
      <c r="E31" s="1254"/>
      <c r="F31" s="1254"/>
      <c r="G31" s="1247"/>
      <c r="H31" s="1247"/>
      <c r="I31" s="1247"/>
      <c r="J31" s="1247"/>
      <c r="K31" s="1247"/>
      <c r="L31" s="1247"/>
      <c r="M31" s="1254"/>
      <c r="N31" s="1341"/>
    </row>
    <row r="32" spans="2:14" ht="8.25" customHeight="1" x14ac:dyDescent="0.2">
      <c r="B32" s="1279"/>
      <c r="C32" s="1346"/>
      <c r="D32" s="1347"/>
      <c r="E32" s="1254"/>
      <c r="F32" s="1254"/>
      <c r="G32" s="1247"/>
      <c r="H32" s="1247"/>
      <c r="I32" s="1247"/>
      <c r="J32" s="1247"/>
      <c r="K32" s="1247"/>
      <c r="L32" s="1247"/>
      <c r="M32" s="1254"/>
      <c r="N32" s="1341"/>
    </row>
    <row r="33" spans="2:13" x14ac:dyDescent="0.2">
      <c r="B33" s="1348" t="s">
        <v>1837</v>
      </c>
      <c r="C33" s="1349"/>
      <c r="D33" s="1350"/>
      <c r="E33" s="1351"/>
      <c r="F33" s="1351"/>
      <c r="G33" s="1351"/>
      <c r="H33" s="1351"/>
      <c r="I33" s="317"/>
      <c r="J33" s="317"/>
    </row>
    <row r="34" spans="2:13" x14ac:dyDescent="0.2">
      <c r="B34" s="1274"/>
      <c r="C34" s="1352"/>
      <c r="D34" s="1353"/>
      <c r="E34" s="1275"/>
      <c r="F34" s="1275"/>
      <c r="G34" s="317"/>
      <c r="H34" s="317"/>
      <c r="I34" s="317"/>
      <c r="J34" s="317"/>
    </row>
    <row r="35" spans="2:13" ht="13.5" customHeight="1" x14ac:dyDescent="0.2">
      <c r="B35" s="1273" t="s">
        <v>1246</v>
      </c>
      <c r="G35" s="317"/>
      <c r="H35" s="317"/>
      <c r="I35" s="317"/>
      <c r="J35" s="317"/>
    </row>
    <row r="36" spans="2:13" ht="13.5" customHeight="1" x14ac:dyDescent="0.2">
      <c r="B36" s="1356"/>
      <c r="C36" s="1357"/>
      <c r="D36" s="1358"/>
      <c r="E36" s="1294"/>
      <c r="F36" s="1294"/>
      <c r="G36" s="1294"/>
      <c r="H36" s="1294"/>
      <c r="I36" s="1294"/>
      <c r="J36" s="1294"/>
      <c r="K36" s="1359"/>
      <c r="L36" s="1359"/>
      <c r="M36" s="1294"/>
    </row>
    <row r="37" spans="2:13" ht="9.6" customHeight="1" x14ac:dyDescent="0.2">
      <c r="B37" s="1360"/>
      <c r="G37" s="317"/>
      <c r="H37" s="317"/>
      <c r="I37" s="317"/>
      <c r="J37" s="317"/>
    </row>
    <row r="38" spans="2:13" ht="11.25" customHeight="1" x14ac:dyDescent="0.2">
      <c r="B38" s="1361" t="s">
        <v>1735</v>
      </c>
      <c r="C38" s="1362"/>
      <c r="D38" s="1362"/>
      <c r="E38" s="1362"/>
      <c r="F38" s="1362"/>
      <c r="G38" s="1362"/>
      <c r="H38" s="1362"/>
      <c r="I38" s="1363"/>
      <c r="J38" s="1363"/>
      <c r="K38" s="1363"/>
      <c r="L38" s="1363"/>
      <c r="M38" s="1363"/>
    </row>
    <row r="39" spans="2:13" ht="11.25" customHeight="1" x14ac:dyDescent="0.2">
      <c r="B39" s="1364" t="s">
        <v>1584</v>
      </c>
      <c r="C39" s="1363"/>
      <c r="D39" s="1363"/>
      <c r="E39" s="1363"/>
      <c r="F39" s="1363"/>
      <c r="G39" s="1363"/>
      <c r="H39" s="1363"/>
      <c r="I39" s="1363"/>
      <c r="J39" s="1363"/>
      <c r="K39" s="1363"/>
      <c r="L39" s="1363"/>
      <c r="M39" s="1363"/>
    </row>
    <row r="40" spans="2:13" ht="3.95" customHeight="1" x14ac:dyDescent="0.2">
      <c r="B40" s="1364"/>
      <c r="C40" s="1363"/>
      <c r="D40" s="1363"/>
      <c r="E40" s="1363"/>
      <c r="F40" s="1363"/>
      <c r="G40" s="1363"/>
      <c r="H40" s="1363"/>
      <c r="I40" s="1363"/>
      <c r="J40" s="1363"/>
      <c r="K40" s="1363"/>
      <c r="L40" s="1363"/>
      <c r="M40" s="1363"/>
    </row>
    <row r="41" spans="2:13" ht="11.25" customHeight="1" x14ac:dyDescent="0.2">
      <c r="B41" s="1361" t="s">
        <v>1736</v>
      </c>
      <c r="C41" s="1363"/>
      <c r="D41" s="1363"/>
      <c r="E41" s="1363"/>
      <c r="F41" s="1363"/>
      <c r="G41" s="1363"/>
      <c r="H41" s="1363"/>
      <c r="I41" s="1363"/>
      <c r="J41" s="1363"/>
      <c r="K41" s="1363"/>
      <c r="L41" s="1363"/>
      <c r="M41" s="1363"/>
    </row>
    <row r="42" spans="2:13" ht="11.25" customHeight="1" x14ac:dyDescent="0.2">
      <c r="B42" s="1297" t="s">
        <v>1585</v>
      </c>
      <c r="C42" s="1365"/>
      <c r="D42" s="1366"/>
      <c r="E42" s="1297"/>
      <c r="F42" s="1297"/>
      <c r="G42" s="1297"/>
      <c r="H42" s="1297"/>
      <c r="I42" s="1297"/>
      <c r="J42" s="1297"/>
      <c r="K42" s="1367"/>
      <c r="L42" s="1367"/>
      <c r="M42" s="1297"/>
    </row>
    <row r="43" spans="2:13" ht="3.95" customHeight="1" x14ac:dyDescent="0.2">
      <c r="B43" s="1297"/>
      <c r="C43" s="1365"/>
      <c r="D43" s="1366"/>
      <c r="E43" s="1297"/>
      <c r="F43" s="1297"/>
      <c r="G43" s="1297"/>
      <c r="H43" s="1297"/>
      <c r="I43" s="1297"/>
      <c r="J43" s="1297"/>
      <c r="K43" s="1367"/>
      <c r="L43" s="1367"/>
      <c r="M43" s="1297"/>
    </row>
    <row r="44" spans="2:13" ht="11.25" customHeight="1" x14ac:dyDescent="0.2">
      <c r="B44" s="1368" t="s">
        <v>1737</v>
      </c>
      <c r="C44" s="1365"/>
      <c r="D44" s="1366"/>
      <c r="E44" s="1297"/>
      <c r="F44" s="1297"/>
      <c r="G44" s="1297"/>
      <c r="H44" s="1297"/>
      <c r="I44" s="1297"/>
      <c r="J44" s="1297"/>
      <c r="K44" s="1367"/>
      <c r="L44" s="1367"/>
      <c r="M44" s="1297"/>
    </row>
    <row r="45" spans="2:13" ht="3.95" customHeight="1" x14ac:dyDescent="0.2">
      <c r="B45" s="1368"/>
      <c r="C45" s="1365"/>
      <c r="D45" s="1366"/>
      <c r="E45" s="1297"/>
      <c r="F45" s="1297"/>
      <c r="G45" s="1297"/>
      <c r="H45" s="1297"/>
      <c r="I45" s="1297"/>
      <c r="J45" s="1297"/>
      <c r="K45" s="1367"/>
      <c r="L45" s="1367"/>
      <c r="M45" s="1297"/>
    </row>
    <row r="46" spans="2:13" ht="11.25" customHeight="1" x14ac:dyDescent="0.2">
      <c r="B46" s="1369" t="s">
        <v>1738</v>
      </c>
      <c r="C46" s="1365"/>
      <c r="D46" s="1366"/>
      <c r="E46" s="1297"/>
      <c r="F46" s="1297"/>
      <c r="G46" s="1297"/>
      <c r="H46" s="1297"/>
      <c r="I46" s="1297"/>
      <c r="J46" s="1297"/>
      <c r="K46" s="1367"/>
      <c r="L46" s="1367"/>
      <c r="M46" s="1297"/>
    </row>
    <row r="47" spans="2:13" ht="11.25" customHeight="1" x14ac:dyDescent="0.2">
      <c r="B47" s="1297" t="s">
        <v>1586</v>
      </c>
      <c r="G47" s="317"/>
      <c r="H47" s="317"/>
      <c r="I47" s="317"/>
      <c r="J47" s="317"/>
    </row>
    <row r="48" spans="2:13" ht="11.1" customHeight="1" x14ac:dyDescent="0.2">
      <c r="B48" s="1297"/>
      <c r="G48" s="317"/>
      <c r="H48" s="317"/>
      <c r="I48" s="317"/>
      <c r="J48" s="317"/>
    </row>
    <row r="49" spans="2:13" ht="11.1" customHeight="1" x14ac:dyDescent="0.2">
      <c r="B49" s="1297"/>
      <c r="G49" s="317"/>
      <c r="H49" s="317"/>
      <c r="I49" s="317"/>
      <c r="J49" s="317"/>
    </row>
    <row r="50" spans="2:13" ht="13.5" customHeight="1" x14ac:dyDescent="0.2">
      <c r="M50" s="1370"/>
    </row>
    <row r="51" spans="2:13" ht="13.5" customHeight="1" x14ac:dyDescent="0.2">
      <c r="M51" s="1370"/>
    </row>
    <row r="52" spans="2:13" ht="13.5" customHeight="1" x14ac:dyDescent="0.2">
      <c r="M52" s="1370"/>
    </row>
    <row r="53" spans="2:13" ht="13.5" customHeight="1" x14ac:dyDescent="0.2">
      <c r="G53" s="317"/>
      <c r="H53" s="317"/>
      <c r="I53" s="317"/>
      <c r="J53" s="317"/>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rintOptions horizontalCentered="1"/>
  <pageMargins left="0.7" right="0.7" top="0.75" bottom="0.75" header="0.3" footer="0.4"/>
  <pageSetup scale="73" orientation="landscape" r:id="rId1"/>
  <headerFooter>
    <oddFooter>&amp;CSee Independent Accounts' Report.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E234F-F6DD-4BF2-AD29-877920649731}">
  <dimension ref="B1:N152"/>
  <sheetViews>
    <sheetView topLeftCell="A8" zoomScaleNormal="100" workbookViewId="0">
      <selection activeCell="E13" sqref="E13"/>
    </sheetView>
  </sheetViews>
  <sheetFormatPr defaultColWidth="33.5703125" defaultRowHeight="12.75" x14ac:dyDescent="0.2"/>
  <cols>
    <col min="1" max="1" width="0.140625" style="317" customWidth="1"/>
    <col min="2" max="2" width="35.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1" t="str">
        <f>'Single Audit Cover'!A7</f>
        <v>Massac UD 1</v>
      </c>
      <c r="C1" s="2444"/>
      <c r="D1" s="2444"/>
      <c r="E1" s="2444"/>
      <c r="F1" s="2444"/>
      <c r="G1" s="2444"/>
      <c r="H1" s="2444"/>
      <c r="I1" s="2444"/>
      <c r="J1" s="2444"/>
      <c r="K1" s="2444"/>
      <c r="L1" s="2444"/>
      <c r="M1" s="2444"/>
    </row>
    <row r="2" spans="2:14" ht="15" x14ac:dyDescent="0.2">
      <c r="B2" s="2445">
        <f>'Single Audit Cover'!E7</f>
        <v>21061001026</v>
      </c>
      <c r="C2" s="2445"/>
      <c r="D2" s="2445"/>
      <c r="E2" s="2445"/>
      <c r="F2" s="2445"/>
      <c r="G2" s="2445"/>
      <c r="H2" s="2445"/>
      <c r="I2" s="2445"/>
      <c r="J2" s="2445"/>
      <c r="K2" s="2445"/>
      <c r="L2" s="2445"/>
      <c r="M2" s="2445"/>
      <c r="N2" s="1299"/>
    </row>
    <row r="3" spans="2:14" ht="15" x14ac:dyDescent="0.2">
      <c r="B3" s="2446" t="s">
        <v>1219</v>
      </c>
      <c r="C3" s="2446"/>
      <c r="D3" s="2446"/>
      <c r="E3" s="2446"/>
      <c r="F3" s="2446"/>
      <c r="G3" s="2446"/>
      <c r="H3" s="2446"/>
      <c r="I3" s="2446"/>
      <c r="J3" s="2446"/>
      <c r="K3" s="2446"/>
      <c r="L3" s="2446"/>
      <c r="M3" s="2446"/>
      <c r="N3" s="1299"/>
    </row>
    <row r="4" spans="2:14" ht="15" x14ac:dyDescent="0.2">
      <c r="B4" s="2447" t="str">
        <f>'Single Audit Cover'!A4</f>
        <v>Year Ending June 30, 2019</v>
      </c>
      <c r="C4" s="2447"/>
      <c r="D4" s="2447"/>
      <c r="E4" s="2447"/>
      <c r="F4" s="2447"/>
      <c r="G4" s="2447"/>
      <c r="H4" s="2447"/>
      <c r="I4" s="2447"/>
      <c r="J4" s="2447"/>
      <c r="K4" s="2447"/>
      <c r="L4" s="2447"/>
      <c r="M4" s="2447"/>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1986</v>
      </c>
      <c r="K8" s="1316" t="s">
        <v>1261</v>
      </c>
      <c r="L8" s="1317" t="s">
        <v>1257</v>
      </c>
      <c r="M8" s="1318" t="s">
        <v>30</v>
      </c>
    </row>
    <row r="9" spans="2:14" ht="14.25" x14ac:dyDescent="0.2">
      <c r="B9" s="1322" t="s">
        <v>1259</v>
      </c>
      <c r="C9" s="1310" t="s">
        <v>1732</v>
      </c>
      <c r="D9" s="1311" t="s">
        <v>1733</v>
      </c>
      <c r="E9" s="1319" t="s">
        <v>1836</v>
      </c>
      <c r="F9" s="1320" t="s">
        <v>1986</v>
      </c>
      <c r="G9" s="1321" t="s">
        <v>1836</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2120</v>
      </c>
      <c r="C11" s="1335"/>
      <c r="D11" s="1336"/>
      <c r="E11" s="1337"/>
      <c r="F11" s="1337"/>
      <c r="G11" s="1337"/>
      <c r="H11" s="1337"/>
      <c r="I11" s="1337"/>
      <c r="J11" s="1337"/>
      <c r="K11" s="1337"/>
      <c r="L11" s="1337"/>
      <c r="M11" s="1337"/>
    </row>
    <row r="12" spans="2:14" ht="20.100000000000001" customHeight="1" x14ac:dyDescent="0.2">
      <c r="B12" s="1334" t="s">
        <v>2107</v>
      </c>
      <c r="C12" s="1338"/>
      <c r="D12" s="1339"/>
      <c r="E12" s="1340"/>
      <c r="F12" s="1340"/>
      <c r="G12" s="1340"/>
      <c r="H12" s="1340"/>
      <c r="I12" s="1340"/>
      <c r="J12" s="1340"/>
      <c r="K12" s="1340"/>
      <c r="L12" s="1337"/>
      <c r="M12" s="1340"/>
    </row>
    <row r="13" spans="2:14" ht="20.100000000000001" customHeight="1" x14ac:dyDescent="0.2">
      <c r="B13" s="1334" t="s">
        <v>2121</v>
      </c>
      <c r="C13" s="1338">
        <v>84.01</v>
      </c>
      <c r="D13" s="1339" t="s">
        <v>2122</v>
      </c>
      <c r="E13" s="1340">
        <v>386335</v>
      </c>
      <c r="F13" s="1340">
        <v>420838</v>
      </c>
      <c r="G13" s="1340">
        <v>638404</v>
      </c>
      <c r="H13" s="1340"/>
      <c r="I13" s="1340">
        <v>168769</v>
      </c>
      <c r="J13" s="1340"/>
      <c r="K13" s="1340"/>
      <c r="L13" s="1337">
        <f t="shared" ref="L13:L27" si="0">+G13+I13+K13</f>
        <v>807173</v>
      </c>
      <c r="M13" s="1340">
        <v>1089693</v>
      </c>
    </row>
    <row r="14" spans="2:14" ht="20.100000000000001" customHeight="1" x14ac:dyDescent="0.2">
      <c r="B14" s="1334" t="s">
        <v>2121</v>
      </c>
      <c r="C14" s="1338">
        <v>84.01</v>
      </c>
      <c r="D14" s="1339" t="s">
        <v>2123</v>
      </c>
      <c r="E14" s="1340"/>
      <c r="F14" s="1340">
        <v>547254</v>
      </c>
      <c r="G14" s="1340"/>
      <c r="H14" s="1340"/>
      <c r="I14" s="1340">
        <v>760834</v>
      </c>
      <c r="J14" s="1340"/>
      <c r="K14" s="1340">
        <v>200000</v>
      </c>
      <c r="L14" s="1337">
        <f t="shared" si="0"/>
        <v>960834</v>
      </c>
      <c r="M14" s="1340">
        <v>1052997</v>
      </c>
    </row>
    <row r="15" spans="2:14" ht="20.100000000000001" customHeight="1" x14ac:dyDescent="0.2">
      <c r="B15" s="1334" t="s">
        <v>2121</v>
      </c>
      <c r="C15" s="1338">
        <v>84.01</v>
      </c>
      <c r="D15" s="1339" t="s">
        <v>2124</v>
      </c>
      <c r="E15" s="1340"/>
      <c r="F15" s="1340">
        <v>2771</v>
      </c>
      <c r="G15" s="1340"/>
      <c r="H15" s="1340"/>
      <c r="I15" s="1340">
        <v>31388</v>
      </c>
      <c r="J15" s="1340"/>
      <c r="K15" s="1340">
        <v>10000</v>
      </c>
      <c r="L15" s="1337">
        <f t="shared" si="0"/>
        <v>41388</v>
      </c>
      <c r="M15" s="1340">
        <v>77201</v>
      </c>
    </row>
    <row r="16" spans="2:14" ht="20.100000000000001" customHeight="1" x14ac:dyDescent="0.2">
      <c r="B16" s="1334" t="s">
        <v>2132</v>
      </c>
      <c r="C16" s="1338"/>
      <c r="D16" s="1339"/>
      <c r="E16" s="1340">
        <f t="shared" ref="E16:K16" si="1">SUM(E13:E15)</f>
        <v>386335</v>
      </c>
      <c r="F16" s="1340">
        <f t="shared" si="1"/>
        <v>970863</v>
      </c>
      <c r="G16" s="1340">
        <f t="shared" si="1"/>
        <v>638404</v>
      </c>
      <c r="H16" s="1340">
        <f t="shared" si="1"/>
        <v>0</v>
      </c>
      <c r="I16" s="1340">
        <f t="shared" si="1"/>
        <v>960991</v>
      </c>
      <c r="J16" s="1340">
        <f t="shared" si="1"/>
        <v>0</v>
      </c>
      <c r="K16" s="1340">
        <f t="shared" si="1"/>
        <v>210000</v>
      </c>
      <c r="L16" s="1337">
        <f t="shared" si="0"/>
        <v>1809395</v>
      </c>
      <c r="M16" s="1340">
        <f>SUM(M13:M15)</f>
        <v>2219891</v>
      </c>
    </row>
    <row r="17" spans="2:14" ht="20.100000000000001" customHeight="1" x14ac:dyDescent="0.2">
      <c r="B17" s="1334"/>
      <c r="C17" s="1338"/>
      <c r="D17" s="1339"/>
      <c r="E17" s="1340"/>
      <c r="F17" s="1340"/>
      <c r="G17" s="1340"/>
      <c r="H17" s="1340"/>
      <c r="I17" s="1340"/>
      <c r="J17" s="1340"/>
      <c r="K17" s="1340"/>
      <c r="L17" s="1337"/>
      <c r="M17" s="1340"/>
    </row>
    <row r="18" spans="2:14" ht="20.100000000000001" customHeight="1" x14ac:dyDescent="0.2">
      <c r="B18" s="1334" t="s">
        <v>2107</v>
      </c>
      <c r="C18" s="1338"/>
      <c r="D18" s="1339"/>
      <c r="E18" s="1340"/>
      <c r="F18" s="1340"/>
      <c r="G18" s="1340"/>
      <c r="H18" s="1340"/>
      <c r="I18" s="1340"/>
      <c r="J18" s="1340"/>
      <c r="K18" s="1340"/>
      <c r="L18" s="1337"/>
      <c r="M18" s="1340"/>
    </row>
    <row r="19" spans="2:14" ht="20.100000000000001" customHeight="1" x14ac:dyDescent="0.2">
      <c r="B19" s="1334" t="s">
        <v>2125</v>
      </c>
      <c r="C19" s="1338">
        <v>84.027000000000001</v>
      </c>
      <c r="D19" s="1339" t="s">
        <v>2126</v>
      </c>
      <c r="E19" s="1340">
        <v>275442</v>
      </c>
      <c r="F19" s="1340">
        <v>188180</v>
      </c>
      <c r="G19" s="1340">
        <v>396398</v>
      </c>
      <c r="H19" s="1340"/>
      <c r="I19" s="1340">
        <v>67224</v>
      </c>
      <c r="J19" s="1340"/>
      <c r="K19" s="1340"/>
      <c r="L19" s="1337">
        <f t="shared" si="0"/>
        <v>463622</v>
      </c>
      <c r="M19" s="1340">
        <v>600040</v>
      </c>
    </row>
    <row r="20" spans="2:14" ht="20.100000000000001" customHeight="1" x14ac:dyDescent="0.2">
      <c r="B20" s="1334" t="s">
        <v>2125</v>
      </c>
      <c r="C20" s="1338">
        <v>84.027000000000001</v>
      </c>
      <c r="D20" s="1339" t="s">
        <v>2127</v>
      </c>
      <c r="E20" s="1340"/>
      <c r="F20" s="1340">
        <v>296731</v>
      </c>
      <c r="G20" s="1340"/>
      <c r="H20" s="1340"/>
      <c r="I20" s="1340">
        <v>432889</v>
      </c>
      <c r="J20" s="1340"/>
      <c r="K20" s="1340">
        <v>100000</v>
      </c>
      <c r="L20" s="1337">
        <f t="shared" si="0"/>
        <v>532889</v>
      </c>
      <c r="M20" s="1340">
        <v>599837</v>
      </c>
    </row>
    <row r="21" spans="2:14" ht="20.100000000000001" customHeight="1" x14ac:dyDescent="0.2">
      <c r="B21" s="1334" t="s">
        <v>2125</v>
      </c>
      <c r="C21" s="1338">
        <v>84.027000000000001</v>
      </c>
      <c r="D21" s="1339" t="s">
        <v>2128</v>
      </c>
      <c r="E21" s="1340"/>
      <c r="F21" s="1340">
        <v>14759</v>
      </c>
      <c r="G21" s="1340"/>
      <c r="H21" s="1340"/>
      <c r="I21" s="1340">
        <v>14759</v>
      </c>
      <c r="J21" s="1340"/>
      <c r="K21" s="1340"/>
      <c r="L21" s="1337">
        <f t="shared" si="0"/>
        <v>14759</v>
      </c>
      <c r="M21" s="1340"/>
    </row>
    <row r="22" spans="2:14" ht="20.100000000000001" customHeight="1" x14ac:dyDescent="0.2">
      <c r="B22" s="1334" t="s">
        <v>2130</v>
      </c>
      <c r="C22" s="1338"/>
      <c r="D22" s="1339"/>
      <c r="E22" s="1340">
        <f t="shared" ref="E22:K22" si="2">SUM(E19:E21)</f>
        <v>275442</v>
      </c>
      <c r="F22" s="1340">
        <f t="shared" si="2"/>
        <v>499670</v>
      </c>
      <c r="G22" s="1340">
        <f t="shared" si="2"/>
        <v>396398</v>
      </c>
      <c r="H22" s="1340">
        <f t="shared" si="2"/>
        <v>0</v>
      </c>
      <c r="I22" s="1340">
        <f t="shared" si="2"/>
        <v>514872</v>
      </c>
      <c r="J22" s="1340">
        <f t="shared" si="2"/>
        <v>0</v>
      </c>
      <c r="K22" s="1340">
        <f t="shared" si="2"/>
        <v>100000</v>
      </c>
      <c r="L22" s="1337">
        <f t="shared" si="0"/>
        <v>1011270</v>
      </c>
      <c r="M22" s="1340">
        <f>SUM(M19:M21)</f>
        <v>1199877</v>
      </c>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t="s">
        <v>2107</v>
      </c>
      <c r="C24" s="1338"/>
      <c r="D24" s="1339"/>
      <c r="E24" s="1340"/>
      <c r="F24" s="1340"/>
      <c r="G24" s="1340"/>
      <c r="H24" s="1340"/>
      <c r="I24" s="1340"/>
      <c r="J24" s="1340"/>
      <c r="K24" s="1340"/>
      <c r="L24" s="1337"/>
      <c r="M24" s="1340"/>
    </row>
    <row r="25" spans="2:14" ht="20.100000000000001" customHeight="1" x14ac:dyDescent="0.2">
      <c r="B25" s="1334" t="s">
        <v>2129</v>
      </c>
      <c r="C25" s="1338">
        <v>84.173000000000002</v>
      </c>
      <c r="D25" s="1339" t="s">
        <v>2135</v>
      </c>
      <c r="E25" s="1340">
        <v>21928</v>
      </c>
      <c r="F25" s="1340">
        <v>8775</v>
      </c>
      <c r="G25" s="1340">
        <v>30703</v>
      </c>
      <c r="H25" s="1340"/>
      <c r="I25" s="1340"/>
      <c r="J25" s="1340"/>
      <c r="K25" s="1340"/>
      <c r="L25" s="1337">
        <f t="shared" si="0"/>
        <v>30703</v>
      </c>
      <c r="M25" s="1340">
        <v>31532</v>
      </c>
    </row>
    <row r="26" spans="2:14" ht="20.100000000000001" customHeight="1" x14ac:dyDescent="0.2">
      <c r="B26" s="1334" t="s">
        <v>2129</v>
      </c>
      <c r="C26" s="1338">
        <v>84.173000000000002</v>
      </c>
      <c r="D26" s="1339" t="s">
        <v>2136</v>
      </c>
      <c r="E26" s="1340"/>
      <c r="F26" s="1340">
        <v>32800</v>
      </c>
      <c r="G26" s="1340"/>
      <c r="H26" s="1340"/>
      <c r="I26" s="1340">
        <v>34400</v>
      </c>
      <c r="J26" s="1340"/>
      <c r="K26" s="1340"/>
      <c r="L26" s="1337">
        <f t="shared" si="0"/>
        <v>34400</v>
      </c>
      <c r="M26" s="1340">
        <v>34400</v>
      </c>
    </row>
    <row r="27" spans="2:14" ht="20.100000000000001" customHeight="1" x14ac:dyDescent="0.2">
      <c r="B27" s="1334" t="s">
        <v>2131</v>
      </c>
      <c r="C27" s="1338"/>
      <c r="D27" s="1339"/>
      <c r="E27" s="1340">
        <f t="shared" ref="E27:K27" si="3">SUM(E25:E26)</f>
        <v>21928</v>
      </c>
      <c r="F27" s="1340">
        <f t="shared" si="3"/>
        <v>41575</v>
      </c>
      <c r="G27" s="1340">
        <f t="shared" si="3"/>
        <v>30703</v>
      </c>
      <c r="H27" s="1340">
        <f t="shared" si="3"/>
        <v>0</v>
      </c>
      <c r="I27" s="1340">
        <f t="shared" si="3"/>
        <v>34400</v>
      </c>
      <c r="J27" s="1340">
        <f t="shared" si="3"/>
        <v>0</v>
      </c>
      <c r="K27" s="1340">
        <f t="shared" si="3"/>
        <v>0</v>
      </c>
      <c r="L27" s="1337">
        <f t="shared" si="0"/>
        <v>65103</v>
      </c>
      <c r="M27" s="1340">
        <f>SUM(M25:M26)</f>
        <v>65932</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pageMargins left="0.7" right="0.7" top="0.75" bottom="0.75" header="0.3" footer="0.4"/>
  <pageSetup scale="74" orientation="landscape" r:id="rId1"/>
  <headerFooter>
    <oddFooter>&amp;CSee Independent Auditors' Report.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76" colorId="8" zoomScale="110" zoomScaleNormal="110" workbookViewId="0">
      <selection activeCell="D41" sqref="D4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5" t="s">
        <v>1168</v>
      </c>
      <c r="B2" s="2065"/>
      <c r="C2" s="2065"/>
      <c r="D2" s="2065"/>
      <c r="E2" s="2065"/>
      <c r="F2" s="2065"/>
      <c r="G2" s="2065"/>
      <c r="H2" s="2065"/>
      <c r="I2" s="2065"/>
      <c r="J2" s="206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1942</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9" t="s">
        <v>1633</v>
      </c>
      <c r="B35" s="2080"/>
      <c r="C35" s="2080"/>
      <c r="D35" s="2080"/>
      <c r="E35" s="2081"/>
      <c r="F35" s="2081"/>
      <c r="G35" s="2081"/>
      <c r="H35" s="2081"/>
      <c r="I35" s="208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9" t="s">
        <v>313</v>
      </c>
      <c r="B47" s="2082"/>
      <c r="C47" s="2082"/>
      <c r="D47" s="2082"/>
      <c r="E47" s="2083"/>
      <c r="F47" s="2083"/>
      <c r="G47" s="2083"/>
      <c r="H47" s="2083"/>
      <c r="I47" s="208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2060</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2060</v>
      </c>
      <c r="C53" s="179">
        <v>22</v>
      </c>
      <c r="D53" s="247" t="s">
        <v>1462</v>
      </c>
      <c r="E53" s="248"/>
      <c r="F53" s="249"/>
      <c r="G53" s="249" t="s">
        <v>1461</v>
      </c>
      <c r="H53" s="250">
        <v>36847</v>
      </c>
      <c r="I53" s="237" t="s">
        <v>1483</v>
      </c>
    </row>
    <row r="54" spans="1:10" s="181" customFormat="1" x14ac:dyDescent="0.2">
      <c r="A54" s="219"/>
      <c r="B54" s="220" t="s">
        <v>2060</v>
      </c>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6" t="s">
        <v>2074</v>
      </c>
      <c r="C57" s="2087"/>
      <c r="D57" s="2087"/>
      <c r="E57" s="2087"/>
      <c r="F57" s="2087"/>
      <c r="G57" s="2087"/>
      <c r="H57" s="2087"/>
      <c r="I57" s="2087"/>
      <c r="J57" s="2088"/>
    </row>
    <row r="58" spans="1:10" s="181" customFormat="1" x14ac:dyDescent="0.2">
      <c r="A58" s="253"/>
      <c r="B58" s="2089"/>
      <c r="C58" s="2090"/>
      <c r="D58" s="2090"/>
      <c r="E58" s="2090"/>
      <c r="F58" s="2090"/>
      <c r="G58" s="2090"/>
      <c r="H58" s="2090"/>
      <c r="I58" s="2090"/>
      <c r="J58" s="2091"/>
    </row>
    <row r="59" spans="1:10" s="181" customFormat="1" x14ac:dyDescent="0.2">
      <c r="A59" s="253"/>
      <c r="B59" s="2089"/>
      <c r="C59" s="2090"/>
      <c r="D59" s="2090"/>
      <c r="E59" s="2090"/>
      <c r="F59" s="2090"/>
      <c r="G59" s="2090"/>
      <c r="H59" s="2090"/>
      <c r="I59" s="2090"/>
      <c r="J59" s="2091"/>
    </row>
    <row r="60" spans="1:10" s="181" customFormat="1" x14ac:dyDescent="0.2">
      <c r="A60" s="253"/>
      <c r="B60" s="2089"/>
      <c r="C60" s="2090"/>
      <c r="D60" s="2090"/>
      <c r="E60" s="2090"/>
      <c r="F60" s="2090"/>
      <c r="G60" s="2090"/>
      <c r="H60" s="2090"/>
      <c r="I60" s="2090"/>
      <c r="J60" s="2091"/>
    </row>
    <row r="61" spans="1:10" s="181" customFormat="1" x14ac:dyDescent="0.2">
      <c r="A61" s="253"/>
      <c r="B61" s="2089"/>
      <c r="C61" s="2090"/>
      <c r="D61" s="2090"/>
      <c r="E61" s="2090"/>
      <c r="F61" s="2090"/>
      <c r="G61" s="2090"/>
      <c r="H61" s="2090"/>
      <c r="I61" s="2090"/>
      <c r="J61" s="2091"/>
    </row>
    <row r="62" spans="1:10" s="181" customFormat="1" x14ac:dyDescent="0.2">
      <c r="A62" s="253"/>
      <c r="B62" s="2089"/>
      <c r="C62" s="2090"/>
      <c r="D62" s="2090"/>
      <c r="E62" s="2090"/>
      <c r="F62" s="2090"/>
      <c r="G62" s="2090"/>
      <c r="H62" s="2090"/>
      <c r="I62" s="2090"/>
      <c r="J62" s="2091"/>
    </row>
    <row r="63" spans="1:10" s="181" customFormat="1" x14ac:dyDescent="0.2">
      <c r="A63" s="253"/>
      <c r="B63" s="2089"/>
      <c r="C63" s="2090"/>
      <c r="D63" s="2090"/>
      <c r="E63" s="2090"/>
      <c r="F63" s="2090"/>
      <c r="G63" s="2090"/>
      <c r="H63" s="2090"/>
      <c r="I63" s="2090"/>
      <c r="J63" s="2091"/>
    </row>
    <row r="64" spans="1:10" s="181" customFormat="1" x14ac:dyDescent="0.2">
      <c r="A64" s="253"/>
      <c r="B64" s="2089"/>
      <c r="C64" s="2090"/>
      <c r="D64" s="2090"/>
      <c r="E64" s="2090"/>
      <c r="F64" s="2090"/>
      <c r="G64" s="2090"/>
      <c r="H64" s="2090"/>
      <c r="I64" s="2090"/>
      <c r="J64" s="2091"/>
    </row>
    <row r="65" spans="1:10" s="181" customFormat="1" x14ac:dyDescent="0.2">
      <c r="A65" s="253"/>
      <c r="B65" s="2089"/>
      <c r="C65" s="2090"/>
      <c r="D65" s="2090"/>
      <c r="E65" s="2090"/>
      <c r="F65" s="2090"/>
      <c r="G65" s="2090"/>
      <c r="H65" s="2090"/>
      <c r="I65" s="2090"/>
      <c r="J65" s="2091"/>
    </row>
    <row r="66" spans="1:10" s="181" customFormat="1" x14ac:dyDescent="0.2">
      <c r="A66" s="253"/>
      <c r="B66" s="2089"/>
      <c r="C66" s="2090"/>
      <c r="D66" s="2090"/>
      <c r="E66" s="2090"/>
      <c r="F66" s="2090"/>
      <c r="G66" s="2090"/>
      <c r="H66" s="2090"/>
      <c r="I66" s="2090"/>
      <c r="J66" s="2091"/>
    </row>
    <row r="67" spans="1:10" s="181" customFormat="1" ht="9" customHeight="1" x14ac:dyDescent="0.2">
      <c r="A67" s="254"/>
      <c r="B67" s="2092"/>
      <c r="C67" s="2093"/>
      <c r="D67" s="2093"/>
      <c r="E67" s="2093"/>
      <c r="F67" s="2093"/>
      <c r="G67" s="2093"/>
      <c r="H67" s="2093"/>
      <c r="I67" s="2093"/>
      <c r="J67" s="209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9" t="s">
        <v>1323</v>
      </c>
      <c r="B70" s="2082"/>
      <c r="C70" s="2082"/>
      <c r="D70" s="2082"/>
      <c r="E70" s="2083"/>
      <c r="F70" s="2083"/>
      <c r="G70" s="2083"/>
      <c r="H70" s="2083"/>
      <c r="I70" s="208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4" t="s">
        <v>1320</v>
      </c>
      <c r="B83" s="2084"/>
      <c r="C83" s="2084"/>
      <c r="D83" s="208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6"/>
      <c r="C102" s="2067"/>
      <c r="D102" s="2067"/>
      <c r="E102" s="2067"/>
      <c r="F102" s="2067"/>
      <c r="G102" s="2067"/>
      <c r="H102" s="2067"/>
      <c r="I102" s="2068"/>
    </row>
    <row r="103" spans="1:9" s="181" customFormat="1" ht="11.25" customHeight="1" x14ac:dyDescent="0.2">
      <c r="A103" s="316"/>
      <c r="B103" s="2069"/>
      <c r="C103" s="2070"/>
      <c r="D103" s="2070"/>
      <c r="E103" s="2070"/>
      <c r="F103" s="2070"/>
      <c r="G103" s="2070"/>
      <c r="H103" s="2070"/>
      <c r="I103" s="2071"/>
    </row>
    <row r="104" spans="1:9" s="181" customFormat="1" ht="11.25" customHeight="1" x14ac:dyDescent="0.2">
      <c r="A104" s="316"/>
      <c r="B104" s="2069"/>
      <c r="C104" s="2070"/>
      <c r="D104" s="2070"/>
      <c r="E104" s="2070"/>
      <c r="F104" s="2070"/>
      <c r="G104" s="2070"/>
      <c r="H104" s="2070"/>
      <c r="I104" s="2071"/>
    </row>
    <row r="105" spans="1:9" s="181" customFormat="1" x14ac:dyDescent="0.2">
      <c r="A105" s="316"/>
      <c r="B105" s="2069"/>
      <c r="C105" s="2070"/>
      <c r="D105" s="2070"/>
      <c r="E105" s="2070"/>
      <c r="F105" s="2070"/>
      <c r="G105" s="2070"/>
      <c r="H105" s="2070"/>
      <c r="I105" s="2071"/>
    </row>
    <row r="106" spans="1:9" s="181" customFormat="1" ht="11.25" customHeight="1" x14ac:dyDescent="0.2">
      <c r="A106" s="316"/>
      <c r="B106" s="2069"/>
      <c r="C106" s="2070"/>
      <c r="D106" s="2070"/>
      <c r="E106" s="2070"/>
      <c r="F106" s="2070"/>
      <c r="G106" s="2070"/>
      <c r="H106" s="2070"/>
      <c r="I106" s="2071"/>
    </row>
    <row r="107" spans="1:9" s="181" customFormat="1" ht="11.25" customHeight="1" x14ac:dyDescent="0.2">
      <c r="A107" s="316"/>
      <c r="B107" s="2069"/>
      <c r="C107" s="2070"/>
      <c r="D107" s="2070"/>
      <c r="E107" s="2070"/>
      <c r="F107" s="2070"/>
      <c r="G107" s="2070"/>
      <c r="H107" s="2070"/>
      <c r="I107" s="2071"/>
    </row>
    <row r="108" spans="1:9" s="181" customFormat="1" ht="11.25" customHeight="1" x14ac:dyDescent="0.2">
      <c r="A108" s="316"/>
      <c r="B108" s="2069"/>
      <c r="C108" s="2070"/>
      <c r="D108" s="2070"/>
      <c r="E108" s="2070"/>
      <c r="F108" s="2070"/>
      <c r="G108" s="2070"/>
      <c r="H108" s="2070"/>
      <c r="I108" s="2071"/>
    </row>
    <row r="109" spans="1:9" s="181" customFormat="1" ht="11.25" customHeight="1" x14ac:dyDescent="0.2">
      <c r="A109" s="316"/>
      <c r="B109" s="2069"/>
      <c r="C109" s="2070"/>
      <c r="D109" s="2070"/>
      <c r="E109" s="2070"/>
      <c r="F109" s="2070"/>
      <c r="G109" s="2070"/>
      <c r="H109" s="2070"/>
      <c r="I109" s="2071"/>
    </row>
    <row r="110" spans="1:9" s="181" customFormat="1" ht="11.25" customHeight="1" x14ac:dyDescent="0.2">
      <c r="A110" s="316"/>
      <c r="B110" s="2069"/>
      <c r="C110" s="2070"/>
      <c r="D110" s="2070"/>
      <c r="E110" s="2070"/>
      <c r="F110" s="2070"/>
      <c r="G110" s="2070"/>
      <c r="H110" s="2070"/>
      <c r="I110" s="2071"/>
    </row>
    <row r="111" spans="1:9" s="181" customFormat="1" ht="11.25" customHeight="1" x14ac:dyDescent="0.2">
      <c r="A111" s="316"/>
      <c r="B111" s="2069"/>
      <c r="C111" s="2070"/>
      <c r="D111" s="2070"/>
      <c r="E111" s="2070"/>
      <c r="F111" s="2070"/>
      <c r="G111" s="2070"/>
      <c r="H111" s="2070"/>
      <c r="I111" s="2071"/>
    </row>
    <row r="112" spans="1:9" s="181" customFormat="1" ht="11.25" customHeight="1" x14ac:dyDescent="0.2">
      <c r="A112" s="316"/>
      <c r="B112" s="2072"/>
      <c r="C112" s="2073"/>
      <c r="D112" s="2073"/>
      <c r="E112" s="2073"/>
      <c r="F112" s="2073"/>
      <c r="G112" s="2073"/>
      <c r="H112" s="2073"/>
      <c r="I112" s="207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5"/>
      <c r="D114" s="207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6" t="s">
        <v>1330</v>
      </c>
      <c r="D117" s="2077"/>
      <c r="E117" s="2078"/>
      <c r="F117" s="2078"/>
      <c r="G117" s="2078"/>
      <c r="H117" s="2078"/>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rintOptions horizontalCentered="1"/>
  <pageMargins left="0.44"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DF9F2-E860-41A3-B154-145F6030A8BC}">
  <dimension ref="B1:N152"/>
  <sheetViews>
    <sheetView topLeftCell="A8" zoomScaleNormal="100" workbookViewId="0">
      <selection activeCell="B23" sqref="B23"/>
    </sheetView>
  </sheetViews>
  <sheetFormatPr defaultColWidth="33.5703125" defaultRowHeight="12.75" x14ac:dyDescent="0.2"/>
  <cols>
    <col min="1" max="1" width="0.140625" style="317" customWidth="1"/>
    <col min="2" max="2" width="41.570312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1" t="str">
        <f>'Single Audit Cover'!A7</f>
        <v>Massac UD 1</v>
      </c>
      <c r="C1" s="2444"/>
      <c r="D1" s="2444"/>
      <c r="E1" s="2444"/>
      <c r="F1" s="2444"/>
      <c r="G1" s="2444"/>
      <c r="H1" s="2444"/>
      <c r="I1" s="2444"/>
      <c r="J1" s="2444"/>
      <c r="K1" s="2444"/>
      <c r="L1" s="2444"/>
      <c r="M1" s="2444"/>
    </row>
    <row r="2" spans="2:14" ht="15" x14ac:dyDescent="0.2">
      <c r="B2" s="2445">
        <f>'Single Audit Cover'!E7</f>
        <v>21061001026</v>
      </c>
      <c r="C2" s="2445"/>
      <c r="D2" s="2445"/>
      <c r="E2" s="2445"/>
      <c r="F2" s="2445"/>
      <c r="G2" s="2445"/>
      <c r="H2" s="2445"/>
      <c r="I2" s="2445"/>
      <c r="J2" s="2445"/>
      <c r="K2" s="2445"/>
      <c r="L2" s="2445"/>
      <c r="M2" s="2445"/>
      <c r="N2" s="1299"/>
    </row>
    <row r="3" spans="2:14" ht="15" x14ac:dyDescent="0.2">
      <c r="B3" s="2446" t="s">
        <v>1219</v>
      </c>
      <c r="C3" s="2446"/>
      <c r="D3" s="2446"/>
      <c r="E3" s="2446"/>
      <c r="F3" s="2446"/>
      <c r="G3" s="2446"/>
      <c r="H3" s="2446"/>
      <c r="I3" s="2446"/>
      <c r="J3" s="2446"/>
      <c r="K3" s="2446"/>
      <c r="L3" s="2446"/>
      <c r="M3" s="2446"/>
      <c r="N3" s="1299"/>
    </row>
    <row r="4" spans="2:14" ht="15" x14ac:dyDescent="0.2">
      <c r="B4" s="2447" t="str">
        <f>'Single Audit Cover'!A4</f>
        <v>Year Ending June 30, 2019</v>
      </c>
      <c r="C4" s="2447"/>
      <c r="D4" s="2447"/>
      <c r="E4" s="2447"/>
      <c r="F4" s="2447"/>
      <c r="G4" s="2447"/>
      <c r="H4" s="2447"/>
      <c r="I4" s="2447"/>
      <c r="J4" s="2447"/>
      <c r="K4" s="2447"/>
      <c r="L4" s="2447"/>
      <c r="M4" s="2447"/>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1986</v>
      </c>
      <c r="K8" s="1316" t="s">
        <v>1261</v>
      </c>
      <c r="L8" s="1317" t="s">
        <v>1257</v>
      </c>
      <c r="M8" s="1318" t="s">
        <v>30</v>
      </c>
    </row>
    <row r="9" spans="2:14" ht="14.25" x14ac:dyDescent="0.2">
      <c r="B9" s="1322" t="s">
        <v>1259</v>
      </c>
      <c r="C9" s="1310" t="s">
        <v>1732</v>
      </c>
      <c r="D9" s="1311" t="s">
        <v>1733</v>
      </c>
      <c r="E9" s="1319" t="s">
        <v>1836</v>
      </c>
      <c r="F9" s="1320" t="s">
        <v>1986</v>
      </c>
      <c r="G9" s="1321" t="s">
        <v>1836</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2120</v>
      </c>
      <c r="C11" s="1335"/>
      <c r="D11" s="1336"/>
      <c r="E11" s="1337"/>
      <c r="F11" s="1337"/>
      <c r="G11" s="1337"/>
      <c r="H11" s="1337"/>
      <c r="I11" s="1337"/>
      <c r="J11" s="1337"/>
      <c r="K11" s="1337"/>
      <c r="L11" s="1337"/>
      <c r="M11" s="1337"/>
    </row>
    <row r="12" spans="2:14" ht="20.100000000000001" customHeight="1" x14ac:dyDescent="0.2">
      <c r="B12" s="1334"/>
      <c r="C12" s="1338"/>
      <c r="D12" s="1339"/>
      <c r="E12" s="1340"/>
      <c r="F12" s="1340"/>
      <c r="G12" s="1340"/>
      <c r="H12" s="1340"/>
      <c r="I12" s="1340"/>
      <c r="J12" s="1340"/>
      <c r="K12" s="1340"/>
      <c r="L12" s="1337"/>
      <c r="M12" s="1340"/>
    </row>
    <row r="13" spans="2:14" ht="20.100000000000001" customHeight="1" x14ac:dyDescent="0.2">
      <c r="B13" s="1334" t="s">
        <v>2137</v>
      </c>
      <c r="C13" s="1338"/>
      <c r="D13" s="1339"/>
      <c r="E13" s="1340">
        <f>'SEFA-2'!E27+'SEFA-2'!E22</f>
        <v>297370</v>
      </c>
      <c r="F13" s="1340">
        <f>'SEFA-2'!F27+'SEFA-2'!F22</f>
        <v>541245</v>
      </c>
      <c r="G13" s="1340">
        <f>'SEFA-2'!G27+'SEFA-2'!G22</f>
        <v>427101</v>
      </c>
      <c r="H13" s="1340">
        <f>'SEFA-2'!H27+'SEFA-2'!H22</f>
        <v>0</v>
      </c>
      <c r="I13" s="1340">
        <f>'SEFA-2'!I27+'SEFA-2'!I22</f>
        <v>549272</v>
      </c>
      <c r="J13" s="1340">
        <f>'SEFA-2'!J27+'SEFA-2'!J22</f>
        <v>0</v>
      </c>
      <c r="K13" s="1340">
        <f>'SEFA-2'!K27+'SEFA-2'!K22</f>
        <v>100000</v>
      </c>
      <c r="L13" s="1337">
        <f t="shared" ref="L13:L25" si="0">+G13+I13+K13</f>
        <v>1076373</v>
      </c>
      <c r="M13" s="1340">
        <f>'SEFA-2'!M27+'SEFA-2'!M22</f>
        <v>1265809</v>
      </c>
    </row>
    <row r="14" spans="2:14" ht="20.100000000000001" customHeight="1" x14ac:dyDescent="0.2">
      <c r="B14" s="1334"/>
      <c r="C14" s="1338"/>
      <c r="D14" s="1339"/>
      <c r="E14" s="1340"/>
      <c r="F14" s="1340"/>
      <c r="G14" s="1340"/>
      <c r="H14" s="1340"/>
      <c r="I14" s="1340"/>
      <c r="J14" s="1340"/>
      <c r="K14" s="1340"/>
      <c r="L14" s="1337"/>
      <c r="M14" s="1340"/>
    </row>
    <row r="15" spans="2:14" ht="20.100000000000001" customHeight="1" x14ac:dyDescent="0.2">
      <c r="B15" s="1334" t="s">
        <v>2107</v>
      </c>
      <c r="C15" s="1338"/>
      <c r="D15" s="1339"/>
      <c r="E15" s="1340"/>
      <c r="F15" s="1340"/>
      <c r="G15" s="1340"/>
      <c r="H15" s="1340"/>
      <c r="I15" s="1340"/>
      <c r="J15" s="1340"/>
      <c r="K15" s="1340"/>
      <c r="L15" s="1337"/>
      <c r="M15" s="1340"/>
    </row>
    <row r="16" spans="2:14" ht="20.100000000000001" customHeight="1" x14ac:dyDescent="0.2">
      <c r="B16" s="1334" t="s">
        <v>2138</v>
      </c>
      <c r="C16" s="1338">
        <v>84.358000000000004</v>
      </c>
      <c r="D16" s="1339" t="s">
        <v>2139</v>
      </c>
      <c r="E16" s="1340">
        <v>37474</v>
      </c>
      <c r="F16" s="1340"/>
      <c r="G16" s="1340">
        <v>37454</v>
      </c>
      <c r="H16" s="1340"/>
      <c r="I16" s="1340"/>
      <c r="J16" s="1340"/>
      <c r="K16" s="1340"/>
      <c r="L16" s="1337">
        <f t="shared" si="0"/>
        <v>37454</v>
      </c>
      <c r="M16" s="1340">
        <v>39519</v>
      </c>
    </row>
    <row r="17" spans="2:14" ht="20.100000000000001" customHeight="1" x14ac:dyDescent="0.2">
      <c r="B17" s="1334" t="s">
        <v>2138</v>
      </c>
      <c r="C17" s="1338">
        <v>84.358000000000004</v>
      </c>
      <c r="D17" s="1339" t="s">
        <v>2140</v>
      </c>
      <c r="E17" s="1340"/>
      <c r="F17" s="1340">
        <v>37861</v>
      </c>
      <c r="G17" s="1340"/>
      <c r="H17" s="1340"/>
      <c r="I17" s="1340">
        <v>37861</v>
      </c>
      <c r="J17" s="1340"/>
      <c r="K17" s="1340"/>
      <c r="L17" s="1337">
        <f t="shared" si="0"/>
        <v>37861</v>
      </c>
      <c r="M17" s="1340">
        <v>39565</v>
      </c>
    </row>
    <row r="18" spans="2:14" ht="20.100000000000001" customHeight="1" x14ac:dyDescent="0.2">
      <c r="B18" s="1334" t="s">
        <v>2141</v>
      </c>
      <c r="C18" s="1338"/>
      <c r="D18" s="1339"/>
      <c r="E18" s="1340">
        <f t="shared" ref="E18:K18" si="1">SUM(E16:E17)</f>
        <v>37474</v>
      </c>
      <c r="F18" s="1340">
        <f t="shared" si="1"/>
        <v>37861</v>
      </c>
      <c r="G18" s="1340">
        <f t="shared" si="1"/>
        <v>37454</v>
      </c>
      <c r="H18" s="1340">
        <f t="shared" si="1"/>
        <v>0</v>
      </c>
      <c r="I18" s="1340">
        <f t="shared" si="1"/>
        <v>37861</v>
      </c>
      <c r="J18" s="1340">
        <f t="shared" si="1"/>
        <v>0</v>
      </c>
      <c r="K18" s="1340">
        <f t="shared" si="1"/>
        <v>0</v>
      </c>
      <c r="L18" s="1337">
        <f t="shared" si="0"/>
        <v>75315</v>
      </c>
      <c r="M18" s="1340">
        <f>SUM(M16:M17)</f>
        <v>79084</v>
      </c>
    </row>
    <row r="19" spans="2:14" ht="20.100000000000001" customHeight="1" x14ac:dyDescent="0.2">
      <c r="B19" s="1334"/>
      <c r="C19" s="1338"/>
      <c r="D19" s="1339"/>
      <c r="E19" s="1340"/>
      <c r="F19" s="1340"/>
      <c r="G19" s="1340"/>
      <c r="H19" s="1340"/>
      <c r="I19" s="1340"/>
      <c r="J19" s="1340"/>
      <c r="K19" s="1340"/>
      <c r="L19" s="1337"/>
      <c r="M19" s="1340"/>
    </row>
    <row r="20" spans="2:14" ht="20.100000000000001" customHeight="1" x14ac:dyDescent="0.2">
      <c r="B20" s="1334" t="s">
        <v>2107</v>
      </c>
      <c r="C20" s="1338"/>
      <c r="D20" s="1339"/>
      <c r="E20" s="1340"/>
      <c r="F20" s="1340"/>
      <c r="G20" s="1340"/>
      <c r="H20" s="1340"/>
      <c r="I20" s="1340"/>
      <c r="J20" s="1340"/>
      <c r="K20" s="1340"/>
      <c r="L20" s="1337"/>
      <c r="M20" s="1340"/>
    </row>
    <row r="21" spans="2:14" ht="20.100000000000001" customHeight="1" x14ac:dyDescent="0.2">
      <c r="B21" s="1334" t="s">
        <v>2142</v>
      </c>
      <c r="C21" s="1338">
        <v>84.367000000000004</v>
      </c>
      <c r="D21" s="1339" t="s">
        <v>2144</v>
      </c>
      <c r="E21" s="1340">
        <v>58531</v>
      </c>
      <c r="F21" s="1340">
        <v>35751</v>
      </c>
      <c r="G21" s="1340">
        <v>81720</v>
      </c>
      <c r="H21" s="1340"/>
      <c r="I21" s="1340">
        <v>12562</v>
      </c>
      <c r="J21" s="1340"/>
      <c r="K21" s="1340"/>
      <c r="L21" s="1337">
        <f t="shared" si="0"/>
        <v>94282</v>
      </c>
      <c r="M21" s="1340">
        <v>103022</v>
      </c>
    </row>
    <row r="22" spans="2:14" ht="20.100000000000001" customHeight="1" x14ac:dyDescent="0.2">
      <c r="B22" s="1334" t="s">
        <v>2142</v>
      </c>
      <c r="C22" s="1338">
        <v>84.367000000000004</v>
      </c>
      <c r="D22" s="1339" t="s">
        <v>2145</v>
      </c>
      <c r="E22" s="1340"/>
      <c r="F22" s="1340">
        <v>61690</v>
      </c>
      <c r="G22" s="1340"/>
      <c r="H22" s="1340"/>
      <c r="I22" s="1340">
        <v>94567</v>
      </c>
      <c r="J22" s="1340"/>
      <c r="K22" s="1340">
        <v>8000</v>
      </c>
      <c r="L22" s="1337">
        <f t="shared" si="0"/>
        <v>102567</v>
      </c>
      <c r="M22" s="1340">
        <v>103148</v>
      </c>
    </row>
    <row r="23" spans="2:14" ht="20.100000000000001" customHeight="1" x14ac:dyDescent="0.2">
      <c r="B23" s="1334" t="s">
        <v>2143</v>
      </c>
      <c r="C23" s="1338"/>
      <c r="D23" s="1339"/>
      <c r="E23" s="1340">
        <f t="shared" ref="E23:K23" si="2">SUM(E21:E22)</f>
        <v>58531</v>
      </c>
      <c r="F23" s="1340">
        <f t="shared" si="2"/>
        <v>97441</v>
      </c>
      <c r="G23" s="1340">
        <f t="shared" si="2"/>
        <v>81720</v>
      </c>
      <c r="H23" s="1340">
        <f t="shared" si="2"/>
        <v>0</v>
      </c>
      <c r="I23" s="1340">
        <f t="shared" si="2"/>
        <v>107129</v>
      </c>
      <c r="J23" s="1340">
        <f t="shared" si="2"/>
        <v>0</v>
      </c>
      <c r="K23" s="1340">
        <f t="shared" si="2"/>
        <v>8000</v>
      </c>
      <c r="L23" s="1337">
        <f t="shared" si="0"/>
        <v>196849</v>
      </c>
      <c r="M23" s="1340">
        <f>SUM(M21:M22)</f>
        <v>206170</v>
      </c>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t="s">
        <v>2146</v>
      </c>
      <c r="C25" s="1338"/>
      <c r="D25" s="1339"/>
      <c r="E25" s="1340">
        <f>E23+E18+E13+'SEFA-2'!E16</f>
        <v>779710</v>
      </c>
      <c r="F25" s="1340">
        <f>F23+F18+F13+'SEFA-2'!F16</f>
        <v>1647410</v>
      </c>
      <c r="G25" s="1340">
        <f>G23+G18+G13+'SEFA-2'!G16</f>
        <v>1184679</v>
      </c>
      <c r="H25" s="1340">
        <f>H23+H18+H13+'SEFA-2'!H16</f>
        <v>0</v>
      </c>
      <c r="I25" s="1340">
        <f>I23+I18+I13+'SEFA-2'!I16</f>
        <v>1655253</v>
      </c>
      <c r="J25" s="1340">
        <f>J23+J18+J13+'SEFA-2'!J16</f>
        <v>0</v>
      </c>
      <c r="K25" s="1340">
        <f>K23+K18+K13+'SEFA-2'!K16</f>
        <v>318000</v>
      </c>
      <c r="L25" s="1337">
        <f t="shared" si="0"/>
        <v>3157932</v>
      </c>
      <c r="M25" s="1340">
        <f>M23+M18+M13+'SEFA-2'!M16</f>
        <v>3770954</v>
      </c>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pageMargins left="0.7" right="0.7" top="0.75" bottom="0.75" header="0.3" footer="0.4"/>
  <pageSetup scale="72" orientation="landscape" r:id="rId1"/>
  <headerFooter>
    <oddFooter>&amp;CSee Independent Auditors' Report.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53464-8E43-47FD-859C-2427CA8EAE0E}">
  <dimension ref="B1:N152"/>
  <sheetViews>
    <sheetView topLeftCell="A5" zoomScaleNormal="100" workbookViewId="0">
      <selection activeCell="L20" sqref="L20"/>
    </sheetView>
  </sheetViews>
  <sheetFormatPr defaultColWidth="33.5703125" defaultRowHeight="12.75" x14ac:dyDescent="0.2"/>
  <cols>
    <col min="1" max="1" width="0.140625" style="317" customWidth="1"/>
    <col min="2" max="2" width="40.4257812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1" t="str">
        <f>'Single Audit Cover'!A7</f>
        <v>Massac UD 1</v>
      </c>
      <c r="C1" s="2444"/>
      <c r="D1" s="2444"/>
      <c r="E1" s="2444"/>
      <c r="F1" s="2444"/>
      <c r="G1" s="2444"/>
      <c r="H1" s="2444"/>
      <c r="I1" s="2444"/>
      <c r="J1" s="2444"/>
      <c r="K1" s="2444"/>
      <c r="L1" s="2444"/>
      <c r="M1" s="2444"/>
    </row>
    <row r="2" spans="2:14" ht="15" x14ac:dyDescent="0.2">
      <c r="B2" s="2445">
        <f>'Single Audit Cover'!E7</f>
        <v>21061001026</v>
      </c>
      <c r="C2" s="2445"/>
      <c r="D2" s="2445"/>
      <c r="E2" s="2445"/>
      <c r="F2" s="2445"/>
      <c r="G2" s="2445"/>
      <c r="H2" s="2445"/>
      <c r="I2" s="2445"/>
      <c r="J2" s="2445"/>
      <c r="K2" s="2445"/>
      <c r="L2" s="2445"/>
      <c r="M2" s="2445"/>
      <c r="N2" s="1299"/>
    </row>
    <row r="3" spans="2:14" ht="15" x14ac:dyDescent="0.2">
      <c r="B3" s="2446" t="s">
        <v>1219</v>
      </c>
      <c r="C3" s="2446"/>
      <c r="D3" s="2446"/>
      <c r="E3" s="2446"/>
      <c r="F3" s="2446"/>
      <c r="G3" s="2446"/>
      <c r="H3" s="2446"/>
      <c r="I3" s="2446"/>
      <c r="J3" s="2446"/>
      <c r="K3" s="2446"/>
      <c r="L3" s="2446"/>
      <c r="M3" s="2446"/>
      <c r="N3" s="1299"/>
    </row>
    <row r="4" spans="2:14" ht="15" x14ac:dyDescent="0.2">
      <c r="B4" s="2447" t="str">
        <f>'Single Audit Cover'!A4</f>
        <v>Year Ending June 30, 2019</v>
      </c>
      <c r="C4" s="2447"/>
      <c r="D4" s="2447"/>
      <c r="E4" s="2447"/>
      <c r="F4" s="2447"/>
      <c r="G4" s="2447"/>
      <c r="H4" s="2447"/>
      <c r="I4" s="2447"/>
      <c r="J4" s="2447"/>
      <c r="K4" s="2447"/>
      <c r="L4" s="2447"/>
      <c r="M4" s="2447"/>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1986</v>
      </c>
      <c r="K8" s="1316" t="s">
        <v>1261</v>
      </c>
      <c r="L8" s="1317" t="s">
        <v>1257</v>
      </c>
      <c r="M8" s="1318" t="s">
        <v>30</v>
      </c>
    </row>
    <row r="9" spans="2:14" ht="14.25" x14ac:dyDescent="0.2">
      <c r="B9" s="1322" t="s">
        <v>1259</v>
      </c>
      <c r="C9" s="1310" t="s">
        <v>1732</v>
      </c>
      <c r="D9" s="1311" t="s">
        <v>1733</v>
      </c>
      <c r="E9" s="1319" t="s">
        <v>1836</v>
      </c>
      <c r="F9" s="1320" t="s">
        <v>1986</v>
      </c>
      <c r="G9" s="1321" t="s">
        <v>1836</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2147</v>
      </c>
      <c r="C11" s="1335"/>
      <c r="D11" s="1336"/>
      <c r="E11" s="1337"/>
      <c r="F11" s="1337"/>
      <c r="G11" s="1337"/>
      <c r="H11" s="1337"/>
      <c r="I11" s="1337"/>
      <c r="J11" s="1337"/>
      <c r="K11" s="1337"/>
      <c r="L11" s="1337"/>
      <c r="M11" s="1337"/>
    </row>
    <row r="12" spans="2:14" ht="20.100000000000001" customHeight="1" x14ac:dyDescent="0.2">
      <c r="B12" s="1334" t="s">
        <v>2148</v>
      </c>
      <c r="C12" s="1338"/>
      <c r="D12" s="1339"/>
      <c r="E12" s="1340"/>
      <c r="F12" s="1340"/>
      <c r="G12" s="1340"/>
      <c r="H12" s="1340"/>
      <c r="I12" s="1340"/>
      <c r="J12" s="1340"/>
      <c r="K12" s="1340"/>
      <c r="L12" s="1337"/>
      <c r="M12" s="1340"/>
    </row>
    <row r="13" spans="2:14" ht="20.100000000000001" customHeight="1" x14ac:dyDescent="0.2">
      <c r="B13" s="1334" t="s">
        <v>2149</v>
      </c>
      <c r="C13" s="1338">
        <v>93.778000000000006</v>
      </c>
      <c r="D13" s="1339" t="s">
        <v>2150</v>
      </c>
      <c r="E13" s="1340">
        <v>33261</v>
      </c>
      <c r="F13" s="1340"/>
      <c r="G13" s="1340">
        <v>34646</v>
      </c>
      <c r="H13" s="1340"/>
      <c r="I13" s="1340"/>
      <c r="J13" s="1340"/>
      <c r="K13" s="1340"/>
      <c r="L13" s="1337">
        <f t="shared" ref="L13:L19" si="0">+G13+I13+K13</f>
        <v>34646</v>
      </c>
      <c r="M13" s="1340"/>
    </row>
    <row r="14" spans="2:14" ht="20.100000000000001" customHeight="1" x14ac:dyDescent="0.2">
      <c r="B14" s="1334" t="s">
        <v>2149</v>
      </c>
      <c r="C14" s="1338">
        <v>93.778000000000006</v>
      </c>
      <c r="D14" s="1339" t="s">
        <v>2151</v>
      </c>
      <c r="E14" s="1340"/>
      <c r="F14" s="1340">
        <v>32114</v>
      </c>
      <c r="G14" s="1340"/>
      <c r="H14" s="1340"/>
      <c r="I14" s="1340">
        <v>40775</v>
      </c>
      <c r="J14" s="1340"/>
      <c r="K14" s="1340"/>
      <c r="L14" s="1337">
        <f t="shared" si="0"/>
        <v>40775</v>
      </c>
      <c r="M14" s="1340"/>
    </row>
    <row r="15" spans="2:14" ht="20.100000000000001" customHeight="1" x14ac:dyDescent="0.2">
      <c r="B15" s="1334" t="s">
        <v>2152</v>
      </c>
      <c r="C15" s="1338"/>
      <c r="D15" s="1339"/>
      <c r="E15" s="1340">
        <f t="shared" ref="E15:K15" si="1">SUM(E13:E14)</f>
        <v>33261</v>
      </c>
      <c r="F15" s="1340">
        <f t="shared" si="1"/>
        <v>32114</v>
      </c>
      <c r="G15" s="1340">
        <f t="shared" si="1"/>
        <v>34646</v>
      </c>
      <c r="H15" s="1340">
        <f t="shared" si="1"/>
        <v>0</v>
      </c>
      <c r="I15" s="1340">
        <f t="shared" si="1"/>
        <v>40775</v>
      </c>
      <c r="J15" s="1340">
        <f t="shared" si="1"/>
        <v>0</v>
      </c>
      <c r="K15" s="1340">
        <f t="shared" si="1"/>
        <v>0</v>
      </c>
      <c r="L15" s="1337">
        <f t="shared" si="0"/>
        <v>75421</v>
      </c>
      <c r="M15" s="1340">
        <f>SUM(M13:M14)</f>
        <v>0</v>
      </c>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334" t="s">
        <v>2153</v>
      </c>
      <c r="C17" s="1338"/>
      <c r="D17" s="1339"/>
      <c r="E17" s="1340">
        <f t="shared" ref="E17:K17" si="2">E15</f>
        <v>33261</v>
      </c>
      <c r="F17" s="1340">
        <f t="shared" si="2"/>
        <v>32114</v>
      </c>
      <c r="G17" s="1340">
        <f t="shared" si="2"/>
        <v>34646</v>
      </c>
      <c r="H17" s="1340">
        <f t="shared" si="2"/>
        <v>0</v>
      </c>
      <c r="I17" s="1340">
        <f t="shared" si="2"/>
        <v>40775</v>
      </c>
      <c r="J17" s="1340">
        <f t="shared" si="2"/>
        <v>0</v>
      </c>
      <c r="K17" s="1340">
        <f t="shared" si="2"/>
        <v>0</v>
      </c>
      <c r="L17" s="1337">
        <f t="shared" si="0"/>
        <v>75421</v>
      </c>
      <c r="M17" s="1340">
        <f>M15</f>
        <v>0</v>
      </c>
    </row>
    <row r="18" spans="2:14" ht="20.100000000000001" customHeight="1" x14ac:dyDescent="0.2">
      <c r="B18" s="1334"/>
      <c r="C18" s="1338"/>
      <c r="D18" s="1339"/>
      <c r="E18" s="1340"/>
      <c r="F18" s="1340"/>
      <c r="G18" s="1340"/>
      <c r="H18" s="1340"/>
      <c r="I18" s="1340"/>
      <c r="J18" s="1340"/>
      <c r="K18" s="1340"/>
      <c r="L18" s="1337"/>
      <c r="M18" s="1340"/>
    </row>
    <row r="19" spans="2:14" ht="20.100000000000001" customHeight="1" x14ac:dyDescent="0.2">
      <c r="B19" s="1334" t="s">
        <v>2154</v>
      </c>
      <c r="C19" s="1338"/>
      <c r="D19" s="1339"/>
      <c r="E19" s="1340">
        <f>E17+'SEFA-3'!E25+'SEFA-1'!E28</f>
        <v>1526081</v>
      </c>
      <c r="F19" s="1340">
        <f>F17+'SEFA-3'!F25+'SEFA-1'!F28</f>
        <v>2472426</v>
      </c>
      <c r="G19" s="1340">
        <f>G17+'SEFA-3'!G25+'SEFA-1'!G28</f>
        <v>1932435</v>
      </c>
      <c r="H19" s="1340">
        <f>H17+'SEFA-3'!H25+'SEFA-1'!H28</f>
        <v>0</v>
      </c>
      <c r="I19" s="1340">
        <f>I17+'SEFA-3'!I25+'SEFA-1'!I28</f>
        <v>2488930</v>
      </c>
      <c r="J19" s="1340">
        <f>J17+'SEFA-3'!J25+'SEFA-1'!J28</f>
        <v>0</v>
      </c>
      <c r="K19" s="1340">
        <f>K17+'SEFA-3'!K25+'SEFA-1'!K28</f>
        <v>318000</v>
      </c>
      <c r="L19" s="1337">
        <f t="shared" si="0"/>
        <v>4739365</v>
      </c>
      <c r="M19" s="1340">
        <f>M17+'SEFA-3'!M25+'SEFA-1'!M28</f>
        <v>3770954</v>
      </c>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pageMargins left="0.7" right="0.7" top="0.75" bottom="0.75" header="0.3" footer="0.4"/>
  <pageSetup scale="72" orientation="landscape" r:id="rId1"/>
  <headerFooter>
    <oddFooter>&amp;CSee Independent Auditors' Report.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zoomScale="120" zoomScaleNormal="120" workbookViewId="0">
      <selection activeCell="A14" sqref="A1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9" t="str">
        <f>'Single Audit Cover'!A7</f>
        <v>Massac UD 1</v>
      </c>
      <c r="B1" s="2449"/>
      <c r="C1" s="2449"/>
      <c r="D1" s="2449"/>
      <c r="E1" s="2449"/>
      <c r="F1" s="2449"/>
    </row>
    <row r="2" spans="1:7" ht="13.5" customHeight="1" x14ac:dyDescent="0.2">
      <c r="A2" s="2445">
        <f>'Single Audit Cover'!E7</f>
        <v>21061001026</v>
      </c>
      <c r="B2" s="2445"/>
      <c r="C2" s="2445"/>
      <c r="D2" s="2445"/>
      <c r="E2" s="2445"/>
      <c r="F2" s="2445"/>
      <c r="G2" s="1272"/>
    </row>
    <row r="3" spans="1:7" ht="15.75" customHeight="1" x14ac:dyDescent="0.2">
      <c r="A3" s="2450" t="s">
        <v>1271</v>
      </c>
      <c r="B3" s="2450"/>
      <c r="C3" s="2450"/>
      <c r="D3" s="2450"/>
      <c r="E3" s="2450"/>
      <c r="F3" s="2450"/>
    </row>
    <row r="4" spans="1:7" ht="13.5" customHeight="1" x14ac:dyDescent="0.2">
      <c r="A4" s="2451" t="str">
        <f>'Single Audit Cover'!A4</f>
        <v>Year Ending June 30, 2019</v>
      </c>
      <c r="B4" s="2451"/>
      <c r="C4" s="2451"/>
      <c r="D4" s="2451"/>
      <c r="E4" s="2451"/>
      <c r="F4" s="2451"/>
    </row>
    <row r="5" spans="1:7" ht="8.25" customHeight="1" x14ac:dyDescent="0.2">
      <c r="C5" s="317"/>
      <c r="D5" s="317"/>
    </row>
    <row r="6" spans="1:7" ht="13.5" customHeight="1" x14ac:dyDescent="0.2">
      <c r="A6" s="1273" t="s">
        <v>1728</v>
      </c>
      <c r="C6" s="317"/>
      <c r="D6" s="317"/>
    </row>
    <row r="7" spans="1:7" ht="60.95" customHeight="1" x14ac:dyDescent="0.2">
      <c r="A7" s="2448" t="s">
        <v>2155</v>
      </c>
      <c r="B7" s="2448"/>
      <c r="C7" s="2448"/>
      <c r="D7" s="2448"/>
      <c r="E7" s="2448"/>
      <c r="F7" s="2448"/>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2060</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8" t="s">
        <v>2221</v>
      </c>
      <c r="B13" s="2448"/>
      <c r="C13" s="2448"/>
      <c r="D13" s="2448"/>
      <c r="E13" s="2448"/>
      <c r="F13" s="2448"/>
    </row>
    <row r="14" spans="1:7" ht="9.75" customHeight="1" x14ac:dyDescent="0.2">
      <c r="C14" s="1257"/>
      <c r="D14" s="1257"/>
    </row>
    <row r="15" spans="1:7" ht="13.5" customHeight="1" x14ac:dyDescent="0.2">
      <c r="C15" s="1846" t="s">
        <v>1270</v>
      </c>
      <c r="D15" s="2453" t="s">
        <v>1269</v>
      </c>
      <c r="E15" s="2453"/>
      <c r="F15" s="2453"/>
    </row>
    <row r="16" spans="1:7" ht="13.5" customHeight="1" x14ac:dyDescent="0.2">
      <c r="A16" s="1279"/>
      <c r="B16" s="1273" t="s">
        <v>1268</v>
      </c>
      <c r="C16" s="1846" t="s">
        <v>1267</v>
      </c>
      <c r="D16" s="2454" t="s">
        <v>1588</v>
      </c>
      <c r="E16" s="2454"/>
      <c r="F16" s="2454"/>
    </row>
    <row r="17" spans="1:6" ht="20.45" customHeight="1" x14ac:dyDescent="0.2">
      <c r="A17" s="1280"/>
      <c r="B17" s="1281" t="s">
        <v>2156</v>
      </c>
      <c r="C17" s="1282"/>
      <c r="D17" s="2452"/>
      <c r="E17" s="2452"/>
      <c r="F17" s="2452"/>
    </row>
    <row r="18" spans="1:6" ht="20.65" customHeight="1" x14ac:dyDescent="0.2">
      <c r="A18" s="1280"/>
      <c r="B18" s="1281"/>
      <c r="C18" s="1282"/>
      <c r="D18" s="2452"/>
      <c r="E18" s="2452"/>
      <c r="F18" s="2452"/>
    </row>
    <row r="19" spans="1:6" ht="20.65" customHeight="1" x14ac:dyDescent="0.2">
      <c r="A19" s="1280"/>
      <c r="B19" s="1281"/>
      <c r="C19" s="1282"/>
      <c r="D19" s="2452"/>
      <c r="E19" s="2452"/>
      <c r="F19" s="2452"/>
    </row>
    <row r="20" spans="1:6" ht="20.65" customHeight="1" x14ac:dyDescent="0.2">
      <c r="A20" s="1280"/>
      <c r="B20" s="1281"/>
      <c r="C20" s="1282"/>
      <c r="D20" s="2452"/>
      <c r="E20" s="2452"/>
      <c r="F20" s="2452"/>
    </row>
    <row r="21" spans="1:6" ht="20.65" customHeight="1" x14ac:dyDescent="0.2">
      <c r="A21" s="1280"/>
      <c r="B21" s="1281"/>
      <c r="C21" s="1282"/>
      <c r="D21" s="2452"/>
      <c r="E21" s="2452"/>
      <c r="F21" s="2452"/>
    </row>
    <row r="22" spans="1:6" ht="20.65" customHeight="1" x14ac:dyDescent="0.2">
      <c r="A22" s="1280"/>
      <c r="B22" s="1281"/>
      <c r="C22" s="1282"/>
      <c r="D22" s="2452"/>
      <c r="E22" s="2452"/>
      <c r="F22" s="2452"/>
    </row>
    <row r="23" spans="1:6" ht="20.65" customHeight="1" x14ac:dyDescent="0.2">
      <c r="A23" s="1280"/>
      <c r="B23" s="1281"/>
      <c r="C23" s="1282"/>
      <c r="D23" s="2452"/>
      <c r="E23" s="2452"/>
      <c r="F23" s="2452"/>
    </row>
    <row r="24" spans="1:6" ht="20.65" customHeight="1" x14ac:dyDescent="0.2">
      <c r="A24" s="1280"/>
      <c r="B24" s="1281"/>
      <c r="C24" s="1282"/>
      <c r="D24" s="2452"/>
      <c r="E24" s="2452"/>
      <c r="F24" s="2452"/>
    </row>
    <row r="25" spans="1:6" ht="20.65" customHeight="1" x14ac:dyDescent="0.2">
      <c r="A25" s="1280"/>
      <c r="B25" s="1281"/>
      <c r="C25" s="1282"/>
      <c r="D25" s="2452"/>
      <c r="E25" s="2452"/>
      <c r="F25" s="2452"/>
    </row>
    <row r="26" spans="1:6" ht="20.65" customHeight="1" x14ac:dyDescent="0.2">
      <c r="A26" s="1280"/>
      <c r="B26" s="1281"/>
      <c r="C26" s="1282"/>
      <c r="D26" s="2452"/>
      <c r="E26" s="2452"/>
      <c r="F26" s="2452"/>
    </row>
    <row r="27" spans="1:6" ht="20.65" customHeight="1" x14ac:dyDescent="0.2">
      <c r="A27" s="1280"/>
      <c r="B27" s="1281"/>
      <c r="C27" s="1282"/>
      <c r="D27" s="2452"/>
      <c r="E27" s="2452"/>
      <c r="F27" s="2452"/>
    </row>
    <row r="28" spans="1:6" ht="20.65" customHeight="1" x14ac:dyDescent="0.2">
      <c r="A28" s="1280"/>
      <c r="B28" s="1281"/>
      <c r="C28" s="1282"/>
      <c r="D28" s="2452"/>
      <c r="E28" s="2452"/>
      <c r="F28" s="2452"/>
    </row>
    <row r="29" spans="1:6" ht="20.65" customHeight="1" x14ac:dyDescent="0.2">
      <c r="A29" s="1280"/>
      <c r="B29" s="1281"/>
      <c r="C29" s="1282"/>
      <c r="D29" s="2452"/>
      <c r="E29" s="2452"/>
      <c r="F29" s="2452"/>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56" t="s">
        <v>2157</v>
      </c>
      <c r="B32" s="2456"/>
      <c r="C32" s="2456"/>
      <c r="D32" s="2456"/>
      <c r="E32" s="2456"/>
      <c r="F32" s="2456"/>
    </row>
    <row r="33" spans="1:6" ht="13.5" customHeight="1" x14ac:dyDescent="0.2">
      <c r="A33" s="328" t="s">
        <v>1434</v>
      </c>
      <c r="B33" s="328"/>
      <c r="C33" s="1285">
        <v>79961</v>
      </c>
      <c r="D33" s="1903"/>
      <c r="E33" s="1283"/>
    </row>
    <row r="34" spans="1:6" ht="13.5" customHeight="1" x14ac:dyDescent="0.2">
      <c r="A34" s="328" t="s">
        <v>1835</v>
      </c>
      <c r="B34" s="328"/>
      <c r="C34" s="1286">
        <v>0</v>
      </c>
      <c r="D34" s="1903" t="s">
        <v>1589</v>
      </c>
      <c r="E34" s="2457">
        <f>+C33+C34</f>
        <v>79961</v>
      </c>
      <c r="F34" s="245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v>0</v>
      </c>
      <c r="D38" s="1903"/>
      <c r="E38" s="1283"/>
    </row>
    <row r="39" spans="1:6" ht="14.25" customHeight="1" x14ac:dyDescent="0.2">
      <c r="A39" s="328"/>
      <c r="B39" s="328" t="s">
        <v>1436</v>
      </c>
      <c r="C39" s="1289">
        <v>0</v>
      </c>
      <c r="D39" s="1903"/>
      <c r="E39" s="1283"/>
    </row>
    <row r="40" spans="1:6" ht="14.25" customHeight="1" x14ac:dyDescent="0.2">
      <c r="A40" s="328"/>
      <c r="B40" s="328" t="s">
        <v>1437</v>
      </c>
      <c r="C40" s="1289">
        <v>0</v>
      </c>
      <c r="D40" s="1903"/>
      <c r="E40" s="1283"/>
    </row>
    <row r="41" spans="1:6" ht="14.25" customHeight="1" x14ac:dyDescent="0.2">
      <c r="A41" s="328"/>
      <c r="B41" s="328" t="s">
        <v>1438</v>
      </c>
      <c r="C41" s="1289">
        <v>0</v>
      </c>
      <c r="D41" s="1903"/>
      <c r="E41" s="1283"/>
    </row>
    <row r="42" spans="1:6" ht="14.25" customHeight="1" x14ac:dyDescent="0.2">
      <c r="A42" s="328" t="s">
        <v>1439</v>
      </c>
      <c r="B42" s="328"/>
      <c r="C42" s="1901">
        <v>0</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9" t="s">
        <v>1590</v>
      </c>
      <c r="C49" s="2459"/>
      <c r="D49" s="2459"/>
      <c r="E49" s="1396"/>
    </row>
    <row r="50" spans="1:5" s="1297" customFormat="1" ht="3.75" customHeight="1" x14ac:dyDescent="0.2">
      <c r="A50" s="1296"/>
      <c r="B50" s="1845"/>
      <c r="C50" s="1845"/>
      <c r="D50" s="1845"/>
      <c r="E50" s="1396"/>
    </row>
    <row r="51" spans="1:5" s="1297" customFormat="1" ht="20.25" customHeight="1" x14ac:dyDescent="0.2">
      <c r="A51" s="1298">
        <v>6</v>
      </c>
      <c r="B51" s="2455" t="s">
        <v>1551</v>
      </c>
      <c r="C51" s="2455"/>
      <c r="D51" s="2455"/>
    </row>
    <row r="52" spans="1:5" ht="14.25" customHeight="1" x14ac:dyDescent="0.2">
      <c r="A52" s="1298"/>
      <c r="B52" s="2455"/>
      <c r="C52" s="2455"/>
      <c r="D52" s="245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verticalCentered="1"/>
  <pageMargins left="1" right="1" top="0.93" bottom="0" header="0.51" footer="0.5"/>
  <pageSetup scale="75"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F11" sqref="F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4" t="str">
        <f>'Single Audit Cover'!A7</f>
        <v>Massac UD 1</v>
      </c>
      <c r="C1" s="2465"/>
      <c r="D1" s="2465"/>
      <c r="E1" s="2465"/>
      <c r="F1" s="2465"/>
      <c r="G1" s="2465"/>
      <c r="H1" s="2465"/>
      <c r="I1" s="2465"/>
      <c r="J1" s="1406"/>
    </row>
    <row r="2" spans="2:10" s="317" customFormat="1" ht="12.75" customHeight="1" x14ac:dyDescent="0.2">
      <c r="B2" s="2466">
        <f>'Single Audit Cover'!E7</f>
        <v>21061001026</v>
      </c>
      <c r="C2" s="2467"/>
      <c r="D2" s="2467"/>
      <c r="E2" s="2467"/>
      <c r="F2" s="2467"/>
      <c r="G2" s="2467"/>
      <c r="H2" s="2467"/>
      <c r="I2" s="2467"/>
      <c r="J2" s="1406"/>
    </row>
    <row r="3" spans="2:10" s="317" customFormat="1" ht="12.75" customHeight="1" x14ac:dyDescent="0.2">
      <c r="B3" s="2468" t="s">
        <v>1285</v>
      </c>
      <c r="C3" s="2469"/>
      <c r="D3" s="2469"/>
      <c r="E3" s="2469"/>
      <c r="F3" s="2469"/>
      <c r="G3" s="2469"/>
      <c r="H3" s="2469"/>
      <c r="I3" s="2469"/>
      <c r="J3" s="1407"/>
    </row>
    <row r="4" spans="2:10" s="317" customFormat="1" ht="12.75" customHeight="1" x14ac:dyDescent="0.2">
      <c r="B4" s="2468" t="str">
        <f>'Single Audit Cover'!A4</f>
        <v>Year Ending June 30, 2019</v>
      </c>
      <c r="C4" s="2469"/>
      <c r="D4" s="2469"/>
      <c r="E4" s="2469"/>
      <c r="F4" s="2469"/>
      <c r="G4" s="2469"/>
      <c r="H4" s="2469"/>
      <c r="I4" s="2469"/>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8" t="s">
        <v>1284</v>
      </c>
      <c r="C7" s="2469"/>
      <c r="D7" s="2469"/>
      <c r="E7" s="2469"/>
      <c r="F7" s="2469"/>
      <c r="G7" s="2469"/>
      <c r="H7" s="2469"/>
      <c r="I7" s="2469"/>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0" t="s">
        <v>1164</v>
      </c>
      <c r="D11" s="2470"/>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t="s">
        <v>2060</v>
      </c>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2060</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t="s">
        <v>2060</v>
      </c>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t="s">
        <v>2060</v>
      </c>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2060</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1" t="s">
        <v>2158</v>
      </c>
      <c r="E29" s="2471"/>
      <c r="F29" s="2471"/>
      <c r="G29" s="2471"/>
      <c r="H29" s="2471"/>
      <c r="I29" s="2471"/>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t="s">
        <v>2060</v>
      </c>
      <c r="F33" s="1297" t="s">
        <v>885</v>
      </c>
      <c r="G33" s="1422"/>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72" t="s">
        <v>1748</v>
      </c>
      <c r="D37" s="2473"/>
      <c r="E37" s="2473"/>
      <c r="F37" s="2474"/>
      <c r="G37" s="2472" t="s">
        <v>1592</v>
      </c>
      <c r="H37" s="2473"/>
      <c r="I37" s="2474"/>
    </row>
    <row r="38" spans="2:9" ht="16.5" customHeight="1" x14ac:dyDescent="0.2">
      <c r="B38" s="1428" t="s">
        <v>2159</v>
      </c>
      <c r="C38" s="2460" t="s">
        <v>2160</v>
      </c>
      <c r="D38" s="2461"/>
      <c r="E38" s="2461"/>
      <c r="F38" s="2462"/>
      <c r="G38" s="2475">
        <v>792902</v>
      </c>
      <c r="H38" s="2476"/>
      <c r="I38" s="2477"/>
    </row>
    <row r="39" spans="2:9" ht="16.5" customHeight="1" x14ac:dyDescent="0.2">
      <c r="B39" s="1428">
        <v>84.01</v>
      </c>
      <c r="C39" s="2460" t="s">
        <v>2161</v>
      </c>
      <c r="D39" s="2461"/>
      <c r="E39" s="2461"/>
      <c r="F39" s="2462"/>
      <c r="G39" s="2463">
        <v>960991</v>
      </c>
      <c r="H39" s="2463"/>
      <c r="I39" s="2463"/>
    </row>
    <row r="40" spans="2:9" ht="16.5" customHeight="1" x14ac:dyDescent="0.2">
      <c r="B40" s="1428"/>
      <c r="C40" s="2460"/>
      <c r="D40" s="2461"/>
      <c r="E40" s="2461"/>
      <c r="F40" s="2462"/>
      <c r="G40" s="2463"/>
      <c r="H40" s="2463"/>
      <c r="I40" s="2463"/>
    </row>
    <row r="41" spans="2:9" ht="16.5" customHeight="1" x14ac:dyDescent="0.2">
      <c r="B41" s="1428"/>
      <c r="C41" s="2460"/>
      <c r="D41" s="2461"/>
      <c r="E41" s="2461"/>
      <c r="F41" s="2462"/>
      <c r="G41" s="2463"/>
      <c r="H41" s="2463"/>
      <c r="I41" s="2463"/>
    </row>
    <row r="42" spans="2:9" ht="16.5" customHeight="1" x14ac:dyDescent="0.2">
      <c r="B42" s="1428"/>
      <c r="C42" s="2460"/>
      <c r="D42" s="2461"/>
      <c r="E42" s="2461"/>
      <c r="F42" s="2462"/>
      <c r="G42" s="2463"/>
      <c r="H42" s="2463"/>
      <c r="I42" s="2463"/>
    </row>
    <row r="43" spans="2:9" ht="16.5" customHeight="1" x14ac:dyDescent="0.2">
      <c r="B43" s="1428"/>
      <c r="C43" s="2478" t="s">
        <v>1593</v>
      </c>
      <c r="D43" s="2479"/>
      <c r="E43" s="2479"/>
      <c r="F43" s="2480"/>
      <c r="G43" s="2481">
        <f>SUM(G38:I42)</f>
        <v>1753893</v>
      </c>
      <c r="H43" s="2481"/>
      <c r="I43" s="2481"/>
    </row>
    <row r="44" spans="2:9" ht="12.75" customHeight="1" x14ac:dyDescent="0.2"/>
    <row r="45" spans="2:9" ht="12.75" customHeight="1" x14ac:dyDescent="0.2">
      <c r="B45" s="1419" t="s">
        <v>2220</v>
      </c>
      <c r="D45" s="2482">
        <v>2488930</v>
      </c>
      <c r="E45" s="2483"/>
    </row>
    <row r="46" spans="2:9" ht="5.25" customHeight="1" x14ac:dyDescent="0.2">
      <c r="B46" s="1429"/>
      <c r="D46" s="1430"/>
      <c r="E46" s="1431"/>
    </row>
    <row r="47" spans="2:9" ht="12.75" customHeight="1" x14ac:dyDescent="0.2">
      <c r="B47" s="1297" t="s">
        <v>1594</v>
      </c>
      <c r="C47" s="1297"/>
      <c r="D47" s="1432">
        <f>+G43/D45</f>
        <v>0.70467751202323892</v>
      </c>
      <c r="E47" s="1433"/>
      <c r="F47" s="1434"/>
      <c r="I47" s="1435"/>
    </row>
    <row r="48" spans="2:9" ht="9.9499999999999993" customHeight="1" x14ac:dyDescent="0.2"/>
    <row r="49" spans="1:9" x14ac:dyDescent="0.2">
      <c r="B49" s="1365" t="s">
        <v>1273</v>
      </c>
      <c r="C49" s="1279"/>
      <c r="D49" s="1279"/>
      <c r="E49" s="2484">
        <v>750000</v>
      </c>
      <c r="F49" s="2484"/>
      <c r="G49" s="2484"/>
      <c r="H49" s="322"/>
    </row>
    <row r="51" spans="1:9" ht="13.5" customHeight="1" x14ac:dyDescent="0.2">
      <c r="B51" s="1365" t="s">
        <v>1272</v>
      </c>
      <c r="C51" s="1279"/>
      <c r="E51" s="1422"/>
      <c r="F51" s="1297" t="s">
        <v>885</v>
      </c>
      <c r="G51" s="1422" t="s">
        <v>2060</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verticalCentered="1"/>
  <pageMargins left="0.25" right="0.25" top="0.46" bottom="0.49" header="0.26" footer="0.28999999999999998"/>
  <pageSetup scale="85"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4" t="str">
        <f>'Single Audit Cover'!A7</f>
        <v>Massac UD 1</v>
      </c>
      <c r="C1" s="2464"/>
      <c r="D1" s="2464"/>
      <c r="E1" s="2464"/>
      <c r="F1" s="2464"/>
      <c r="G1" s="2464"/>
      <c r="H1" s="2464"/>
      <c r="I1" s="2464"/>
      <c r="J1" s="2464"/>
      <c r="K1" s="2464"/>
      <c r="L1" s="1371"/>
      <c r="M1" s="1371"/>
    </row>
    <row r="2" spans="1:13" ht="12" customHeight="1" x14ac:dyDescent="0.2">
      <c r="B2" s="2466">
        <f>'Single Audit Cover'!E7</f>
        <v>21061001026</v>
      </c>
      <c r="C2" s="2466"/>
      <c r="D2" s="2466"/>
      <c r="E2" s="2466"/>
      <c r="F2" s="2466"/>
      <c r="G2" s="2466"/>
      <c r="H2" s="2466"/>
      <c r="I2" s="2466"/>
      <c r="J2" s="2466"/>
      <c r="K2" s="2466"/>
      <c r="L2" s="1372"/>
      <c r="M2" s="1373"/>
    </row>
    <row r="3" spans="1:13" ht="10.35" customHeight="1" x14ac:dyDescent="0.2">
      <c r="B3" s="2487" t="s">
        <v>1285</v>
      </c>
      <c r="C3" s="2487"/>
      <c r="D3" s="2487"/>
      <c r="E3" s="2487"/>
      <c r="F3" s="2487"/>
      <c r="G3" s="2487"/>
      <c r="H3" s="2487"/>
      <c r="I3" s="2487"/>
      <c r="J3" s="2487"/>
      <c r="K3" s="2487"/>
      <c r="L3" s="1374"/>
      <c r="M3" s="1374"/>
    </row>
    <row r="4" spans="1:13" ht="14.25" customHeight="1" x14ac:dyDescent="0.2">
      <c r="B4" s="2488" t="str">
        <f>'Single Audit Cover'!A4</f>
        <v>Year Ending June 30, 2019</v>
      </c>
      <c r="C4" s="2488"/>
      <c r="D4" s="2488"/>
      <c r="E4" s="2488"/>
      <c r="F4" s="2488"/>
      <c r="G4" s="2488"/>
      <c r="H4" s="2488"/>
      <c r="I4" s="2488"/>
      <c r="J4" s="2488"/>
      <c r="K4" s="248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8" t="s">
        <v>1296</v>
      </c>
      <c r="C7" s="2488"/>
      <c r="D7" s="2489"/>
      <c r="E7" s="2489"/>
      <c r="F7" s="2489"/>
      <c r="G7" s="2489"/>
      <c r="H7" s="2489"/>
      <c r="I7" s="2489"/>
      <c r="J7" s="2489"/>
      <c r="K7" s="248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1987</v>
      </c>
      <c r="D10" s="1383">
        <v>1</v>
      </c>
      <c r="E10" s="322"/>
      <c r="F10" s="1384" t="s">
        <v>1295</v>
      </c>
      <c r="G10" s="1385" t="s">
        <v>2060</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6" t="s">
        <v>2196</v>
      </c>
      <c r="C14" s="2486"/>
      <c r="D14" s="2486"/>
      <c r="E14" s="2486"/>
      <c r="F14" s="2486"/>
      <c r="G14" s="2486"/>
      <c r="H14" s="2486"/>
      <c r="I14" s="2486"/>
      <c r="J14" s="2486"/>
      <c r="K14" s="248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6" t="s">
        <v>2197</v>
      </c>
      <c r="C17" s="2486"/>
      <c r="D17" s="2486"/>
      <c r="E17" s="2486"/>
      <c r="F17" s="2486"/>
      <c r="G17" s="2486"/>
      <c r="H17" s="2486"/>
      <c r="I17" s="2486"/>
      <c r="J17" s="2486"/>
      <c r="K17" s="2486"/>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90" t="s">
        <v>2230</v>
      </c>
      <c r="C20" s="2490"/>
      <c r="D20" s="2486"/>
      <c r="E20" s="2486"/>
      <c r="F20" s="2486"/>
      <c r="G20" s="2486"/>
      <c r="H20" s="2486"/>
      <c r="I20" s="2486"/>
      <c r="J20" s="2486"/>
      <c r="K20" s="248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6" t="s">
        <v>2231</v>
      </c>
      <c r="C23" s="2486"/>
      <c r="D23" s="2486"/>
      <c r="E23" s="2486"/>
      <c r="F23" s="2486"/>
      <c r="G23" s="2486"/>
      <c r="H23" s="2486"/>
      <c r="I23" s="2486"/>
      <c r="J23" s="2486"/>
      <c r="K23" s="248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6" t="s">
        <v>2232</v>
      </c>
      <c r="C26" s="2486"/>
      <c r="D26" s="2486"/>
      <c r="E26" s="2486"/>
      <c r="F26" s="2486"/>
      <c r="G26" s="2486"/>
      <c r="H26" s="2486"/>
      <c r="I26" s="2486"/>
      <c r="J26" s="2486"/>
      <c r="K26" s="248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5" t="s">
        <v>2216</v>
      </c>
      <c r="C29" s="2485"/>
      <c r="D29" s="2486"/>
      <c r="E29" s="2486"/>
      <c r="F29" s="2486"/>
      <c r="G29" s="2486"/>
      <c r="H29" s="2486"/>
      <c r="I29" s="2486"/>
      <c r="J29" s="2486"/>
      <c r="K29" s="248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85" t="s">
        <v>2237</v>
      </c>
      <c r="C32" s="2485"/>
      <c r="D32" s="2486"/>
      <c r="E32" s="2486"/>
      <c r="F32" s="2486"/>
      <c r="G32" s="2486"/>
      <c r="H32" s="2486"/>
      <c r="I32" s="2486"/>
      <c r="J32" s="2486"/>
      <c r="K32" s="248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5" right="0.5" top="0.68" bottom="0.47" header="0.26" footer="0.31"/>
  <pageSetup scale="90"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EE7FC-2076-44FC-A20E-CB1A9121C072}">
  <dimension ref="A1:M41"/>
  <sheetViews>
    <sheetView zoomScaleNormal="10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4" t="str">
        <f>'Single Audit Cover'!A7</f>
        <v>Massac UD 1</v>
      </c>
      <c r="C1" s="2464"/>
      <c r="D1" s="2464"/>
      <c r="E1" s="2464"/>
      <c r="F1" s="2464"/>
      <c r="G1" s="2464"/>
      <c r="H1" s="2464"/>
      <c r="I1" s="2464"/>
      <c r="J1" s="2464"/>
      <c r="K1" s="2464"/>
      <c r="L1" s="1371"/>
      <c r="M1" s="1371"/>
    </row>
    <row r="2" spans="1:13" ht="12" customHeight="1" x14ac:dyDescent="0.2">
      <c r="B2" s="2466">
        <f>'Single Audit Cover'!E7</f>
        <v>21061001026</v>
      </c>
      <c r="C2" s="2466"/>
      <c r="D2" s="2466"/>
      <c r="E2" s="2466"/>
      <c r="F2" s="2466"/>
      <c r="G2" s="2466"/>
      <c r="H2" s="2466"/>
      <c r="I2" s="2466"/>
      <c r="J2" s="2466"/>
      <c r="K2" s="2466"/>
      <c r="L2" s="1372"/>
      <c r="M2" s="1373"/>
    </row>
    <row r="3" spans="1:13" ht="10.35" customHeight="1" x14ac:dyDescent="0.2">
      <c r="B3" s="2487" t="s">
        <v>1285</v>
      </c>
      <c r="C3" s="2487"/>
      <c r="D3" s="2487"/>
      <c r="E3" s="2487"/>
      <c r="F3" s="2487"/>
      <c r="G3" s="2487"/>
      <c r="H3" s="2487"/>
      <c r="I3" s="2487"/>
      <c r="J3" s="2487"/>
      <c r="K3" s="2487"/>
      <c r="L3" s="1939"/>
      <c r="M3" s="1939"/>
    </row>
    <row r="4" spans="1:13" ht="14.25" customHeight="1" x14ac:dyDescent="0.2">
      <c r="B4" s="2488" t="str">
        <f>'Single Audit Cover'!A4</f>
        <v>Year Ending June 30, 2019</v>
      </c>
      <c r="C4" s="2488"/>
      <c r="D4" s="2488"/>
      <c r="E4" s="2488"/>
      <c r="F4" s="2488"/>
      <c r="G4" s="2488"/>
      <c r="H4" s="2488"/>
      <c r="I4" s="2488"/>
      <c r="J4" s="2488"/>
      <c r="K4" s="248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8" t="s">
        <v>1296</v>
      </c>
      <c r="C7" s="2488"/>
      <c r="D7" s="2489"/>
      <c r="E7" s="2489"/>
      <c r="F7" s="2489"/>
      <c r="G7" s="2489"/>
      <c r="H7" s="2489"/>
      <c r="I7" s="2489"/>
      <c r="J7" s="2489"/>
      <c r="K7" s="248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1987</v>
      </c>
      <c r="D10" s="1383">
        <v>2</v>
      </c>
      <c r="E10" s="322"/>
      <c r="F10" s="1384" t="s">
        <v>1295</v>
      </c>
      <c r="G10" s="1385" t="s">
        <v>2060</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6" t="s">
        <v>2198</v>
      </c>
      <c r="C14" s="2486"/>
      <c r="D14" s="2486"/>
      <c r="E14" s="2486"/>
      <c r="F14" s="2486"/>
      <c r="G14" s="2486"/>
      <c r="H14" s="2486"/>
      <c r="I14" s="2486"/>
      <c r="J14" s="2486"/>
      <c r="K14" s="248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6" t="s">
        <v>2199</v>
      </c>
      <c r="C17" s="2486"/>
      <c r="D17" s="2486"/>
      <c r="E17" s="2486"/>
      <c r="F17" s="2486"/>
      <c r="G17" s="2486"/>
      <c r="H17" s="2486"/>
      <c r="I17" s="2486"/>
      <c r="J17" s="2486"/>
      <c r="K17" s="2486"/>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90" t="s">
        <v>2200</v>
      </c>
      <c r="C20" s="2490"/>
      <c r="D20" s="2486"/>
      <c r="E20" s="2486"/>
      <c r="F20" s="2486"/>
      <c r="G20" s="2486"/>
      <c r="H20" s="2486"/>
      <c r="I20" s="2486"/>
      <c r="J20" s="2486"/>
      <c r="K20" s="248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6" t="s">
        <v>2201</v>
      </c>
      <c r="C23" s="2486"/>
      <c r="D23" s="2486"/>
      <c r="E23" s="2486"/>
      <c r="F23" s="2486"/>
      <c r="G23" s="2486"/>
      <c r="H23" s="2486"/>
      <c r="I23" s="2486"/>
      <c r="J23" s="2486"/>
      <c r="K23" s="248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6" t="s">
        <v>2202</v>
      </c>
      <c r="C26" s="2486"/>
      <c r="D26" s="2486"/>
      <c r="E26" s="2486"/>
      <c r="F26" s="2486"/>
      <c r="G26" s="2486"/>
      <c r="H26" s="2486"/>
      <c r="I26" s="2486"/>
      <c r="J26" s="2486"/>
      <c r="K26" s="248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5" t="s">
        <v>2203</v>
      </c>
      <c r="C29" s="2485"/>
      <c r="D29" s="2486"/>
      <c r="E29" s="2486"/>
      <c r="F29" s="2486"/>
      <c r="G29" s="2486"/>
      <c r="H29" s="2486"/>
      <c r="I29" s="2486"/>
      <c r="J29" s="2486"/>
      <c r="K29" s="248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85" t="s">
        <v>2238</v>
      </c>
      <c r="C32" s="2485"/>
      <c r="D32" s="2486"/>
      <c r="E32" s="2486"/>
      <c r="F32" s="2486"/>
      <c r="G32" s="2486"/>
      <c r="H32" s="2486"/>
      <c r="I32" s="2486"/>
      <c r="J32" s="2486"/>
      <c r="K32" s="248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scale="92"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1" t="str">
        <f>'Single Audit Cover'!A7</f>
        <v>Massac UD 1</v>
      </c>
      <c r="C1" s="2491"/>
      <c r="D1" s="2491"/>
      <c r="E1" s="2491"/>
      <c r="F1" s="2491"/>
      <c r="G1" s="2491"/>
      <c r="H1" s="2491"/>
      <c r="I1" s="2491"/>
      <c r="J1" s="2491"/>
      <c r="K1" s="2491"/>
      <c r="L1" s="1449"/>
    </row>
    <row r="2" spans="1:12" ht="12.75" customHeight="1" x14ac:dyDescent="0.2">
      <c r="B2" s="2492">
        <f>'Single Audit Cover'!E7</f>
        <v>21061001026</v>
      </c>
      <c r="C2" s="2492"/>
      <c r="D2" s="2492"/>
      <c r="E2" s="2492"/>
      <c r="F2" s="2492"/>
      <c r="G2" s="2492"/>
      <c r="H2" s="2492"/>
      <c r="I2" s="2492"/>
      <c r="J2" s="2492"/>
      <c r="K2" s="2492"/>
      <c r="L2" s="1450"/>
    </row>
    <row r="3" spans="1:12" ht="12.75" customHeight="1" x14ac:dyDescent="0.2">
      <c r="B3" s="2487" t="s">
        <v>1285</v>
      </c>
      <c r="C3" s="2487"/>
      <c r="D3" s="2487"/>
      <c r="E3" s="2487"/>
      <c r="F3" s="2487"/>
      <c r="G3" s="2487"/>
      <c r="H3" s="2487"/>
      <c r="I3" s="2487"/>
      <c r="J3" s="2487"/>
      <c r="K3" s="2487"/>
      <c r="L3" s="1374"/>
    </row>
    <row r="4" spans="1:12" ht="12.75" customHeight="1" x14ac:dyDescent="0.2">
      <c r="B4" s="2487" t="str">
        <f>'Single Audit Cover'!A4</f>
        <v>Year Ending June 30, 2019</v>
      </c>
      <c r="C4" s="2487"/>
      <c r="D4" s="2487"/>
      <c r="E4" s="2487"/>
      <c r="F4" s="2487"/>
      <c r="G4" s="2487"/>
      <c r="H4" s="2487"/>
      <c r="I4" s="2487"/>
      <c r="J4" s="2487"/>
      <c r="K4" s="2487"/>
      <c r="L4" s="1374"/>
    </row>
    <row r="5" spans="1:12" ht="5.25" customHeight="1" x14ac:dyDescent="0.2">
      <c r="B5" s="1257" t="s">
        <v>1169</v>
      </c>
      <c r="C5" s="1257"/>
      <c r="L5" s="322"/>
    </row>
    <row r="6" spans="1:12" ht="30.75" customHeight="1" x14ac:dyDescent="0.2">
      <c r="A6" s="322"/>
      <c r="B6" s="2493" t="s">
        <v>1308</v>
      </c>
      <c r="C6" s="2493"/>
      <c r="D6" s="2493"/>
      <c r="E6" s="2493"/>
      <c r="F6" s="2493"/>
      <c r="G6" s="2493"/>
      <c r="H6" s="2493"/>
      <c r="I6" s="2493"/>
      <c r="J6" s="2493"/>
      <c r="K6" s="2493"/>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1987</v>
      </c>
      <c r="D8" s="1452">
        <v>3</v>
      </c>
      <c r="E8" s="322"/>
      <c r="F8" s="1381" t="s">
        <v>1295</v>
      </c>
      <c r="G8" s="1453"/>
      <c r="H8" s="1454" t="s">
        <v>1307</v>
      </c>
      <c r="I8" s="1453" t="s">
        <v>2060</v>
      </c>
      <c r="J8" s="1455" t="s">
        <v>1306</v>
      </c>
      <c r="L8" s="322"/>
    </row>
    <row r="9" spans="1:12" ht="13.5" customHeight="1" x14ac:dyDescent="0.2">
      <c r="D9" s="322"/>
      <c r="E9" s="322"/>
      <c r="F9" s="322"/>
      <c r="G9" s="1380"/>
      <c r="H9" s="322"/>
      <c r="I9" s="1456" t="s">
        <v>1292</v>
      </c>
      <c r="J9" s="322"/>
      <c r="K9" s="1457">
        <v>2009</v>
      </c>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1" t="s">
        <v>2204</v>
      </c>
      <c r="G12" s="2471"/>
      <c r="H12" s="2471"/>
      <c r="I12" s="2471"/>
      <c r="J12" s="2471"/>
      <c r="K12" s="247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4" t="s">
        <v>2205</v>
      </c>
      <c r="E14" s="2494"/>
      <c r="F14" s="2494"/>
      <c r="H14" s="1459" t="s">
        <v>1303</v>
      </c>
      <c r="I14" s="2495" t="s">
        <v>2159</v>
      </c>
      <c r="J14" s="2495"/>
      <c r="K14" s="2495"/>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5" t="s">
        <v>2206</v>
      </c>
      <c r="E16" s="2495"/>
      <c r="F16" s="2495"/>
      <c r="G16" s="2495"/>
      <c r="H16" s="2495"/>
      <c r="I16" s="2495"/>
      <c r="J16" s="2495"/>
      <c r="K16" s="2495"/>
      <c r="L16" s="322"/>
    </row>
    <row r="17" spans="2:12" ht="13.5" customHeight="1" x14ac:dyDescent="0.2">
      <c r="B17" s="1384" t="s">
        <v>1301</v>
      </c>
      <c r="C17" s="1384"/>
      <c r="D17" s="2496" t="s">
        <v>2207</v>
      </c>
      <c r="E17" s="2496"/>
      <c r="F17" s="2496"/>
      <c r="G17" s="2496"/>
      <c r="H17" s="2496"/>
      <c r="I17" s="2496"/>
      <c r="J17" s="2496"/>
      <c r="K17" s="249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6" t="s">
        <v>2234</v>
      </c>
      <c r="C20" s="2486"/>
      <c r="D20" s="2486"/>
      <c r="E20" s="2486"/>
      <c r="F20" s="2486"/>
      <c r="G20" s="2486"/>
      <c r="H20" s="2486"/>
      <c r="I20" s="2486"/>
      <c r="J20" s="2486"/>
      <c r="K20" s="248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86" t="s">
        <v>2208</v>
      </c>
      <c r="C23" s="2486"/>
      <c r="D23" s="2486"/>
      <c r="E23" s="2486"/>
      <c r="F23" s="2486"/>
      <c r="G23" s="2486"/>
      <c r="H23" s="2486"/>
      <c r="I23" s="2486"/>
      <c r="J23" s="2486"/>
      <c r="K23" s="248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86" t="s">
        <v>2209</v>
      </c>
      <c r="C26" s="2486"/>
      <c r="D26" s="2486"/>
      <c r="E26" s="2486"/>
      <c r="F26" s="2486"/>
      <c r="G26" s="2486"/>
      <c r="H26" s="2486"/>
      <c r="I26" s="2486"/>
      <c r="J26" s="2486"/>
      <c r="K26" s="248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86" t="s">
        <v>2210</v>
      </c>
      <c r="C29" s="2486"/>
      <c r="D29" s="2486"/>
      <c r="E29" s="2486"/>
      <c r="F29" s="2486"/>
      <c r="G29" s="2486"/>
      <c r="H29" s="2486"/>
      <c r="I29" s="2486"/>
      <c r="J29" s="2486"/>
      <c r="K29" s="248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6" t="s">
        <v>2211</v>
      </c>
      <c r="C32" s="2486"/>
      <c r="D32" s="2486"/>
      <c r="E32" s="2486"/>
      <c r="F32" s="2486"/>
      <c r="G32" s="2486"/>
      <c r="H32" s="2486"/>
      <c r="I32" s="2486"/>
      <c r="J32" s="2486"/>
      <c r="K32" s="248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6" t="s">
        <v>2212</v>
      </c>
      <c r="C35" s="2486"/>
      <c r="D35" s="2486"/>
      <c r="E35" s="2486"/>
      <c r="F35" s="2486"/>
      <c r="G35" s="2486"/>
      <c r="H35" s="2486"/>
      <c r="I35" s="2486"/>
      <c r="J35" s="2486"/>
      <c r="K35" s="248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6" t="s">
        <v>2229</v>
      </c>
      <c r="C38" s="2486"/>
      <c r="D38" s="2486"/>
      <c r="E38" s="2486"/>
      <c r="F38" s="2486"/>
      <c r="G38" s="2486"/>
      <c r="H38" s="2486"/>
      <c r="I38" s="2486"/>
      <c r="J38" s="2486"/>
      <c r="K38" s="248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86" t="s">
        <v>2235</v>
      </c>
      <c r="C41" s="2486"/>
      <c r="D41" s="2486"/>
      <c r="E41" s="2486"/>
      <c r="F41" s="2486"/>
      <c r="G41" s="2486"/>
      <c r="H41" s="2486"/>
      <c r="I41" s="2486"/>
      <c r="J41" s="2486"/>
      <c r="K41" s="248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verticalCentered="1"/>
  <pageMargins left="0.32" right="0.32" top="0.44" bottom="0.27" header="0.26" footer="0.18"/>
  <pageSetup scale="90"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CFEDD-AAB1-4028-9431-157CF97C536D}">
  <dimension ref="A1:L48"/>
  <sheetViews>
    <sheetView zoomScaleNormal="10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1" t="str">
        <f>'Single Audit Cover'!A7</f>
        <v>Massac UD 1</v>
      </c>
      <c r="C1" s="2491"/>
      <c r="D1" s="2491"/>
      <c r="E1" s="2491"/>
      <c r="F1" s="2491"/>
      <c r="G1" s="2491"/>
      <c r="H1" s="2491"/>
      <c r="I1" s="2491"/>
      <c r="J1" s="2491"/>
      <c r="K1" s="2491"/>
      <c r="L1" s="1449"/>
    </row>
    <row r="2" spans="1:12" ht="12.75" customHeight="1" x14ac:dyDescent="0.2">
      <c r="B2" s="2492">
        <f>'Single Audit Cover'!E7</f>
        <v>21061001026</v>
      </c>
      <c r="C2" s="2492"/>
      <c r="D2" s="2492"/>
      <c r="E2" s="2492"/>
      <c r="F2" s="2492"/>
      <c r="G2" s="2492"/>
      <c r="H2" s="2492"/>
      <c r="I2" s="2492"/>
      <c r="J2" s="2492"/>
      <c r="K2" s="2492"/>
      <c r="L2" s="1450"/>
    </row>
    <row r="3" spans="1:12" ht="12.75" customHeight="1" x14ac:dyDescent="0.2">
      <c r="B3" s="2487" t="s">
        <v>1285</v>
      </c>
      <c r="C3" s="2487"/>
      <c r="D3" s="2487"/>
      <c r="E3" s="2487"/>
      <c r="F3" s="2487"/>
      <c r="G3" s="2487"/>
      <c r="H3" s="2487"/>
      <c r="I3" s="2487"/>
      <c r="J3" s="2487"/>
      <c r="K3" s="2487"/>
      <c r="L3" s="1939"/>
    </row>
    <row r="4" spans="1:12" ht="12.75" customHeight="1" x14ac:dyDescent="0.2">
      <c r="B4" s="2487" t="str">
        <f>'Single Audit Cover'!A4</f>
        <v>Year Ending June 30, 2019</v>
      </c>
      <c r="C4" s="2487"/>
      <c r="D4" s="2487"/>
      <c r="E4" s="2487"/>
      <c r="F4" s="2487"/>
      <c r="G4" s="2487"/>
      <c r="H4" s="2487"/>
      <c r="I4" s="2487"/>
      <c r="J4" s="2487"/>
      <c r="K4" s="2487"/>
      <c r="L4" s="1939"/>
    </row>
    <row r="5" spans="1:12" ht="5.25" customHeight="1" x14ac:dyDescent="0.2">
      <c r="B5" s="1257" t="s">
        <v>1169</v>
      </c>
      <c r="C5" s="1257"/>
      <c r="L5" s="322"/>
    </row>
    <row r="6" spans="1:12" ht="30.75" customHeight="1" x14ac:dyDescent="0.2">
      <c r="A6" s="322"/>
      <c r="B6" s="2493" t="s">
        <v>1308</v>
      </c>
      <c r="C6" s="2493"/>
      <c r="D6" s="2493"/>
      <c r="E6" s="2493"/>
      <c r="F6" s="2493"/>
      <c r="G6" s="2493"/>
      <c r="H6" s="2493"/>
      <c r="I6" s="2493"/>
      <c r="J6" s="2493"/>
      <c r="K6" s="2493"/>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1987</v>
      </c>
      <c r="D8" s="1452">
        <v>4</v>
      </c>
      <c r="E8" s="322"/>
      <c r="F8" s="1381" t="s">
        <v>1295</v>
      </c>
      <c r="G8" s="1453" t="s">
        <v>2060</v>
      </c>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1" t="s">
        <v>2213</v>
      </c>
      <c r="G12" s="2471"/>
      <c r="H12" s="2471"/>
      <c r="I12" s="2471"/>
      <c r="J12" s="2471"/>
      <c r="K12" s="247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4" t="s">
        <v>2123</v>
      </c>
      <c r="E14" s="2494"/>
      <c r="F14" s="2494"/>
      <c r="H14" s="1459" t="s">
        <v>1303</v>
      </c>
      <c r="I14" s="2497">
        <v>84.01</v>
      </c>
      <c r="J14" s="2497"/>
      <c r="K14" s="2497"/>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5" t="s">
        <v>2206</v>
      </c>
      <c r="E16" s="2495"/>
      <c r="F16" s="2495"/>
      <c r="G16" s="2495"/>
      <c r="H16" s="2495"/>
      <c r="I16" s="2495"/>
      <c r="J16" s="2495"/>
      <c r="K16" s="2495"/>
      <c r="L16" s="322"/>
    </row>
    <row r="17" spans="2:12" ht="13.5" customHeight="1" x14ac:dyDescent="0.2">
      <c r="B17" s="1384" t="s">
        <v>1301</v>
      </c>
      <c r="C17" s="1384"/>
      <c r="D17" s="2496" t="s">
        <v>2214</v>
      </c>
      <c r="E17" s="2496"/>
      <c r="F17" s="2496"/>
      <c r="G17" s="2496"/>
      <c r="H17" s="2496"/>
      <c r="I17" s="2496"/>
      <c r="J17" s="2496"/>
      <c r="K17" s="249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6" t="s">
        <v>2223</v>
      </c>
      <c r="C20" s="2486"/>
      <c r="D20" s="2486"/>
      <c r="E20" s="2486"/>
      <c r="F20" s="2486"/>
      <c r="G20" s="2486"/>
      <c r="H20" s="2486"/>
      <c r="I20" s="2486"/>
      <c r="J20" s="2486"/>
      <c r="K20" s="248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86" t="s">
        <v>2224</v>
      </c>
      <c r="C23" s="2486"/>
      <c r="D23" s="2486"/>
      <c r="E23" s="2486"/>
      <c r="F23" s="2486"/>
      <c r="G23" s="2486"/>
      <c r="H23" s="2486"/>
      <c r="I23" s="2486"/>
      <c r="J23" s="2486"/>
      <c r="K23" s="248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98" t="s">
        <v>2225</v>
      </c>
      <c r="C26" s="2486"/>
      <c r="D26" s="2486"/>
      <c r="E26" s="2486"/>
      <c r="F26" s="2486"/>
      <c r="G26" s="2486"/>
      <c r="H26" s="2486"/>
      <c r="I26" s="2486"/>
      <c r="J26" s="2486"/>
      <c r="K26" s="248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86" t="s">
        <v>2215</v>
      </c>
      <c r="C29" s="2486"/>
      <c r="D29" s="2486"/>
      <c r="E29" s="2486"/>
      <c r="F29" s="2486"/>
      <c r="G29" s="2486"/>
      <c r="H29" s="2486"/>
      <c r="I29" s="2486"/>
      <c r="J29" s="2486"/>
      <c r="K29" s="248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6" t="s">
        <v>2226</v>
      </c>
      <c r="C32" s="2486"/>
      <c r="D32" s="2486"/>
      <c r="E32" s="2486"/>
      <c r="F32" s="2486"/>
      <c r="G32" s="2486"/>
      <c r="H32" s="2486"/>
      <c r="I32" s="2486"/>
      <c r="J32" s="2486"/>
      <c r="K32" s="248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6" t="s">
        <v>2227</v>
      </c>
      <c r="C35" s="2486"/>
      <c r="D35" s="2486"/>
      <c r="E35" s="2486"/>
      <c r="F35" s="2486"/>
      <c r="G35" s="2486"/>
      <c r="H35" s="2486"/>
      <c r="I35" s="2486"/>
      <c r="J35" s="2486"/>
      <c r="K35" s="248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6" t="s">
        <v>2228</v>
      </c>
      <c r="C38" s="2486"/>
      <c r="D38" s="2486"/>
      <c r="E38" s="2486"/>
      <c r="F38" s="2486"/>
      <c r="G38" s="2486"/>
      <c r="H38" s="2486"/>
      <c r="I38" s="2486"/>
      <c r="J38" s="2486"/>
      <c r="K38" s="248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86" t="s">
        <v>2236</v>
      </c>
      <c r="C41" s="2486"/>
      <c r="D41" s="2486"/>
      <c r="E41" s="2486"/>
      <c r="F41" s="2486"/>
      <c r="G41" s="2486"/>
      <c r="H41" s="2486"/>
      <c r="I41" s="2486"/>
      <c r="J41" s="2486"/>
      <c r="K41" s="248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7" right="0.7" top="0.75" bottom="0.75" header="0.3" footer="0.3"/>
  <pageSetup scale="92"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4" t="str">
        <f>'Single Audit Cover'!A7</f>
        <v>Massac UD 1</v>
      </c>
      <c r="C1" s="2464"/>
      <c r="D1" s="2464"/>
      <c r="E1" s="1469"/>
    </row>
    <row r="2" spans="2:5" s="1279" customFormat="1" ht="12.75" customHeight="1" x14ac:dyDescent="0.2">
      <c r="B2" s="2466">
        <f>'Single Audit Cover'!E7</f>
        <v>21061001026</v>
      </c>
      <c r="C2" s="2466"/>
      <c r="D2" s="2466"/>
      <c r="E2" s="1470"/>
    </row>
    <row r="3" spans="2:5" ht="12.75" customHeight="1" x14ac:dyDescent="0.2">
      <c r="B3" s="2487" t="s">
        <v>1763</v>
      </c>
      <c r="C3" s="2487"/>
      <c r="D3" s="2487"/>
      <c r="E3" s="1271"/>
    </row>
    <row r="4" spans="2:5" s="1279" customFormat="1" ht="12.75" customHeight="1" x14ac:dyDescent="0.2">
      <c r="B4" s="2499" t="str">
        <f>'Single Audit Cover'!A4</f>
        <v>Year Ending June 30, 2019</v>
      </c>
      <c r="C4" s="2499"/>
      <c r="D4" s="2499"/>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2182</v>
      </c>
      <c r="C7" s="324" t="s">
        <v>2217</v>
      </c>
      <c r="D7" s="324" t="s">
        <v>2218</v>
      </c>
      <c r="E7" s="324"/>
    </row>
    <row r="8" spans="2:5" ht="13.5" customHeight="1" x14ac:dyDescent="0.2">
      <c r="B8" s="1474"/>
      <c r="C8" s="324" t="s">
        <v>2183</v>
      </c>
      <c r="D8" s="324"/>
      <c r="E8" s="324"/>
    </row>
    <row r="9" spans="2:5" ht="13.5" customHeight="1" x14ac:dyDescent="0.2">
      <c r="B9" s="1475"/>
      <c r="C9" s="323"/>
      <c r="D9" s="323"/>
      <c r="E9" s="323"/>
    </row>
    <row r="10" spans="2:5" ht="13.5" customHeight="1" x14ac:dyDescent="0.2">
      <c r="B10" s="1474" t="s">
        <v>2184</v>
      </c>
      <c r="C10" s="323" t="s">
        <v>2185</v>
      </c>
      <c r="D10" s="323" t="s">
        <v>2222</v>
      </c>
      <c r="E10" s="323"/>
    </row>
    <row r="11" spans="2:5" ht="13.5" customHeight="1" x14ac:dyDescent="0.2">
      <c r="B11" s="1474"/>
      <c r="C11" s="323" t="s">
        <v>2186</v>
      </c>
      <c r="D11" s="323"/>
      <c r="E11" s="323"/>
    </row>
    <row r="12" spans="2:5" ht="13.5" customHeight="1" x14ac:dyDescent="0.2">
      <c r="B12" s="1474"/>
      <c r="C12" s="323" t="s">
        <v>2187</v>
      </c>
      <c r="D12" s="323"/>
      <c r="E12" s="323"/>
    </row>
    <row r="13" spans="2:5" ht="13.5" customHeight="1" x14ac:dyDescent="0.2">
      <c r="B13" s="1474"/>
      <c r="C13" s="323" t="s">
        <v>2188</v>
      </c>
      <c r="D13" s="323"/>
      <c r="E13" s="323"/>
    </row>
    <row r="14" spans="2:5" ht="13.5" customHeight="1" x14ac:dyDescent="0.2">
      <c r="B14" s="1474"/>
      <c r="C14" s="323" t="s">
        <v>2189</v>
      </c>
      <c r="D14" s="323"/>
      <c r="E14" s="323"/>
    </row>
    <row r="15" spans="2:5" ht="13.5" customHeight="1" x14ac:dyDescent="0.2">
      <c r="B15" s="1474"/>
      <c r="C15" s="323" t="s">
        <v>2190</v>
      </c>
      <c r="D15" s="323"/>
      <c r="E15" s="323"/>
    </row>
    <row r="16" spans="2:5" ht="13.5" customHeight="1" x14ac:dyDescent="0.2">
      <c r="B16" s="1474"/>
      <c r="C16" s="323" t="s">
        <v>2191</v>
      </c>
      <c r="D16" s="323"/>
      <c r="E16" s="323"/>
    </row>
    <row r="17" spans="2:5" ht="13.5" customHeight="1" x14ac:dyDescent="0.2">
      <c r="B17" s="1474"/>
      <c r="C17" s="323"/>
      <c r="D17" s="323"/>
      <c r="E17" s="323"/>
    </row>
    <row r="18" spans="2:5" ht="13.5" customHeight="1" x14ac:dyDescent="0.2">
      <c r="B18" s="1474" t="s">
        <v>2192</v>
      </c>
      <c r="C18" s="323" t="s">
        <v>2193</v>
      </c>
      <c r="D18" s="323" t="s">
        <v>2219</v>
      </c>
      <c r="E18" s="323"/>
    </row>
    <row r="19" spans="2:5" ht="13.5" customHeight="1" x14ac:dyDescent="0.2">
      <c r="B19" s="1474"/>
      <c r="C19" s="323" t="s">
        <v>2194</v>
      </c>
      <c r="D19" s="323"/>
      <c r="E19" s="323"/>
    </row>
    <row r="20" spans="2:5" ht="13.5" customHeight="1" x14ac:dyDescent="0.2">
      <c r="B20" s="1474"/>
      <c r="C20" s="323" t="s">
        <v>2195</v>
      </c>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rintOptions horizontalCentered="1" verticalCentered="1"/>
  <pageMargins left="0.32" right="0.32" top="0.52" bottom="0.57999999999999996" header="0.26" footer="0.26"/>
  <pageSetup scale="90"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9" colorId="8" zoomScale="110" zoomScaleNormal="110" workbookViewId="0">
      <selection activeCell="B54" sqref="B54:L5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5" t="s">
        <v>386</v>
      </c>
      <c r="B1" s="2095"/>
      <c r="C1" s="2095"/>
      <c r="D1" s="2095"/>
      <c r="E1" s="2095"/>
      <c r="F1" s="2095"/>
      <c r="G1" s="2095"/>
      <c r="H1" s="2095"/>
      <c r="I1" s="2095"/>
      <c r="J1" s="2095"/>
      <c r="K1" s="2095"/>
      <c r="L1" s="2095"/>
      <c r="M1" s="209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272</v>
      </c>
      <c r="G7" s="222"/>
      <c r="H7" s="222"/>
      <c r="I7" s="222"/>
      <c r="J7" s="352">
        <v>140081076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2.8114400000000001E-2</v>
      </c>
      <c r="E10" s="356" t="s">
        <v>1005</v>
      </c>
      <c r="F10" s="355">
        <v>5.3495000000000001E-3</v>
      </c>
      <c r="G10" s="356" t="s">
        <v>1005</v>
      </c>
      <c r="H10" s="355">
        <v>1.9888000000000002E-3</v>
      </c>
      <c r="I10" s="356" t="s">
        <v>1006</v>
      </c>
      <c r="J10" s="1732">
        <f>ROUND(D10+F10+H10,5)</f>
        <v>3.5450000000000002E-2</v>
      </c>
      <c r="K10" s="222"/>
      <c r="L10" s="355">
        <v>4.9620000000000003E-4</v>
      </c>
      <c r="M10" s="222"/>
    </row>
    <row r="11" spans="1:14" ht="7.5" customHeight="1" x14ac:dyDescent="0.2">
      <c r="B11" s="222"/>
      <c r="C11" s="222"/>
      <c r="D11" s="2105" t="str">
        <f>IF(SUM(J10)&lt;=0.0999999,"","Enter the Tax Rates by moving the decimal two places to the left.")</f>
        <v/>
      </c>
      <c r="E11" s="2106"/>
      <c r="F11" s="2106"/>
      <c r="G11" s="2106"/>
      <c r="H11" s="2106"/>
      <c r="I11" s="2106"/>
      <c r="J11" s="210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21278816</v>
      </c>
      <c r="E16" s="356"/>
      <c r="F16" s="1733">
        <f>SUM('Acct Summary 7-8'!C17,'Acct Summary 7-8'!D17,'Acct Summary 7-8'!F17)</f>
        <v>19881211</v>
      </c>
      <c r="G16" s="356"/>
      <c r="H16" s="1733">
        <f>SUM(D16-F16)</f>
        <v>1397605</v>
      </c>
      <c r="I16" s="222"/>
      <c r="J16" s="1733">
        <f>SUM('Acct Summary 7-8'!C81,'Acct Summary 7-8'!D81,'Acct Summary 7-8'!F81,'Acct Summary 7-8'!I81)</f>
        <v>6276369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19331188.488000002</v>
      </c>
      <c r="I31" s="368"/>
      <c r="J31" s="222"/>
      <c r="K31" s="222"/>
      <c r="L31" s="222"/>
      <c r="M31" s="222"/>
    </row>
    <row r="32" spans="1:13" ht="13.35" customHeight="1" x14ac:dyDescent="0.2">
      <c r="B32" s="369" t="s">
        <v>2060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2769100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6"/>
      <c r="C54" s="2097"/>
      <c r="D54" s="2097"/>
      <c r="E54" s="2097"/>
      <c r="F54" s="2097"/>
      <c r="G54" s="2097"/>
      <c r="H54" s="2097"/>
      <c r="I54" s="2097"/>
      <c r="J54" s="2097"/>
      <c r="K54" s="2097"/>
      <c r="L54" s="2098"/>
      <c r="M54" s="380"/>
    </row>
    <row r="55" spans="1:13" ht="12.75" customHeight="1" x14ac:dyDescent="0.2">
      <c r="B55" s="2099"/>
      <c r="C55" s="2100"/>
      <c r="D55" s="2100"/>
      <c r="E55" s="2100"/>
      <c r="F55" s="2100"/>
      <c r="G55" s="2100"/>
      <c r="H55" s="2100"/>
      <c r="I55" s="2100"/>
      <c r="J55" s="2100"/>
      <c r="K55" s="2100"/>
      <c r="L55" s="2101"/>
      <c r="M55" s="380"/>
    </row>
    <row r="56" spans="1:13" ht="12.75" customHeight="1" x14ac:dyDescent="0.2">
      <c r="B56" s="2099"/>
      <c r="C56" s="2100"/>
      <c r="D56" s="2100"/>
      <c r="E56" s="2100"/>
      <c r="F56" s="2100"/>
      <c r="G56" s="2100"/>
      <c r="H56" s="2100"/>
      <c r="I56" s="2100"/>
      <c r="J56" s="2100"/>
      <c r="K56" s="2100"/>
      <c r="L56" s="2101"/>
      <c r="M56" s="222"/>
    </row>
    <row r="57" spans="1:13" ht="12.75" customHeight="1" x14ac:dyDescent="0.2">
      <c r="B57" s="2099"/>
      <c r="C57" s="2100"/>
      <c r="D57" s="2100"/>
      <c r="E57" s="2100"/>
      <c r="F57" s="2100"/>
      <c r="G57" s="2100"/>
      <c r="H57" s="2100"/>
      <c r="I57" s="2100"/>
      <c r="J57" s="2100"/>
      <c r="K57" s="2100"/>
      <c r="L57" s="2101"/>
      <c r="M57" s="222"/>
    </row>
    <row r="58" spans="1:13" x14ac:dyDescent="0.2">
      <c r="B58" s="2102"/>
      <c r="C58" s="2103"/>
      <c r="D58" s="2103"/>
      <c r="E58" s="2103"/>
      <c r="F58" s="2103"/>
      <c r="G58" s="2103"/>
      <c r="H58" s="2103"/>
      <c r="I58" s="2103"/>
      <c r="J58" s="2103"/>
      <c r="K58" s="2103"/>
      <c r="L58" s="210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7"/>
      <c r="D61" s="210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orizontalCentered="1" headings="1"/>
  <pageMargins left="0.6" right="0.6" top="0.84" bottom="1.02" header="0.28000000000000003" footer="0.67"/>
  <pageSetup scale="90" firstPageNumber="3" orientation="portrait" useFirstPageNumber="1" r:id="rId1"/>
  <headerFooter alignWithMargins="0">
    <oddHeader>&amp;L&amp;8Page &amp;P&amp;C &amp;R&amp;8Page &amp;P</oddHeader>
    <oddFooter>&amp;L&amp;8Printed: &amp;D
&amp;F&amp;CSee Independent Auditors' Report.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25" zoomScale="110" zoomScaleNormal="110" workbookViewId="0">
      <selection activeCell="F39" sqref="F3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0"/>
      <c r="B1" s="2111"/>
      <c r="C1" s="2111"/>
      <c r="D1" s="384"/>
      <c r="E1" s="384"/>
      <c r="F1" s="384"/>
      <c r="G1" s="384"/>
      <c r="H1" s="384"/>
      <c r="I1" s="384"/>
      <c r="J1" s="384"/>
      <c r="K1" s="384"/>
      <c r="L1" s="384"/>
      <c r="M1" s="384"/>
      <c r="N1" s="384"/>
      <c r="O1" s="2110"/>
      <c r="P1" s="2111"/>
      <c r="Q1" s="2111"/>
    </row>
    <row r="2" spans="1:18" ht="15" x14ac:dyDescent="0.2">
      <c r="A2" s="2114" t="s">
        <v>556</v>
      </c>
      <c r="B2" s="2114"/>
      <c r="C2" s="2114"/>
      <c r="D2" s="2114"/>
      <c r="E2" s="2114"/>
      <c r="F2" s="2114"/>
      <c r="G2" s="2114"/>
      <c r="H2" s="2114"/>
      <c r="I2" s="2114"/>
      <c r="J2" s="2114"/>
      <c r="K2" s="2114"/>
      <c r="L2" s="2114"/>
      <c r="M2" s="2114"/>
      <c r="N2" s="2114"/>
      <c r="O2" s="2114"/>
      <c r="P2" s="2114"/>
      <c r="Q2" s="2114"/>
      <c r="R2" s="2114"/>
    </row>
    <row r="3" spans="1:18" ht="12.75" x14ac:dyDescent="0.2">
      <c r="A3" s="2115" t="s">
        <v>1413</v>
      </c>
      <c r="B3" s="2115"/>
      <c r="C3" s="2115"/>
      <c r="D3" s="2115"/>
      <c r="E3" s="2115"/>
      <c r="F3" s="2115"/>
      <c r="G3" s="2115"/>
      <c r="H3" s="2115"/>
      <c r="I3" s="2115"/>
      <c r="J3" s="2115"/>
      <c r="K3" s="2115"/>
      <c r="L3" s="2115"/>
      <c r="M3" s="2115"/>
      <c r="N3" s="2115"/>
      <c r="O3" s="2115"/>
      <c r="P3" s="2115"/>
      <c r="Q3" s="2115"/>
      <c r="R3" s="2115"/>
    </row>
    <row r="4" spans="1:18" x14ac:dyDescent="0.2">
      <c r="A4" s="2116" t="s">
        <v>1554</v>
      </c>
      <c r="B4" s="2116"/>
      <c r="C4" s="2116"/>
      <c r="D4" s="2116"/>
      <c r="E4" s="2116"/>
      <c r="F4" s="2116"/>
      <c r="G4" s="2116"/>
      <c r="H4" s="2116"/>
      <c r="I4" s="2116"/>
      <c r="J4" s="2116"/>
      <c r="K4" s="2116"/>
      <c r="L4" s="2116"/>
      <c r="M4" s="2116"/>
      <c r="N4" s="2116"/>
      <c r="O4" s="2116"/>
      <c r="P4" s="2116"/>
      <c r="Q4" s="2116"/>
      <c r="R4" s="211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Massac UD 1</v>
      </c>
      <c r="E7" s="391"/>
      <c r="G7" s="252"/>
      <c r="H7" s="387"/>
      <c r="I7" s="387"/>
      <c r="J7" s="387"/>
      <c r="K7" s="387"/>
      <c r="L7" s="329"/>
      <c r="M7" s="329"/>
      <c r="N7" s="329"/>
      <c r="O7" s="329"/>
      <c r="P7" s="329"/>
    </row>
    <row r="8" spans="1:18" ht="12.75" x14ac:dyDescent="0.2">
      <c r="A8" s="329"/>
      <c r="B8" s="329"/>
      <c r="C8" s="389" t="s">
        <v>1125</v>
      </c>
      <c r="D8" s="392">
        <f>COVER!A13</f>
        <v>21061001026</v>
      </c>
      <c r="E8" s="393"/>
      <c r="G8" s="329"/>
      <c r="H8" s="329"/>
      <c r="I8" s="329"/>
      <c r="J8" s="329"/>
      <c r="K8" s="329"/>
      <c r="L8" s="329"/>
      <c r="M8" s="329"/>
      <c r="N8" s="329"/>
      <c r="O8" s="329"/>
      <c r="P8" s="329"/>
    </row>
    <row r="9" spans="1:18" ht="12.75" x14ac:dyDescent="0.2">
      <c r="A9" s="329"/>
      <c r="B9" s="329"/>
      <c r="C9" s="389" t="s">
        <v>713</v>
      </c>
      <c r="D9" s="394" t="str">
        <f>COVER!A15</f>
        <v>Massac</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6276369</v>
      </c>
      <c r="I12" s="404"/>
      <c r="J12" s="404"/>
      <c r="K12" s="405">
        <f>TRUNC((H12/H13*100000),5)/100000</f>
        <v>0.29495856339999998</v>
      </c>
      <c r="L12" s="406"/>
      <c r="M12" s="360" t="s">
        <v>1144</v>
      </c>
      <c r="N12" s="360"/>
      <c r="O12" s="407">
        <v>0.35</v>
      </c>
      <c r="P12" s="218"/>
      <c r="Q12" s="218"/>
    </row>
    <row r="13" spans="1:18" s="408" customFormat="1" ht="12.75" x14ac:dyDescent="0.2">
      <c r="A13" s="218"/>
      <c r="B13" s="401"/>
      <c r="C13" s="2112" t="s">
        <v>1324</v>
      </c>
      <c r="D13" s="2113"/>
      <c r="E13" s="218"/>
      <c r="F13" s="409" t="s">
        <v>793</v>
      </c>
      <c r="G13" s="402"/>
      <c r="H13" s="403">
        <f>SUM('Acct Summary 7-8'!C8+'Acct Summary 7-8'!D8+'Acct Summary 7-8'!F8+'Acct Summary 7-8'!I8)+H14</f>
        <v>21278816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19881211</v>
      </c>
      <c r="I17" s="404"/>
      <c r="J17" s="416"/>
      <c r="K17" s="405">
        <f>TRUNC((H17/H18*100000),5)/100000</f>
        <v>0.93431941880000002</v>
      </c>
      <c r="L17" s="406"/>
      <c r="M17" s="417" t="s">
        <v>1171</v>
      </c>
      <c r="O17" s="418" t="str">
        <f>IF(AND(O16="2", J20 &gt; 2),"1",IF(AND(O16 = "1", J20 &gt; 2),"2",IF(AND(O16="1", J20 &gt;1),"1","0")))</f>
        <v>0</v>
      </c>
      <c r="P17" s="218"/>
    </row>
    <row r="18" spans="1:18" s="408" customFormat="1" ht="11.25" x14ac:dyDescent="0.2">
      <c r="A18" s="218"/>
      <c r="B18" s="401"/>
      <c r="C18" s="2112" t="s">
        <v>1317</v>
      </c>
      <c r="D18" s="2113"/>
      <c r="E18" s="218"/>
      <c r="F18" s="419" t="s">
        <v>794</v>
      </c>
      <c r="G18" s="402"/>
      <c r="H18" s="403">
        <f>SUM('Acct Summary 7-8'!C8+'Acct Summary 7-8'!D8+'Acct Summary 7-8'!F8+'Acct Summary 7-8'!I8)+H19</f>
        <v>21278816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9" t="s">
        <v>1412</v>
      </c>
      <c r="D24" s="2109"/>
      <c r="E24" s="218"/>
      <c r="F24" s="218" t="s">
        <v>445</v>
      </c>
      <c r="G24" s="402"/>
      <c r="H24" s="403">
        <f>SUM('Assets-Liab 5-6'!C4+'Assets-Liab 5-6'!D4+'Assets-Liab 5-6'!F4+'Assets-Liab 5-6'!I4+'Assets-Liab 5-6'!C5+'Assets-Liab 5-6'!D5+'Assets-Liab 5-6'!F5+'Assets-Liab 5-6'!I5)</f>
        <v>6277355</v>
      </c>
      <c r="I24" s="422"/>
      <c r="J24" s="422"/>
      <c r="K24" s="423">
        <f>TRUNC(((H24/H25*100000)/100000),2)</f>
        <v>113.66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55225.586109999997</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4220993.02257</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2769100</v>
      </c>
      <c r="I32" s="420"/>
      <c r="J32" s="420"/>
      <c r="K32" s="423">
        <f>TRUNC(100-((((H32/H33*100))*100)/100),2)</f>
        <v>85.67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19331188.488000002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headings="1"/>
  <pageMargins left="0.25" right="0.2" top="0.8" bottom="0.52" header="0.19" footer="0.4"/>
  <pageSetup scale="75" firstPageNumber="4" orientation="landscape" useFirstPageNumber="1" r:id="rId3"/>
  <headerFooter alignWithMargins="0">
    <oddHeader>&amp;L&amp;8Page &amp;P&amp;C &amp;R&amp;8Page &amp;P</oddHeader>
    <oddFooter>&amp;L&amp;8Printed: &amp;D
&amp;F&amp;CSee Independent Auditors' Report.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D1" colorId="8" zoomScale="110" zoomScaleNormal="110" workbookViewId="0">
      <pane ySplit="2" topLeftCell="A3" activePane="bottomLeft" state="frozen"/>
      <selection pane="bottomLeft" activeCell="L3" sqref="L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9" t="s">
        <v>973</v>
      </c>
      <c r="B3" s="2120"/>
      <c r="C3" s="1559"/>
      <c r="D3" s="1560"/>
      <c r="E3" s="1560"/>
      <c r="F3" s="1560"/>
      <c r="G3" s="1560"/>
      <c r="H3" s="1560"/>
      <c r="I3" s="1560"/>
      <c r="J3" s="1560"/>
      <c r="K3" s="1560"/>
      <c r="L3" s="1560"/>
      <c r="M3" s="1561"/>
      <c r="N3" s="1562"/>
    </row>
    <row r="4" spans="1:14" ht="13.5" customHeight="1" x14ac:dyDescent="0.2">
      <c r="A4" s="463" t="s">
        <v>1651</v>
      </c>
      <c r="B4" s="464"/>
      <c r="C4" s="465">
        <v>3848475</v>
      </c>
      <c r="D4" s="466">
        <v>35633</v>
      </c>
      <c r="E4" s="466">
        <v>434738</v>
      </c>
      <c r="F4" s="466">
        <v>62617</v>
      </c>
      <c r="G4" s="466">
        <v>544993</v>
      </c>
      <c r="H4" s="466">
        <v>92515</v>
      </c>
      <c r="I4" s="466">
        <v>162239</v>
      </c>
      <c r="J4" s="467">
        <v>262083</v>
      </c>
      <c r="K4" s="466"/>
      <c r="L4" s="466">
        <v>212358</v>
      </c>
      <c r="M4" s="468"/>
      <c r="N4" s="469"/>
    </row>
    <row r="5" spans="1:14" x14ac:dyDescent="0.2">
      <c r="A5" s="463" t="s">
        <v>992</v>
      </c>
      <c r="B5" s="470">
        <v>120</v>
      </c>
      <c r="C5" s="465">
        <v>2042389</v>
      </c>
      <c r="D5" s="466">
        <v>118778</v>
      </c>
      <c r="E5" s="466">
        <v>115000</v>
      </c>
      <c r="F5" s="466">
        <v>6832</v>
      </c>
      <c r="G5" s="466">
        <v>54478</v>
      </c>
      <c r="H5" s="466">
        <v>7794</v>
      </c>
      <c r="I5" s="466">
        <v>392</v>
      </c>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5890864</v>
      </c>
      <c r="D13" s="1737">
        <f t="shared" ref="D13:L13" si="0">SUM(D4:D12)</f>
        <v>154411</v>
      </c>
      <c r="E13" s="1737">
        <f t="shared" si="0"/>
        <v>549738</v>
      </c>
      <c r="F13" s="1737">
        <f t="shared" si="0"/>
        <v>69449</v>
      </c>
      <c r="G13" s="1737">
        <f t="shared" si="0"/>
        <v>599471</v>
      </c>
      <c r="H13" s="1737">
        <f t="shared" si="0"/>
        <v>100309</v>
      </c>
      <c r="I13" s="1737">
        <f t="shared" si="0"/>
        <v>162631</v>
      </c>
      <c r="J13" s="1737">
        <f t="shared" si="0"/>
        <v>262083</v>
      </c>
      <c r="K13" s="1737">
        <f t="shared" si="0"/>
        <v>0</v>
      </c>
      <c r="L13" s="1737">
        <f t="shared" si="0"/>
        <v>212358</v>
      </c>
      <c r="M13" s="468"/>
      <c r="N13" s="469"/>
    </row>
    <row r="14" spans="1:14" ht="18" customHeight="1" thickTop="1" x14ac:dyDescent="0.2">
      <c r="A14" s="2121" t="s">
        <v>147</v>
      </c>
      <c r="B14" s="212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1227227</v>
      </c>
      <c r="N16" s="484"/>
    </row>
    <row r="17" spans="1:14" s="485" customFormat="1" ht="12.75" customHeight="1" x14ac:dyDescent="0.2">
      <c r="A17" s="482" t="s">
        <v>1403</v>
      </c>
      <c r="B17" s="483">
        <v>230</v>
      </c>
      <c r="C17" s="477"/>
      <c r="D17" s="477"/>
      <c r="E17" s="477"/>
      <c r="F17" s="477"/>
      <c r="G17" s="477"/>
      <c r="H17" s="477"/>
      <c r="I17" s="477"/>
      <c r="J17" s="477"/>
      <c r="K17" s="477"/>
      <c r="L17" s="477"/>
      <c r="M17" s="467">
        <v>24852091</v>
      </c>
      <c r="N17" s="484"/>
    </row>
    <row r="18" spans="1:14" s="485" customFormat="1" ht="12.75" customHeight="1" x14ac:dyDescent="0.2">
      <c r="A18" s="482" t="s">
        <v>1404</v>
      </c>
      <c r="B18" s="483">
        <v>240</v>
      </c>
      <c r="C18" s="477"/>
      <c r="D18" s="477"/>
      <c r="E18" s="477"/>
      <c r="F18" s="477"/>
      <c r="G18" s="477"/>
      <c r="H18" s="477"/>
      <c r="I18" s="477"/>
      <c r="J18" s="477"/>
      <c r="K18" s="477"/>
      <c r="L18" s="477"/>
      <c r="M18" s="467">
        <v>5941462</v>
      </c>
      <c r="N18" s="484"/>
    </row>
    <row r="19" spans="1:14" s="485" customFormat="1" ht="12.75" customHeight="1" x14ac:dyDescent="0.2">
      <c r="A19" s="482" t="s">
        <v>1405</v>
      </c>
      <c r="B19" s="483">
        <v>250</v>
      </c>
      <c r="C19" s="477"/>
      <c r="D19" s="477"/>
      <c r="E19" s="477"/>
      <c r="F19" s="477"/>
      <c r="G19" s="477"/>
      <c r="H19" s="477"/>
      <c r="I19" s="477"/>
      <c r="J19" s="477"/>
      <c r="K19" s="477"/>
      <c r="L19" s="477"/>
      <c r="M19" s="467">
        <v>6375653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549738</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2219362</v>
      </c>
    </row>
    <row r="23" spans="1:14" ht="13.5" customHeight="1" thickBot="1" x14ac:dyDescent="0.25">
      <c r="A23" s="1736" t="s">
        <v>643</v>
      </c>
      <c r="B23" s="1741"/>
      <c r="C23" s="468"/>
      <c r="D23" s="468"/>
      <c r="E23" s="468"/>
      <c r="F23" s="468"/>
      <c r="G23" s="468"/>
      <c r="H23" s="468"/>
      <c r="I23" s="468"/>
      <c r="J23" s="468"/>
      <c r="K23" s="468"/>
      <c r="L23" s="468"/>
      <c r="M23" s="1688">
        <f>SUM(M15:M22)</f>
        <v>38396433</v>
      </c>
      <c r="N23" s="1688">
        <f>SUM(N21:N22)</f>
        <v>2769100</v>
      </c>
    </row>
    <row r="24" spans="1:14" ht="18" customHeight="1" thickTop="1" x14ac:dyDescent="0.2">
      <c r="A24" s="2123" t="s">
        <v>598</v>
      </c>
      <c r="B24" s="2124"/>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986</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212358</v>
      </c>
      <c r="M33" s="468"/>
      <c r="N33" s="469"/>
    </row>
    <row r="34" spans="1:14" ht="13.5" customHeight="1" thickBot="1" x14ac:dyDescent="0.25">
      <c r="A34" s="1738" t="s">
        <v>654</v>
      </c>
      <c r="B34" s="1739"/>
      <c r="C34" s="1740">
        <f>SUM(C25:C33)</f>
        <v>986</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212358</v>
      </c>
      <c r="M34" s="468"/>
      <c r="N34" s="480"/>
    </row>
    <row r="35" spans="1:14" ht="18" customHeight="1" thickTop="1" x14ac:dyDescent="0.2">
      <c r="A35" s="2125" t="s">
        <v>529</v>
      </c>
      <c r="B35" s="212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2769100</v>
      </c>
    </row>
    <row r="37" spans="1:14" ht="13.5" thickBot="1" x14ac:dyDescent="0.25">
      <c r="A37" s="1736" t="s">
        <v>653</v>
      </c>
      <c r="B37" s="1741"/>
      <c r="C37" s="477"/>
      <c r="D37" s="477"/>
      <c r="E37" s="477"/>
      <c r="F37" s="477"/>
      <c r="G37" s="477"/>
      <c r="H37" s="477"/>
      <c r="I37" s="477"/>
      <c r="J37" s="477"/>
      <c r="K37" s="477"/>
      <c r="L37" s="480"/>
      <c r="M37" s="468"/>
      <c r="N37" s="1688">
        <f>SUM(N36:N36)</f>
        <v>2769100</v>
      </c>
    </row>
    <row r="38" spans="1:14" s="329" customFormat="1" ht="13.5" customHeight="1" thickTop="1" x14ac:dyDescent="0.2">
      <c r="A38" s="496" t="s">
        <v>420</v>
      </c>
      <c r="B38" s="483">
        <v>714</v>
      </c>
      <c r="C38" s="466"/>
      <c r="D38" s="466"/>
      <c r="E38" s="466">
        <v>549738</v>
      </c>
      <c r="F38" s="466"/>
      <c r="G38" s="466">
        <v>599471</v>
      </c>
      <c r="H38" s="466"/>
      <c r="I38" s="466"/>
      <c r="J38" s="467">
        <v>262083</v>
      </c>
      <c r="K38" s="466"/>
      <c r="L38" s="481"/>
      <c r="M38" s="497"/>
      <c r="N38" s="497"/>
    </row>
    <row r="39" spans="1:14" s="329" customFormat="1" ht="13.5" customHeight="1" x14ac:dyDescent="0.2">
      <c r="A39" s="496" t="s">
        <v>342</v>
      </c>
      <c r="B39" s="483">
        <v>730</v>
      </c>
      <c r="C39" s="466">
        <v>5889878</v>
      </c>
      <c r="D39" s="466">
        <v>154411</v>
      </c>
      <c r="E39" s="466"/>
      <c r="F39" s="466">
        <v>69449</v>
      </c>
      <c r="G39" s="466"/>
      <c r="H39" s="466">
        <v>100309</v>
      </c>
      <c r="I39" s="466">
        <v>162631</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38396433</v>
      </c>
      <c r="N40" s="497"/>
    </row>
    <row r="41" spans="1:14" ht="13.5" customHeight="1" thickBot="1" x14ac:dyDescent="0.25">
      <c r="A41" s="1736" t="s">
        <v>655</v>
      </c>
      <c r="B41" s="1706"/>
      <c r="C41" s="1688">
        <f>(SUM(C34,C37,C38,C39))</f>
        <v>5890864</v>
      </c>
      <c r="D41" s="1688">
        <f t="shared" ref="D41:L41" si="2">SUM(D34,D37,D38:D39)</f>
        <v>154411</v>
      </c>
      <c r="E41" s="1688">
        <f t="shared" si="2"/>
        <v>549738</v>
      </c>
      <c r="F41" s="1688">
        <f t="shared" si="2"/>
        <v>69449</v>
      </c>
      <c r="G41" s="1688">
        <f t="shared" si="2"/>
        <v>599471</v>
      </c>
      <c r="H41" s="1688">
        <f t="shared" si="2"/>
        <v>100309</v>
      </c>
      <c r="I41" s="1688">
        <f t="shared" si="2"/>
        <v>162631</v>
      </c>
      <c r="J41" s="1688">
        <f t="shared" si="2"/>
        <v>262083</v>
      </c>
      <c r="K41" s="1688">
        <f t="shared" si="2"/>
        <v>0</v>
      </c>
      <c r="L41" s="1688">
        <f t="shared" si="2"/>
        <v>212358</v>
      </c>
      <c r="M41" s="1688">
        <f>SUM(M40)</f>
        <v>38396433</v>
      </c>
      <c r="N41" s="1688">
        <f>SUM(N37)</f>
        <v>2769100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orizontalCentered="1" headings="1" gridLinesSet="0"/>
  <pageMargins left="0.3" right="0.15" top="1.1100000000000001" bottom="0.5" header="0.53" footer="0.35"/>
  <pageSetup scale="70"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&amp;F&amp;CSee Accompanyig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4" activePane="bottomLeft" state="frozen"/>
      <selection pane="bottomLeft" activeCell="C17" sqref="C1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7" t="s">
        <v>1175</v>
      </c>
      <c r="B3" s="2148"/>
      <c r="C3" s="1573"/>
      <c r="D3" s="1574"/>
      <c r="E3" s="1574"/>
      <c r="F3" s="1574"/>
      <c r="G3" s="1574"/>
      <c r="H3" s="1574"/>
      <c r="I3" s="1574"/>
      <c r="J3" s="1574"/>
      <c r="K3" s="1575"/>
      <c r="L3" s="506"/>
    </row>
    <row r="4" spans="1:13" ht="15.75" customHeight="1" x14ac:dyDescent="0.2">
      <c r="A4" s="1928" t="s">
        <v>1499</v>
      </c>
      <c r="B4" s="1929">
        <v>1000</v>
      </c>
      <c r="C4" s="1742">
        <f>'Revenues 9-14'!C109</f>
        <v>4956794</v>
      </c>
      <c r="D4" s="1742">
        <f>'Revenues 9-14'!D109</f>
        <v>960934</v>
      </c>
      <c r="E4" s="1742">
        <f>'Revenues 9-14'!E109</f>
        <v>709908</v>
      </c>
      <c r="F4" s="1742">
        <f>'Revenues 9-14'!F109</f>
        <v>278560</v>
      </c>
      <c r="G4" s="1742">
        <f>'Revenues 9-14'!G109</f>
        <v>572807</v>
      </c>
      <c r="H4" s="1742">
        <f>'Revenues 9-14'!H109</f>
        <v>625</v>
      </c>
      <c r="I4" s="1742">
        <f>'Revenues 9-14'!I109</f>
        <v>67742</v>
      </c>
      <c r="J4" s="1742">
        <f>'Revenues 9-14'!J109</f>
        <v>478131</v>
      </c>
      <c r="K4" s="1742">
        <f>'Revenues 9-14'!K109</f>
        <v>0</v>
      </c>
      <c r="L4" s="347"/>
    </row>
    <row r="5" spans="1:13" ht="15.75" customHeight="1" x14ac:dyDescent="0.2">
      <c r="A5" s="1576" t="s">
        <v>1500</v>
      </c>
      <c r="B5" s="1577">
        <v>2000</v>
      </c>
      <c r="C5" s="1743">
        <f>'Revenues 9-14'!C114</f>
        <v>1055</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9617054</v>
      </c>
      <c r="D6" s="1743">
        <f>'Revenues 9-14'!D170</f>
        <v>1438950</v>
      </c>
      <c r="E6" s="1743">
        <f>'Revenues 9-14'!E170</f>
        <v>49964</v>
      </c>
      <c r="F6" s="1743">
        <f>'Revenues 9-14'!F170</f>
        <v>1304753</v>
      </c>
      <c r="G6" s="1743">
        <f>'Revenues 9-14'!G170</f>
        <v>0</v>
      </c>
      <c r="H6" s="1743">
        <f>'Revenues 9-14'!H170</f>
        <v>99636</v>
      </c>
      <c r="I6" s="1743">
        <f>'Revenues 9-14'!I170</f>
        <v>0</v>
      </c>
      <c r="J6" s="1743">
        <f>'Revenues 9-14'!J170</f>
        <v>0</v>
      </c>
      <c r="K6" s="1743">
        <f>'Revenues 9-14'!K170</f>
        <v>0</v>
      </c>
      <c r="L6" s="347"/>
      <c r="M6" s="513"/>
    </row>
    <row r="7" spans="1:13" ht="15.75" customHeight="1" x14ac:dyDescent="0.2">
      <c r="A7" s="1576" t="s">
        <v>1502</v>
      </c>
      <c r="B7" s="1578">
        <v>4000</v>
      </c>
      <c r="C7" s="1743">
        <f>'Revenues 9-14'!C267</f>
        <v>2652974</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17227877</v>
      </c>
      <c r="D8" s="1688">
        <f t="shared" ref="D8:K8" si="0">SUM(D4:D7)</f>
        <v>2399884</v>
      </c>
      <c r="E8" s="1688">
        <f t="shared" si="0"/>
        <v>759872</v>
      </c>
      <c r="F8" s="1688">
        <f t="shared" si="0"/>
        <v>1583313</v>
      </c>
      <c r="G8" s="1688">
        <f t="shared" si="0"/>
        <v>572807</v>
      </c>
      <c r="H8" s="1688">
        <f t="shared" si="0"/>
        <v>100261</v>
      </c>
      <c r="I8" s="1688">
        <f t="shared" si="0"/>
        <v>67742</v>
      </c>
      <c r="J8" s="1688">
        <f t="shared" si="0"/>
        <v>478131</v>
      </c>
      <c r="K8" s="1688">
        <f t="shared" si="0"/>
        <v>0</v>
      </c>
      <c r="L8" s="347"/>
    </row>
    <row r="9" spans="1:13" ht="15.75" thickTop="1" x14ac:dyDescent="0.2">
      <c r="A9" s="514" t="s">
        <v>1653</v>
      </c>
      <c r="B9" s="515">
        <v>3998</v>
      </c>
      <c r="C9" s="481">
        <v>6633450</v>
      </c>
      <c r="D9" s="516"/>
      <c r="E9" s="481"/>
      <c r="F9" s="481"/>
      <c r="G9" s="517"/>
      <c r="H9" s="481"/>
      <c r="I9" s="509" t="s">
        <v>1169</v>
      </c>
      <c r="J9" s="478"/>
      <c r="K9" s="481"/>
      <c r="L9" s="347"/>
    </row>
    <row r="10" spans="1:13" s="519" customFormat="1" ht="13.5" thickBot="1" x14ac:dyDescent="0.25">
      <c r="A10" s="1736" t="s">
        <v>1173</v>
      </c>
      <c r="B10" s="1709"/>
      <c r="C10" s="1688">
        <f>SUM(C8:C9)</f>
        <v>23861327</v>
      </c>
      <c r="D10" s="1688">
        <f t="shared" ref="D10:K10" si="1">SUM(D8:D9)</f>
        <v>2399884</v>
      </c>
      <c r="E10" s="1688">
        <f t="shared" si="1"/>
        <v>759872</v>
      </c>
      <c r="F10" s="1688">
        <f t="shared" si="1"/>
        <v>1583313</v>
      </c>
      <c r="G10" s="1688">
        <f t="shared" si="1"/>
        <v>572807</v>
      </c>
      <c r="H10" s="1688">
        <f t="shared" si="1"/>
        <v>100261</v>
      </c>
      <c r="I10" s="1688">
        <f t="shared" si="1"/>
        <v>67742</v>
      </c>
      <c r="J10" s="1688">
        <f t="shared" si="1"/>
        <v>478131</v>
      </c>
      <c r="K10" s="1688">
        <f t="shared" si="1"/>
        <v>0</v>
      </c>
      <c r="L10" s="518"/>
    </row>
    <row r="11" spans="1:13" s="519" customFormat="1" ht="16.7" customHeight="1" thickTop="1" x14ac:dyDescent="0.2">
      <c r="A11" s="2121" t="s">
        <v>1176</v>
      </c>
      <c r="B11" s="2122"/>
      <c r="C11" s="1570"/>
      <c r="D11" s="1571"/>
      <c r="E11" s="1571"/>
      <c r="F11" s="1571"/>
      <c r="G11" s="1571"/>
      <c r="H11" s="1571"/>
      <c r="I11" s="1571"/>
      <c r="J11" s="1571"/>
      <c r="K11" s="1572"/>
      <c r="L11" s="518"/>
    </row>
    <row r="12" spans="1:13" ht="15.75" customHeight="1" x14ac:dyDescent="0.2">
      <c r="A12" s="1576" t="s">
        <v>456</v>
      </c>
      <c r="B12" s="1578">
        <v>1000</v>
      </c>
      <c r="C12" s="1742">
        <f>'Expenditures 15-22'!K33</f>
        <v>11630716</v>
      </c>
      <c r="D12" s="520" t="s">
        <v>1169</v>
      </c>
      <c r="E12" s="468" t="s">
        <v>1169</v>
      </c>
      <c r="F12" s="468" t="s">
        <v>1169</v>
      </c>
      <c r="G12" s="1742">
        <f>'Expenditures 15-22'!K229</f>
        <v>279574</v>
      </c>
      <c r="H12" s="521"/>
      <c r="I12" s="468" t="s">
        <v>1169</v>
      </c>
      <c r="J12" s="468" t="s">
        <v>1169</v>
      </c>
      <c r="K12" s="521" t="s">
        <v>1169</v>
      </c>
      <c r="L12" s="347"/>
    </row>
    <row r="13" spans="1:13" ht="15.75" customHeight="1" x14ac:dyDescent="0.2">
      <c r="A13" s="1576" t="s">
        <v>457</v>
      </c>
      <c r="B13" s="1578">
        <v>2000</v>
      </c>
      <c r="C13" s="1743">
        <f>'Expenditures 15-22'!K74</f>
        <v>4287887</v>
      </c>
      <c r="D13" s="1743">
        <f>'Expenditures 15-22'!K129</f>
        <v>2245473</v>
      </c>
      <c r="E13" s="469" t="s">
        <v>1169</v>
      </c>
      <c r="F13" s="1743">
        <f>'Expenditures 15-22'!K184</f>
        <v>1513894</v>
      </c>
      <c r="G13" s="1743">
        <f>'Expenditures 15-22'!K279</f>
        <v>316765</v>
      </c>
      <c r="H13" s="1743">
        <f>'Expenditures 15-22'!K303</f>
        <v>0</v>
      </c>
      <c r="I13" s="468" t="s">
        <v>1169</v>
      </c>
      <c r="J13" s="1743">
        <f>'Expenditures 15-22'!K330</f>
        <v>379651</v>
      </c>
      <c r="K13" s="1747">
        <f>'Expenditures 15-22'!K352</f>
        <v>0</v>
      </c>
      <c r="L13" s="347"/>
    </row>
    <row r="14" spans="1:13" ht="15.75" customHeight="1" x14ac:dyDescent="0.2">
      <c r="A14" s="1576" t="s">
        <v>449</v>
      </c>
      <c r="B14" s="1578">
        <v>3000</v>
      </c>
      <c r="C14" s="1743">
        <f>'Expenditures 15-22'!K75</f>
        <v>30650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172591</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701424</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16121844</v>
      </c>
      <c r="D17" s="1688">
        <f t="shared" si="2"/>
        <v>2245473</v>
      </c>
      <c r="E17" s="1688">
        <f t="shared" si="2"/>
        <v>701424</v>
      </c>
      <c r="F17" s="1688">
        <f t="shared" si="2"/>
        <v>1513894</v>
      </c>
      <c r="G17" s="1688">
        <f t="shared" si="2"/>
        <v>596339</v>
      </c>
      <c r="H17" s="1688">
        <f t="shared" si="2"/>
        <v>0</v>
      </c>
      <c r="I17" s="468"/>
      <c r="J17" s="1688">
        <f>SUM(J12:J16)</f>
        <v>379651</v>
      </c>
      <c r="K17" s="1688">
        <f>SUM(K12:K16)</f>
        <v>0</v>
      </c>
      <c r="L17" s="347"/>
    </row>
    <row r="18" spans="1:12" ht="15" customHeight="1" thickTop="1" x14ac:dyDescent="0.2">
      <c r="A18" s="1744" t="s">
        <v>1654</v>
      </c>
      <c r="B18" s="1745">
        <v>4180</v>
      </c>
      <c r="C18" s="1742">
        <f t="shared" ref="C18:H18" si="3">C9</f>
        <v>6633450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22755294</v>
      </c>
      <c r="D19" s="1688">
        <f t="shared" si="4"/>
        <v>2245473</v>
      </c>
      <c r="E19" s="1688">
        <f t="shared" si="4"/>
        <v>701424</v>
      </c>
      <c r="F19" s="1688">
        <f t="shared" si="4"/>
        <v>1513894</v>
      </c>
      <c r="G19" s="1688">
        <f t="shared" si="4"/>
        <v>596339</v>
      </c>
      <c r="H19" s="1688">
        <f t="shared" si="4"/>
        <v>0</v>
      </c>
      <c r="I19" s="468"/>
      <c r="J19" s="1688">
        <f>SUM(J17:J18)</f>
        <v>379651</v>
      </c>
      <c r="K19" s="1688">
        <f>SUM(K17:K18)</f>
        <v>0</v>
      </c>
      <c r="L19" s="347"/>
    </row>
    <row r="20" spans="1:12" ht="16.5" thickTop="1" thickBot="1" x14ac:dyDescent="0.25">
      <c r="A20" s="2137" t="s">
        <v>1655</v>
      </c>
      <c r="B20" s="2138"/>
      <c r="C20" s="1746">
        <f>C8-C17</f>
        <v>1106033</v>
      </c>
      <c r="D20" s="1746">
        <f t="shared" ref="D20:K20" si="5">D8-D17</f>
        <v>154411</v>
      </c>
      <c r="E20" s="1746">
        <f t="shared" si="5"/>
        <v>58448</v>
      </c>
      <c r="F20" s="1746">
        <f t="shared" si="5"/>
        <v>69419</v>
      </c>
      <c r="G20" s="1746">
        <f t="shared" si="5"/>
        <v>-23532</v>
      </c>
      <c r="H20" s="1746">
        <f t="shared" si="5"/>
        <v>100261</v>
      </c>
      <c r="I20" s="1746">
        <f t="shared" si="5"/>
        <v>67742</v>
      </c>
      <c r="J20" s="1746">
        <f t="shared" si="5"/>
        <v>98480</v>
      </c>
      <c r="K20" s="1746">
        <f t="shared" si="5"/>
        <v>0</v>
      </c>
      <c r="L20" s="347"/>
    </row>
    <row r="21" spans="1:12" ht="16.7" customHeight="1" thickTop="1" x14ac:dyDescent="0.2">
      <c r="A21" s="2149" t="s">
        <v>595</v>
      </c>
      <c r="B21" s="2150"/>
      <c r="C21" s="1570"/>
      <c r="D21" s="1571"/>
      <c r="E21" s="1571"/>
      <c r="F21" s="1571"/>
      <c r="G21" s="1571"/>
      <c r="H21" s="1571"/>
      <c r="I21" s="1571"/>
      <c r="J21" s="1571"/>
      <c r="K21" s="1572"/>
      <c r="L21" s="524"/>
    </row>
    <row r="22" spans="1:12" ht="15.75" customHeight="1" collapsed="1" x14ac:dyDescent="0.2">
      <c r="A22" s="2145" t="s">
        <v>596</v>
      </c>
      <c r="B22" s="2146"/>
      <c r="C22" s="477"/>
      <c r="D22" s="477"/>
      <c r="E22" s="477"/>
      <c r="F22" s="477"/>
      <c r="G22" s="477"/>
      <c r="H22" s="477"/>
      <c r="I22" s="477"/>
      <c r="J22" s="477"/>
      <c r="K22" s="477"/>
      <c r="L22" s="347"/>
    </row>
    <row r="23" spans="1:12" s="485" customFormat="1" ht="15.75" customHeight="1" x14ac:dyDescent="0.2">
      <c r="A23" s="2141" t="s">
        <v>293</v>
      </c>
      <c r="B23" s="2142"/>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43" t="s">
        <v>981</v>
      </c>
      <c r="B32" s="214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51" t="s">
        <v>374</v>
      </c>
      <c r="B44" s="2152"/>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45" t="s">
        <v>108</v>
      </c>
      <c r="B45" s="2146"/>
      <c r="C45" s="528"/>
      <c r="D45" s="528"/>
      <c r="E45" s="528"/>
      <c r="F45" s="528"/>
      <c r="G45" s="528"/>
      <c r="H45" s="528"/>
      <c r="I45" s="528"/>
      <c r="J45" s="528"/>
      <c r="K45" s="528"/>
      <c r="L45" s="347"/>
    </row>
    <row r="46" spans="1:12" s="485" customFormat="1" ht="15.75" customHeight="1" x14ac:dyDescent="0.2">
      <c r="A46" s="2153" t="s">
        <v>109</v>
      </c>
      <c r="B46" s="215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7" t="s">
        <v>440</v>
      </c>
      <c r="B76" s="2128"/>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9" t="s">
        <v>1177</v>
      </c>
      <c r="B77" s="2130"/>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33" t="s">
        <v>597</v>
      </c>
      <c r="B78" s="2134"/>
      <c r="C78" s="1702">
        <f t="shared" ref="C78:K78" si="9">C20+C77</f>
        <v>1106033</v>
      </c>
      <c r="D78" s="1702">
        <f t="shared" si="9"/>
        <v>154411</v>
      </c>
      <c r="E78" s="1702">
        <f t="shared" si="9"/>
        <v>58448</v>
      </c>
      <c r="F78" s="1702">
        <f t="shared" si="9"/>
        <v>69419</v>
      </c>
      <c r="G78" s="1702">
        <f t="shared" si="9"/>
        <v>-23532</v>
      </c>
      <c r="H78" s="1702">
        <f t="shared" si="9"/>
        <v>100261</v>
      </c>
      <c r="I78" s="1702">
        <f t="shared" si="9"/>
        <v>67742</v>
      </c>
      <c r="J78" s="1702">
        <f t="shared" si="9"/>
        <v>98480</v>
      </c>
      <c r="K78" s="1702">
        <f t="shared" si="9"/>
        <v>0</v>
      </c>
      <c r="L78" s="533"/>
    </row>
    <row r="79" spans="1:12" ht="13.5" thickTop="1" x14ac:dyDescent="0.2">
      <c r="A79" s="1494" t="s">
        <v>1945</v>
      </c>
      <c r="B79" s="534"/>
      <c r="C79" s="478">
        <v>4783845</v>
      </c>
      <c r="D79" s="535">
        <v>0</v>
      </c>
      <c r="E79" s="535">
        <v>491290</v>
      </c>
      <c r="F79" s="535">
        <v>30</v>
      </c>
      <c r="G79" s="535">
        <v>623003</v>
      </c>
      <c r="H79" s="535">
        <v>48</v>
      </c>
      <c r="I79" s="535">
        <v>94889</v>
      </c>
      <c r="J79" s="535">
        <v>163603</v>
      </c>
      <c r="K79" s="535">
        <v>0</v>
      </c>
      <c r="L79" s="347"/>
    </row>
    <row r="80" spans="1:12" x14ac:dyDescent="0.2">
      <c r="A80" s="2139" t="s">
        <v>1792</v>
      </c>
      <c r="B80" s="2140"/>
      <c r="C80" s="467"/>
      <c r="D80" s="467"/>
      <c r="E80" s="467"/>
      <c r="F80" s="467"/>
      <c r="G80" s="467"/>
      <c r="H80" s="467"/>
      <c r="I80" s="467"/>
      <c r="J80" s="467"/>
      <c r="K80" s="467"/>
      <c r="L80" s="347"/>
    </row>
    <row r="81" spans="1:12" ht="13.5" thickBot="1" x14ac:dyDescent="0.25">
      <c r="A81" s="2131" t="s">
        <v>1946</v>
      </c>
      <c r="B81" s="2132"/>
      <c r="C81" s="1688">
        <f>(SUM(C78:C80))</f>
        <v>5889878</v>
      </c>
      <c r="D81" s="1688">
        <f>SUM(D78:D80)</f>
        <v>154411</v>
      </c>
      <c r="E81" s="1688">
        <f t="shared" ref="E81:K81" si="10">SUM(E78:E80)</f>
        <v>549738</v>
      </c>
      <c r="F81" s="1688">
        <f t="shared" si="10"/>
        <v>69449</v>
      </c>
      <c r="G81" s="1688">
        <f t="shared" si="10"/>
        <v>599471</v>
      </c>
      <c r="H81" s="1688">
        <f t="shared" si="10"/>
        <v>100309</v>
      </c>
      <c r="I81" s="1688">
        <f t="shared" si="10"/>
        <v>162631</v>
      </c>
      <c r="J81" s="1688">
        <f t="shared" si="10"/>
        <v>262083</v>
      </c>
      <c r="K81" s="1688">
        <f t="shared" si="10"/>
        <v>0</v>
      </c>
      <c r="L81" s="347"/>
    </row>
    <row r="82" spans="1:12" ht="0.75" customHeight="1" thickTop="1" thickBot="1" x14ac:dyDescent="0.25">
      <c r="A82" s="536" t="s">
        <v>343</v>
      </c>
      <c r="B82" s="537"/>
      <c r="C82" s="538">
        <f>(C81-C79)</f>
        <v>1106033</v>
      </c>
      <c r="D82" s="538">
        <f t="shared" ref="D82:K82" si="11">(D81-D79)</f>
        <v>154411</v>
      </c>
      <c r="E82" s="538">
        <f t="shared" si="11"/>
        <v>58448</v>
      </c>
      <c r="F82" s="538">
        <f t="shared" si="11"/>
        <v>69419</v>
      </c>
      <c r="G82" s="538">
        <f t="shared" si="11"/>
        <v>-23532</v>
      </c>
      <c r="H82" s="538">
        <f t="shared" si="11"/>
        <v>100261</v>
      </c>
      <c r="I82" s="538">
        <f t="shared" si="11"/>
        <v>67742</v>
      </c>
      <c r="J82" s="538">
        <f t="shared" si="11"/>
        <v>98480</v>
      </c>
      <c r="K82" s="538">
        <f t="shared" si="11"/>
        <v>0</v>
      </c>
    </row>
    <row r="83" spans="1:12" ht="14.25" hidden="1" thickTop="1" thickBot="1" x14ac:dyDescent="0.25">
      <c r="A83" s="539" t="s">
        <v>344</v>
      </c>
      <c r="B83" s="464"/>
      <c r="C83" s="540">
        <f>C82/C81</f>
        <v>0.18778538367008621</v>
      </c>
      <c r="D83" s="540">
        <f t="shared" ref="D83:K83" si="12">D82/D81</f>
        <v>1</v>
      </c>
      <c r="E83" s="540">
        <f t="shared" si="12"/>
        <v>0.10631973776599034</v>
      </c>
      <c r="F83" s="540">
        <f t="shared" si="12"/>
        <v>0.99956802833734104</v>
      </c>
      <c r="G83" s="540">
        <f t="shared" si="12"/>
        <v>-3.9254609480692142E-2</v>
      </c>
      <c r="H83" s="540">
        <f t="shared" si="12"/>
        <v>0.99952147863103014</v>
      </c>
      <c r="I83" s="540">
        <f t="shared" si="12"/>
        <v>0.4165380524008338</v>
      </c>
      <c r="J83" s="540">
        <f t="shared" si="12"/>
        <v>0.37575882449453035</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orizontalCentered="1" headings="1"/>
  <pageMargins left="0.21" right="0" top="1.05" bottom="0.5" header="0.44" footer="0.4"/>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97" activePane="bottomLeft" state="frozen"/>
      <selection pane="bottomLeft" activeCell="J99" sqref="J9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5" t="s">
        <v>1799</v>
      </c>
      <c r="B1" s="452"/>
      <c r="C1" s="453" t="s">
        <v>425</v>
      </c>
      <c r="D1" s="453" t="s">
        <v>426</v>
      </c>
      <c r="E1" s="453" t="s">
        <v>427</v>
      </c>
      <c r="F1" s="453" t="s">
        <v>428</v>
      </c>
      <c r="G1" s="453" t="s">
        <v>429</v>
      </c>
      <c r="H1" s="453" t="s">
        <v>430</v>
      </c>
      <c r="I1" s="453" t="s">
        <v>431</v>
      </c>
      <c r="J1" s="453" t="s">
        <v>432</v>
      </c>
      <c r="K1" s="453" t="s">
        <v>756</v>
      </c>
    </row>
    <row r="2" spans="1:12" ht="36" x14ac:dyDescent="0.2">
      <c r="A2" s="213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3830436</v>
      </c>
      <c r="D5" s="481">
        <v>728836</v>
      </c>
      <c r="E5" s="466">
        <v>709089</v>
      </c>
      <c r="F5" s="548">
        <v>277085</v>
      </c>
      <c r="G5" s="466">
        <v>227751</v>
      </c>
      <c r="H5" s="466"/>
      <c r="I5" s="466">
        <v>67599</v>
      </c>
      <c r="J5" s="467">
        <v>476411</v>
      </c>
      <c r="K5" s="466"/>
    </row>
    <row r="6" spans="1:12" ht="15" x14ac:dyDescent="0.2">
      <c r="A6" s="463" t="s">
        <v>1662</v>
      </c>
      <c r="B6" s="470">
        <v>1130</v>
      </c>
      <c r="C6" s="466"/>
      <c r="D6" s="466">
        <v>34737</v>
      </c>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v>227751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3830436</v>
      </c>
      <c r="D12" s="1707">
        <f t="shared" si="0"/>
        <v>763573</v>
      </c>
      <c r="E12" s="1707">
        <f t="shared" si="0"/>
        <v>709089</v>
      </c>
      <c r="F12" s="1707">
        <f t="shared" si="0"/>
        <v>277085</v>
      </c>
      <c r="G12" s="1707">
        <f t="shared" si="0"/>
        <v>455502</v>
      </c>
      <c r="H12" s="1707">
        <f t="shared" si="0"/>
        <v>0</v>
      </c>
      <c r="I12" s="1707">
        <f t="shared" si="0"/>
        <v>67599</v>
      </c>
      <c r="J12" s="1707">
        <f t="shared" si="0"/>
        <v>476411</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552108</v>
      </c>
      <c r="D16" s="466">
        <v>193320</v>
      </c>
      <c r="E16" s="466"/>
      <c r="F16" s="466"/>
      <c r="G16" s="466">
        <v>114235</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552108</v>
      </c>
      <c r="D18" s="1710">
        <f t="shared" ref="D18:K18" si="1">SUM(D14:D17)</f>
        <v>193320</v>
      </c>
      <c r="E18" s="1710">
        <f t="shared" si="1"/>
        <v>0</v>
      </c>
      <c r="F18" s="1710">
        <f t="shared" si="1"/>
        <v>0</v>
      </c>
      <c r="G18" s="1710">
        <f t="shared" si="1"/>
        <v>114235</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70685</v>
      </c>
      <c r="D65" s="466">
        <v>2518</v>
      </c>
      <c r="E65" s="466">
        <v>819</v>
      </c>
      <c r="F65" s="467">
        <v>402</v>
      </c>
      <c r="G65" s="466">
        <v>1659</v>
      </c>
      <c r="H65" s="466">
        <v>625</v>
      </c>
      <c r="I65" s="466">
        <v>143</v>
      </c>
      <c r="J65" s="467">
        <v>480</v>
      </c>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70685</v>
      </c>
      <c r="D67" s="1688">
        <f t="shared" ref="D67:K67" si="2">SUM(D65:D66)</f>
        <v>2518</v>
      </c>
      <c r="E67" s="1688">
        <f t="shared" si="2"/>
        <v>819</v>
      </c>
      <c r="F67" s="1688">
        <f t="shared" si="2"/>
        <v>402</v>
      </c>
      <c r="G67" s="1688">
        <f t="shared" si="2"/>
        <v>1659</v>
      </c>
      <c r="H67" s="1688">
        <f t="shared" si="2"/>
        <v>625</v>
      </c>
      <c r="I67" s="1688">
        <f t="shared" si="2"/>
        <v>143</v>
      </c>
      <c r="J67" s="1688">
        <f t="shared" si="2"/>
        <v>480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39648</v>
      </c>
      <c r="D69" s="468"/>
      <c r="E69" s="468"/>
      <c r="F69" s="468"/>
      <c r="G69" s="468"/>
      <c r="H69" s="468"/>
      <c r="I69" s="468"/>
      <c r="J69" s="468"/>
      <c r="K69" s="468"/>
    </row>
    <row r="70" spans="1:11" ht="12.75" customHeight="1" x14ac:dyDescent="0.2">
      <c r="A70" s="463" t="s">
        <v>997</v>
      </c>
      <c r="B70" s="470">
        <v>1612</v>
      </c>
      <c r="C70" s="551">
        <v>2254</v>
      </c>
      <c r="D70" s="468"/>
      <c r="E70" s="468"/>
      <c r="F70" s="468"/>
      <c r="G70" s="468"/>
      <c r="H70" s="468"/>
      <c r="I70" s="468"/>
      <c r="J70" s="468"/>
      <c r="K70" s="468"/>
    </row>
    <row r="71" spans="1:11" ht="12.75" customHeight="1" x14ac:dyDescent="0.2">
      <c r="A71" s="463" t="s">
        <v>273</v>
      </c>
      <c r="B71" s="470">
        <v>1613</v>
      </c>
      <c r="C71" s="551">
        <v>194036</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15745</v>
      </c>
      <c r="D73" s="468"/>
      <c r="E73" s="468"/>
      <c r="F73" s="468"/>
      <c r="G73" s="468"/>
      <c r="H73" s="468"/>
      <c r="I73" s="468"/>
      <c r="J73" s="468"/>
      <c r="K73" s="468"/>
    </row>
    <row r="74" spans="1:11" ht="12.75" customHeight="1" x14ac:dyDescent="0.2">
      <c r="A74" s="463" t="s">
        <v>25</v>
      </c>
      <c r="B74" s="470">
        <v>1690</v>
      </c>
      <c r="C74" s="551">
        <v>4046</v>
      </c>
      <c r="D74" s="468"/>
      <c r="E74" s="468"/>
      <c r="F74" s="468"/>
      <c r="G74" s="468"/>
      <c r="H74" s="468"/>
      <c r="I74" s="468"/>
      <c r="J74" s="468"/>
      <c r="K74" s="468"/>
    </row>
    <row r="75" spans="1:11" ht="12.75" customHeight="1" thickBot="1" x14ac:dyDescent="0.25">
      <c r="A75" s="1708" t="s">
        <v>548</v>
      </c>
      <c r="B75" s="1709"/>
      <c r="C75" s="1688">
        <f>SUM(C69:C74)</f>
        <v>255729</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39867</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39867</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20496</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20496</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167752</v>
      </c>
      <c r="D99" s="466"/>
      <c r="E99" s="466"/>
      <c r="F99" s="466"/>
      <c r="G99" s="466"/>
      <c r="H99" s="466"/>
      <c r="I99" s="468"/>
      <c r="J99" s="467">
        <v>1240</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19721</v>
      </c>
      <c r="D107" s="466">
        <v>1523</v>
      </c>
      <c r="E107" s="466"/>
      <c r="F107" s="466">
        <v>1073</v>
      </c>
      <c r="G107" s="466">
        <v>1411</v>
      </c>
      <c r="H107" s="466"/>
      <c r="I107" s="466"/>
      <c r="J107" s="467"/>
      <c r="K107" s="466"/>
    </row>
    <row r="108" spans="1:12" ht="12.75" customHeight="1" thickBot="1" x14ac:dyDescent="0.25">
      <c r="A108" s="1708" t="s">
        <v>487</v>
      </c>
      <c r="B108" s="1712"/>
      <c r="C108" s="1707">
        <f>SUM(C95:C107)</f>
        <v>187473</v>
      </c>
      <c r="D108" s="1707">
        <f t="shared" ref="D108:K108" si="3">SUM(D95:D107)</f>
        <v>1523</v>
      </c>
      <c r="E108" s="1707">
        <f t="shared" si="3"/>
        <v>0</v>
      </c>
      <c r="F108" s="1707">
        <f t="shared" si="3"/>
        <v>1073</v>
      </c>
      <c r="G108" s="1707">
        <f t="shared" si="3"/>
        <v>1411</v>
      </c>
      <c r="H108" s="1707">
        <f t="shared" si="3"/>
        <v>0</v>
      </c>
      <c r="I108" s="1707">
        <f t="shared" si="3"/>
        <v>0</v>
      </c>
      <c r="J108" s="1707">
        <f t="shared" si="3"/>
        <v>1240</v>
      </c>
      <c r="K108" s="1688">
        <f t="shared" si="3"/>
        <v>0</v>
      </c>
    </row>
    <row r="109" spans="1:12" ht="14.25" thickTop="1" thickBot="1" x14ac:dyDescent="0.25">
      <c r="A109" s="1713" t="s">
        <v>248</v>
      </c>
      <c r="B109" s="1714" t="s">
        <v>570</v>
      </c>
      <c r="C109" s="1715">
        <f t="shared" ref="C109:K109" si="4">SUM(C12,C18,C40,C63,C67,C75,C82,C93,C108,)</f>
        <v>4956794</v>
      </c>
      <c r="D109" s="1715">
        <f t="shared" si="4"/>
        <v>960934</v>
      </c>
      <c r="E109" s="1715">
        <f t="shared" si="4"/>
        <v>709908</v>
      </c>
      <c r="F109" s="1715">
        <f t="shared" si="4"/>
        <v>278560</v>
      </c>
      <c r="G109" s="1715">
        <f t="shared" si="4"/>
        <v>572807</v>
      </c>
      <c r="H109" s="1715">
        <f t="shared" si="4"/>
        <v>625</v>
      </c>
      <c r="I109" s="1715">
        <f t="shared" si="4"/>
        <v>67742</v>
      </c>
      <c r="J109" s="1715">
        <f t="shared" si="4"/>
        <v>478131</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1055</v>
      </c>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1055</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9003432</v>
      </c>
      <c r="D117" s="481">
        <v>1438950</v>
      </c>
      <c r="E117" s="466">
        <v>49964</v>
      </c>
      <c r="F117" s="481">
        <v>400000</v>
      </c>
      <c r="G117" s="481"/>
      <c r="H117" s="466">
        <v>99636</v>
      </c>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1932</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9003432</v>
      </c>
      <c r="D122" s="1707">
        <f t="shared" si="5"/>
        <v>1438950</v>
      </c>
      <c r="E122" s="1707">
        <f t="shared" si="5"/>
        <v>49964</v>
      </c>
      <c r="F122" s="1707">
        <f t="shared" si="5"/>
        <v>400000</v>
      </c>
      <c r="G122" s="1707">
        <f t="shared" si="5"/>
        <v>0</v>
      </c>
      <c r="H122" s="1707">
        <f t="shared" si="5"/>
        <v>99636</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64485</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64485</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33584</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33584</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16586</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25635</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602201</v>
      </c>
      <c r="G152" s="467"/>
      <c r="H152" s="468"/>
      <c r="I152" s="468"/>
      <c r="J152" s="468"/>
      <c r="K152" s="468"/>
    </row>
    <row r="153" spans="1:11" ht="12.75" customHeight="1" x14ac:dyDescent="0.2">
      <c r="A153" s="463" t="s">
        <v>1057</v>
      </c>
      <c r="B153" s="562">
        <v>3510</v>
      </c>
      <c r="C153" s="551"/>
      <c r="D153" s="466"/>
      <c r="E153" s="561"/>
      <c r="F153" s="466">
        <v>302552</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904753</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451477</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21855</v>
      </c>
      <c r="D168" s="580"/>
      <c r="E168" s="580"/>
      <c r="F168" s="580"/>
      <c r="G168" s="581"/>
      <c r="H168" s="582"/>
      <c r="I168" s="581"/>
      <c r="J168" s="581"/>
      <c r="K168" s="582"/>
    </row>
    <row r="169" spans="1:11" ht="12.75" customHeight="1" thickTop="1" thickBot="1" x14ac:dyDescent="0.25">
      <c r="A169" s="2155" t="s">
        <v>398</v>
      </c>
      <c r="B169" s="2156"/>
      <c r="C169" s="1722">
        <f t="shared" ref="C169:K169" si="6">SUM(C132,C141,C145,C146:C150,C155,C156:C167,C168)</f>
        <v>613622</v>
      </c>
      <c r="D169" s="1722">
        <f t="shared" si="6"/>
        <v>0</v>
      </c>
      <c r="E169" s="1722">
        <f t="shared" si="6"/>
        <v>0</v>
      </c>
      <c r="F169" s="1722">
        <f t="shared" si="6"/>
        <v>904753</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9617054</v>
      </c>
      <c r="D170" s="1715">
        <f t="shared" si="7"/>
        <v>1438950</v>
      </c>
      <c r="E170" s="1715">
        <f t="shared" si="7"/>
        <v>49964</v>
      </c>
      <c r="F170" s="1715">
        <f t="shared" si="7"/>
        <v>1304753</v>
      </c>
      <c r="G170" s="1715">
        <f t="shared" si="7"/>
        <v>0</v>
      </c>
      <c r="H170" s="1715">
        <f t="shared" si="7"/>
        <v>99636</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7" t="s">
        <v>1492</v>
      </c>
      <c r="B172" s="215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1" t="s">
        <v>1665</v>
      </c>
      <c r="B175" s="2162"/>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5" t="s">
        <v>1664</v>
      </c>
      <c r="B176" s="216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3" t="s">
        <v>785</v>
      </c>
      <c r="B181" s="2164"/>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9" t="s">
        <v>1800</v>
      </c>
      <c r="B182" s="216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37861</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37861</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516099</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196842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712941</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970863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970863</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41575</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484911</v>
      </c>
      <c r="D213" s="466"/>
      <c r="E213" s="468"/>
      <c r="F213" s="466"/>
      <c r="G213" s="466"/>
      <c r="H213" s="468"/>
      <c r="I213" s="468"/>
      <c r="J213" s="468"/>
      <c r="K213" s="468"/>
    </row>
    <row r="214" spans="1:11" ht="12.75" customHeight="1" x14ac:dyDescent="0.2">
      <c r="A214" s="463" t="s">
        <v>1054</v>
      </c>
      <c r="B214" s="470">
        <v>4625</v>
      </c>
      <c r="C214" s="551">
        <v>14759</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541245</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97441</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1933</v>
      </c>
      <c r="B261" s="470">
        <v>4981</v>
      </c>
      <c r="C261" s="575"/>
      <c r="D261" s="576"/>
      <c r="E261" s="468"/>
      <c r="F261" s="576"/>
      <c r="G261" s="576"/>
      <c r="H261" s="468"/>
      <c r="I261" s="468"/>
      <c r="J261" s="468"/>
      <c r="K261" s="468"/>
    </row>
    <row r="262" spans="1:11" ht="12.75" customHeight="1" thickTop="1" thickBot="1" x14ac:dyDescent="0.25">
      <c r="A262" s="1931" t="s">
        <v>1934</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32114</v>
      </c>
      <c r="D263" s="576"/>
      <c r="E263" s="468"/>
      <c r="F263" s="576"/>
      <c r="G263" s="576"/>
      <c r="H263" s="468"/>
      <c r="I263" s="468"/>
      <c r="J263" s="468"/>
      <c r="K263" s="468"/>
    </row>
    <row r="264" spans="1:11" ht="12.75" customHeight="1" thickTop="1" thickBot="1" x14ac:dyDescent="0.25">
      <c r="A264" s="463" t="s">
        <v>377</v>
      </c>
      <c r="B264" s="470">
        <v>4992</v>
      </c>
      <c r="C264" s="575">
        <v>260509</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2652974</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2652974</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17227877</v>
      </c>
      <c r="D268" s="1715">
        <f t="shared" si="12"/>
        <v>2399884</v>
      </c>
      <c r="E268" s="1715">
        <f t="shared" si="12"/>
        <v>759872</v>
      </c>
      <c r="F268" s="1715">
        <f t="shared" si="12"/>
        <v>1583313</v>
      </c>
      <c r="G268" s="1715">
        <f t="shared" si="12"/>
        <v>572807</v>
      </c>
      <c r="H268" s="1715">
        <f t="shared" si="12"/>
        <v>100261</v>
      </c>
      <c r="I268" s="1715">
        <f t="shared" si="12"/>
        <v>67742</v>
      </c>
      <c r="J268" s="1715">
        <f t="shared" si="12"/>
        <v>478131</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orizontalCentered="1" headings="1" gridLines="1"/>
  <pageMargins left="0.25" right="0.15" top="0.66" bottom="0.5" header="0.26" footer="0.4"/>
  <pageSetup scale="65"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Normal="100" workbookViewId="0">
      <pane ySplit="2" topLeftCell="A107" activePane="bottomLeft" state="frozen"/>
      <selection pane="bottomLeft" activeCell="K391" sqref="K39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5"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5" t="s">
        <v>297</v>
      </c>
      <c r="B3" s="217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5802998</v>
      </c>
      <c r="D5" s="466">
        <v>1359321</v>
      </c>
      <c r="E5" s="466">
        <v>8200</v>
      </c>
      <c r="F5" s="466">
        <v>44782</v>
      </c>
      <c r="G5" s="466">
        <v>12301</v>
      </c>
      <c r="H5" s="466">
        <v>3792</v>
      </c>
      <c r="I5" s="467"/>
      <c r="J5" s="467"/>
      <c r="K5" s="1671">
        <f>SUM(C5:J5)</f>
        <v>7231394</v>
      </c>
      <c r="L5" s="466">
        <v>7390412</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162384</v>
      </c>
      <c r="D7" s="467">
        <v>45638</v>
      </c>
      <c r="E7" s="467">
        <v>3100</v>
      </c>
      <c r="F7" s="467">
        <v>22949</v>
      </c>
      <c r="G7" s="467">
        <v>2288</v>
      </c>
      <c r="H7" s="467"/>
      <c r="I7" s="467"/>
      <c r="J7" s="467"/>
      <c r="K7" s="1671">
        <f t="shared" ref="K7:K32" si="0">SUM(C7:J7)</f>
        <v>236359</v>
      </c>
      <c r="L7" s="466">
        <v>248738</v>
      </c>
    </row>
    <row r="8" spans="1:14" x14ac:dyDescent="0.2">
      <c r="A8" s="1504" t="s">
        <v>164</v>
      </c>
      <c r="B8" s="614">
        <v>1200</v>
      </c>
      <c r="C8" s="466">
        <v>2101627</v>
      </c>
      <c r="D8" s="466">
        <v>498385</v>
      </c>
      <c r="E8" s="466">
        <v>19834</v>
      </c>
      <c r="F8" s="466">
        <v>9902</v>
      </c>
      <c r="G8" s="466"/>
      <c r="H8" s="466">
        <v>600</v>
      </c>
      <c r="I8" s="467"/>
      <c r="J8" s="467"/>
      <c r="K8" s="1671">
        <f t="shared" si="0"/>
        <v>2630348</v>
      </c>
      <c r="L8" s="466">
        <v>2875048</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393053</v>
      </c>
      <c r="D10" s="466">
        <v>90870</v>
      </c>
      <c r="E10" s="466">
        <v>4200</v>
      </c>
      <c r="F10" s="466">
        <v>188774</v>
      </c>
      <c r="G10" s="466">
        <v>9499</v>
      </c>
      <c r="H10" s="466"/>
      <c r="I10" s="467"/>
      <c r="J10" s="467"/>
      <c r="K10" s="1671">
        <f t="shared" si="0"/>
        <v>686396</v>
      </c>
      <c r="L10" s="466">
        <v>640216</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474786</v>
      </c>
      <c r="D13" s="466">
        <v>83441</v>
      </c>
      <c r="E13" s="466">
        <v>11533</v>
      </c>
      <c r="F13" s="466">
        <v>6841</v>
      </c>
      <c r="G13" s="466">
        <v>3753</v>
      </c>
      <c r="H13" s="466">
        <v>2104</v>
      </c>
      <c r="I13" s="467"/>
      <c r="J13" s="467"/>
      <c r="K13" s="1671">
        <f t="shared" si="0"/>
        <v>582458</v>
      </c>
      <c r="L13" s="466">
        <v>555675</v>
      </c>
    </row>
    <row r="14" spans="1:14" x14ac:dyDescent="0.2">
      <c r="A14" s="1504" t="s">
        <v>963</v>
      </c>
      <c r="B14" s="614">
        <v>1500</v>
      </c>
      <c r="C14" s="466">
        <v>170991</v>
      </c>
      <c r="D14" s="466">
        <v>13038</v>
      </c>
      <c r="E14" s="466">
        <v>51989</v>
      </c>
      <c r="F14" s="466">
        <v>19856</v>
      </c>
      <c r="G14" s="466"/>
      <c r="H14" s="466">
        <v>7887</v>
      </c>
      <c r="I14" s="467"/>
      <c r="J14" s="467"/>
      <c r="K14" s="1671">
        <f t="shared" si="0"/>
        <v>263761</v>
      </c>
      <c r="L14" s="466">
        <v>291582</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9105839</v>
      </c>
      <c r="D33" s="1670">
        <f t="shared" ref="D33:L33" si="1">SUM(D5:D32)</f>
        <v>2090693</v>
      </c>
      <c r="E33" s="1670">
        <f t="shared" si="1"/>
        <v>98856</v>
      </c>
      <c r="F33" s="1670">
        <f t="shared" si="1"/>
        <v>293104</v>
      </c>
      <c r="G33" s="1670">
        <f t="shared" si="1"/>
        <v>27841</v>
      </c>
      <c r="H33" s="1670">
        <f t="shared" si="1"/>
        <v>14383</v>
      </c>
      <c r="I33" s="1670">
        <f t="shared" si="1"/>
        <v>0</v>
      </c>
      <c r="J33" s="1670">
        <f t="shared" si="1"/>
        <v>0</v>
      </c>
      <c r="K33" s="1670">
        <f t="shared" si="1"/>
        <v>11630716</v>
      </c>
      <c r="L33" s="1670">
        <f t="shared" si="1"/>
        <v>12001671</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125313</v>
      </c>
      <c r="D36" s="481">
        <v>30590</v>
      </c>
      <c r="E36" s="481">
        <v>985</v>
      </c>
      <c r="F36" s="481"/>
      <c r="G36" s="481"/>
      <c r="H36" s="481"/>
      <c r="I36" s="467"/>
      <c r="J36" s="467"/>
      <c r="K36" s="1671">
        <f t="shared" ref="K36:K41" si="2">SUM(C36:J36)</f>
        <v>156888</v>
      </c>
      <c r="L36" s="466">
        <v>162365</v>
      </c>
    </row>
    <row r="37" spans="1:14" x14ac:dyDescent="0.2">
      <c r="A37" s="1504" t="s">
        <v>1090</v>
      </c>
      <c r="B37" s="614">
        <v>2120</v>
      </c>
      <c r="C37" s="466">
        <v>136577</v>
      </c>
      <c r="D37" s="466">
        <v>29554</v>
      </c>
      <c r="E37" s="466"/>
      <c r="F37" s="466"/>
      <c r="G37" s="466"/>
      <c r="H37" s="466"/>
      <c r="I37" s="467"/>
      <c r="J37" s="467"/>
      <c r="K37" s="1671">
        <f t="shared" si="2"/>
        <v>166131</v>
      </c>
      <c r="L37" s="466">
        <v>171221</v>
      </c>
    </row>
    <row r="38" spans="1:14" x14ac:dyDescent="0.2">
      <c r="A38" s="1504" t="s">
        <v>198</v>
      </c>
      <c r="B38" s="614">
        <v>2130</v>
      </c>
      <c r="C38" s="466">
        <v>91653</v>
      </c>
      <c r="D38" s="466">
        <v>9414</v>
      </c>
      <c r="E38" s="466">
        <v>46060</v>
      </c>
      <c r="F38" s="466">
        <v>5821</v>
      </c>
      <c r="G38" s="466"/>
      <c r="H38" s="466">
        <v>15</v>
      </c>
      <c r="I38" s="467"/>
      <c r="J38" s="467"/>
      <c r="K38" s="1671">
        <f t="shared" si="2"/>
        <v>152963</v>
      </c>
      <c r="L38" s="466">
        <v>120406</v>
      </c>
    </row>
    <row r="39" spans="1:14" x14ac:dyDescent="0.2">
      <c r="A39" s="1504" t="s">
        <v>199</v>
      </c>
      <c r="B39" s="614">
        <v>2140</v>
      </c>
      <c r="C39" s="466">
        <v>23163</v>
      </c>
      <c r="D39" s="466">
        <v>6051</v>
      </c>
      <c r="E39" s="466">
        <v>38800</v>
      </c>
      <c r="F39" s="466"/>
      <c r="G39" s="466"/>
      <c r="H39" s="466"/>
      <c r="I39" s="467"/>
      <c r="J39" s="467"/>
      <c r="K39" s="1671">
        <f t="shared" si="2"/>
        <v>68014</v>
      </c>
      <c r="L39" s="466">
        <v>68560</v>
      </c>
    </row>
    <row r="40" spans="1:14" x14ac:dyDescent="0.2">
      <c r="A40" s="1504" t="s">
        <v>200</v>
      </c>
      <c r="B40" s="614">
        <v>2150</v>
      </c>
      <c r="C40" s="466">
        <v>186658</v>
      </c>
      <c r="D40" s="466">
        <v>39416</v>
      </c>
      <c r="E40" s="466">
        <v>804</v>
      </c>
      <c r="F40" s="466">
        <v>540</v>
      </c>
      <c r="G40" s="466"/>
      <c r="H40" s="466"/>
      <c r="I40" s="467"/>
      <c r="J40" s="467"/>
      <c r="K40" s="1671">
        <f t="shared" si="2"/>
        <v>227418</v>
      </c>
      <c r="L40" s="466">
        <v>225079</v>
      </c>
    </row>
    <row r="41" spans="1:14" x14ac:dyDescent="0.2">
      <c r="A41" s="1504" t="s">
        <v>1669</v>
      </c>
      <c r="B41" s="614">
        <v>2190</v>
      </c>
      <c r="C41" s="466">
        <v>46323</v>
      </c>
      <c r="D41" s="466">
        <v>5127</v>
      </c>
      <c r="E41" s="466">
        <v>15719</v>
      </c>
      <c r="F41" s="466">
        <v>5838</v>
      </c>
      <c r="G41" s="466"/>
      <c r="H41" s="466">
        <v>1604</v>
      </c>
      <c r="I41" s="467"/>
      <c r="J41" s="467"/>
      <c r="K41" s="1671">
        <f t="shared" si="2"/>
        <v>74611</v>
      </c>
      <c r="L41" s="466">
        <v>95815</v>
      </c>
    </row>
    <row r="42" spans="1:14" ht="12.75" customHeight="1" thickBot="1" x14ac:dyDescent="0.25">
      <c r="A42" s="1668" t="s">
        <v>560</v>
      </c>
      <c r="B42" s="1669" t="s">
        <v>716</v>
      </c>
      <c r="C42" s="1670">
        <f>SUM(C36:C41)</f>
        <v>609687</v>
      </c>
      <c r="D42" s="1670">
        <f t="shared" ref="D42:L42" si="3">SUM(D36:D41)</f>
        <v>120152</v>
      </c>
      <c r="E42" s="1670">
        <f t="shared" si="3"/>
        <v>102368</v>
      </c>
      <c r="F42" s="1670">
        <f t="shared" si="3"/>
        <v>12199</v>
      </c>
      <c r="G42" s="1670">
        <f t="shared" si="3"/>
        <v>0</v>
      </c>
      <c r="H42" s="1670">
        <f t="shared" si="3"/>
        <v>1619</v>
      </c>
      <c r="I42" s="1670">
        <f t="shared" si="3"/>
        <v>0</v>
      </c>
      <c r="J42" s="1670">
        <f t="shared" si="3"/>
        <v>0</v>
      </c>
      <c r="K42" s="1670">
        <f t="shared" si="3"/>
        <v>846025</v>
      </c>
      <c r="L42" s="1670">
        <f t="shared" si="3"/>
        <v>843446</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70508</v>
      </c>
      <c r="D44" s="481">
        <v>15852</v>
      </c>
      <c r="E44" s="481">
        <v>34418</v>
      </c>
      <c r="F44" s="481">
        <v>640</v>
      </c>
      <c r="G44" s="481">
        <v>2000</v>
      </c>
      <c r="H44" s="481">
        <v>289</v>
      </c>
      <c r="I44" s="467"/>
      <c r="J44" s="467"/>
      <c r="K44" s="1672">
        <f>SUM(C44:J44)</f>
        <v>123707</v>
      </c>
      <c r="L44" s="481">
        <v>146840</v>
      </c>
    </row>
    <row r="45" spans="1:14" x14ac:dyDescent="0.2">
      <c r="A45" s="1504" t="s">
        <v>815</v>
      </c>
      <c r="B45" s="614">
        <v>2220</v>
      </c>
      <c r="C45" s="466">
        <v>142316</v>
      </c>
      <c r="D45" s="466">
        <v>37628</v>
      </c>
      <c r="E45" s="466">
        <v>68782</v>
      </c>
      <c r="F45" s="466">
        <v>41740</v>
      </c>
      <c r="G45" s="466">
        <v>17697</v>
      </c>
      <c r="H45" s="466"/>
      <c r="I45" s="467"/>
      <c r="J45" s="467"/>
      <c r="K45" s="1672">
        <f>SUM(C45:J45)</f>
        <v>308163</v>
      </c>
      <c r="L45" s="466">
        <v>205572</v>
      </c>
    </row>
    <row r="46" spans="1:14" x14ac:dyDescent="0.2">
      <c r="A46" s="1504" t="s">
        <v>816</v>
      </c>
      <c r="B46" s="614">
        <v>2230</v>
      </c>
      <c r="C46" s="466"/>
      <c r="D46" s="466"/>
      <c r="E46" s="466">
        <v>69374</v>
      </c>
      <c r="F46" s="466">
        <v>8079</v>
      </c>
      <c r="G46" s="466"/>
      <c r="H46" s="466"/>
      <c r="I46" s="467"/>
      <c r="J46" s="467"/>
      <c r="K46" s="1672">
        <f>SUM(C46:J46)</f>
        <v>77453</v>
      </c>
      <c r="L46" s="466">
        <v>79132</v>
      </c>
    </row>
    <row r="47" spans="1:14" ht="12.75" customHeight="1" thickBot="1" x14ac:dyDescent="0.25">
      <c r="A47" s="1668" t="s">
        <v>561</v>
      </c>
      <c r="B47" s="1669" t="s">
        <v>32</v>
      </c>
      <c r="C47" s="1670">
        <f>SUM(C44:C46)</f>
        <v>212824</v>
      </c>
      <c r="D47" s="1670">
        <f t="shared" ref="D47:K47" si="4">SUM(D44:D46)</f>
        <v>53480</v>
      </c>
      <c r="E47" s="1670">
        <f t="shared" si="4"/>
        <v>172574</v>
      </c>
      <c r="F47" s="1670">
        <f t="shared" si="4"/>
        <v>50459</v>
      </c>
      <c r="G47" s="1670">
        <f t="shared" si="4"/>
        <v>19697</v>
      </c>
      <c r="H47" s="1670">
        <f t="shared" si="4"/>
        <v>289</v>
      </c>
      <c r="I47" s="1670">
        <f t="shared" si="4"/>
        <v>0</v>
      </c>
      <c r="J47" s="1670">
        <f t="shared" si="4"/>
        <v>0</v>
      </c>
      <c r="K47" s="1670">
        <f t="shared" si="4"/>
        <v>509323</v>
      </c>
      <c r="L47" s="1670">
        <f>SUM(L44:L46)</f>
        <v>431544</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26730</v>
      </c>
      <c r="D49" s="481">
        <v>19501</v>
      </c>
      <c r="E49" s="481">
        <v>26399</v>
      </c>
      <c r="F49" s="481">
        <v>7107</v>
      </c>
      <c r="G49" s="481"/>
      <c r="H49" s="481">
        <v>11002</v>
      </c>
      <c r="I49" s="467"/>
      <c r="J49" s="467"/>
      <c r="K49" s="1672">
        <f>SUM(C49:J49)</f>
        <v>90739</v>
      </c>
      <c r="L49" s="481">
        <v>227228</v>
      </c>
    </row>
    <row r="50" spans="1:14" x14ac:dyDescent="0.2">
      <c r="A50" s="1504" t="s">
        <v>818</v>
      </c>
      <c r="B50" s="614">
        <v>2320</v>
      </c>
      <c r="C50" s="466">
        <v>115000</v>
      </c>
      <c r="D50" s="466">
        <v>21779</v>
      </c>
      <c r="E50" s="466">
        <v>3284</v>
      </c>
      <c r="F50" s="466">
        <v>631</v>
      </c>
      <c r="G50" s="466"/>
      <c r="H50" s="466">
        <v>1193</v>
      </c>
      <c r="I50" s="467"/>
      <c r="J50" s="467"/>
      <c r="K50" s="1672">
        <f>SUM(C50:J50)</f>
        <v>141887</v>
      </c>
      <c r="L50" s="466">
        <v>140803</v>
      </c>
    </row>
    <row r="51" spans="1:14" x14ac:dyDescent="0.2">
      <c r="A51" s="1504" t="s">
        <v>42</v>
      </c>
      <c r="B51" s="614">
        <v>2330</v>
      </c>
      <c r="C51" s="466">
        <v>4375</v>
      </c>
      <c r="D51" s="466">
        <v>677</v>
      </c>
      <c r="E51" s="466">
        <v>14965</v>
      </c>
      <c r="F51" s="466">
        <v>5222</v>
      </c>
      <c r="G51" s="466">
        <v>26446</v>
      </c>
      <c r="H51" s="466"/>
      <c r="I51" s="467"/>
      <c r="J51" s="467"/>
      <c r="K51" s="1672">
        <f>SUM(C51:J51)</f>
        <v>51685</v>
      </c>
      <c r="L51" s="466">
        <v>97123</v>
      </c>
    </row>
    <row r="52" spans="1:14" ht="22.5" x14ac:dyDescent="0.2">
      <c r="A52" s="1505" t="s">
        <v>298</v>
      </c>
      <c r="B52" s="627" t="s">
        <v>366</v>
      </c>
      <c r="C52" s="474"/>
      <c r="D52" s="474"/>
      <c r="E52" s="474">
        <v>5807</v>
      </c>
      <c r="F52" s="474"/>
      <c r="G52" s="474"/>
      <c r="H52" s="474"/>
      <c r="I52" s="474"/>
      <c r="J52" s="474"/>
      <c r="K52" s="1672">
        <f>SUM(C52:J52)</f>
        <v>5807</v>
      </c>
      <c r="L52" s="474">
        <v>5807</v>
      </c>
    </row>
    <row r="53" spans="1:14" ht="12.75" customHeight="1" thickBot="1" x14ac:dyDescent="0.25">
      <c r="A53" s="1668" t="s">
        <v>717</v>
      </c>
      <c r="B53" s="1669" t="s">
        <v>33</v>
      </c>
      <c r="C53" s="1670">
        <f>SUM(C49:C52)</f>
        <v>146105</v>
      </c>
      <c r="D53" s="1670">
        <f t="shared" ref="D53:L53" si="5">SUM(D49:D52)</f>
        <v>41957</v>
      </c>
      <c r="E53" s="1670">
        <f t="shared" si="5"/>
        <v>50455</v>
      </c>
      <c r="F53" s="1670">
        <f t="shared" si="5"/>
        <v>12960</v>
      </c>
      <c r="G53" s="1670">
        <f t="shared" si="5"/>
        <v>26446</v>
      </c>
      <c r="H53" s="1670">
        <f t="shared" si="5"/>
        <v>12195</v>
      </c>
      <c r="I53" s="1670">
        <f t="shared" si="5"/>
        <v>0</v>
      </c>
      <c r="J53" s="1670">
        <f t="shared" si="5"/>
        <v>0</v>
      </c>
      <c r="K53" s="1670">
        <f t="shared" si="5"/>
        <v>290118</v>
      </c>
      <c r="L53" s="1670">
        <f t="shared" si="5"/>
        <v>470961</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825421</v>
      </c>
      <c r="D55" s="481">
        <v>132862</v>
      </c>
      <c r="E55" s="481">
        <v>21079</v>
      </c>
      <c r="F55" s="481">
        <v>61467</v>
      </c>
      <c r="G55" s="481"/>
      <c r="H55" s="481">
        <v>3509</v>
      </c>
      <c r="I55" s="467"/>
      <c r="J55" s="467"/>
      <c r="K55" s="1672">
        <f>SUM(C55:J55)</f>
        <v>1044338</v>
      </c>
      <c r="L55" s="481">
        <v>1080704</v>
      </c>
    </row>
    <row r="56" spans="1:14" ht="12.75" customHeight="1" x14ac:dyDescent="0.2">
      <c r="A56" s="1508" t="s">
        <v>376</v>
      </c>
      <c r="B56" s="628">
        <v>2490</v>
      </c>
      <c r="C56" s="466">
        <v>3663</v>
      </c>
      <c r="D56" s="466">
        <v>473</v>
      </c>
      <c r="E56" s="466"/>
      <c r="F56" s="466"/>
      <c r="G56" s="466"/>
      <c r="H56" s="466"/>
      <c r="I56" s="467"/>
      <c r="J56" s="467"/>
      <c r="K56" s="1672">
        <f>SUM(C56:J56)</f>
        <v>4136</v>
      </c>
      <c r="L56" s="466"/>
    </row>
    <row r="57" spans="1:14" s="343" customFormat="1" ht="12.75" customHeight="1" thickBot="1" x14ac:dyDescent="0.25">
      <c r="A57" s="1668" t="s">
        <v>263</v>
      </c>
      <c r="B57" s="1673" t="s">
        <v>34</v>
      </c>
      <c r="C57" s="1674">
        <f>SUM(C55:C56)</f>
        <v>829084</v>
      </c>
      <c r="D57" s="1674">
        <f t="shared" ref="D57:K57" si="6">SUM(D55:D56)</f>
        <v>133335</v>
      </c>
      <c r="E57" s="1674">
        <f t="shared" si="6"/>
        <v>21079</v>
      </c>
      <c r="F57" s="1674">
        <f t="shared" si="6"/>
        <v>61467</v>
      </c>
      <c r="G57" s="1674">
        <f t="shared" si="6"/>
        <v>0</v>
      </c>
      <c r="H57" s="1674">
        <f t="shared" si="6"/>
        <v>3509</v>
      </c>
      <c r="I57" s="1674">
        <f t="shared" si="6"/>
        <v>0</v>
      </c>
      <c r="J57" s="1674">
        <f t="shared" si="6"/>
        <v>0</v>
      </c>
      <c r="K57" s="1674">
        <f t="shared" si="6"/>
        <v>1048474</v>
      </c>
      <c r="L57" s="1670">
        <f>SUM(L55:L56)</f>
        <v>1080704</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236086</v>
      </c>
      <c r="D60" s="466">
        <v>269589</v>
      </c>
      <c r="E60" s="466">
        <v>49809</v>
      </c>
      <c r="F60" s="466">
        <v>3685</v>
      </c>
      <c r="G60" s="466"/>
      <c r="H60" s="466">
        <v>3843</v>
      </c>
      <c r="I60" s="467"/>
      <c r="J60" s="467"/>
      <c r="K60" s="1672">
        <f t="shared" si="7"/>
        <v>563012</v>
      </c>
      <c r="L60" s="466">
        <v>591657</v>
      </c>
      <c r="M60" s="609"/>
      <c r="N60" s="609"/>
    </row>
    <row r="61" spans="1:14" s="343" customFormat="1" x14ac:dyDescent="0.2">
      <c r="A61" s="1504" t="s">
        <v>197</v>
      </c>
      <c r="B61" s="614">
        <v>2540</v>
      </c>
      <c r="C61" s="466"/>
      <c r="D61" s="466"/>
      <c r="E61" s="466"/>
      <c r="F61" s="466"/>
      <c r="G61" s="466"/>
      <c r="H61" s="466"/>
      <c r="I61" s="467"/>
      <c r="J61" s="467"/>
      <c r="K61" s="1672">
        <f t="shared" si="7"/>
        <v>0</v>
      </c>
      <c r="L61" s="466">
        <v>4576</v>
      </c>
      <c r="M61" s="609"/>
      <c r="N61" s="609"/>
    </row>
    <row r="62" spans="1:14" s="343" customFormat="1" x14ac:dyDescent="0.2">
      <c r="A62" s="1504" t="s">
        <v>953</v>
      </c>
      <c r="B62" s="614">
        <v>2550</v>
      </c>
      <c r="C62" s="466"/>
      <c r="D62" s="466"/>
      <c r="E62" s="466">
        <v>544</v>
      </c>
      <c r="F62" s="466"/>
      <c r="G62" s="466"/>
      <c r="H62" s="466"/>
      <c r="I62" s="467"/>
      <c r="J62" s="467"/>
      <c r="K62" s="1672">
        <f t="shared" si="7"/>
        <v>544</v>
      </c>
      <c r="L62" s="466">
        <v>1200</v>
      </c>
      <c r="M62" s="609"/>
      <c r="N62" s="609"/>
    </row>
    <row r="63" spans="1:14" s="609" customFormat="1" x14ac:dyDescent="0.2">
      <c r="A63" s="1504" t="s">
        <v>100</v>
      </c>
      <c r="B63" s="614">
        <v>2560</v>
      </c>
      <c r="C63" s="466">
        <v>395306</v>
      </c>
      <c r="D63" s="466">
        <v>70650</v>
      </c>
      <c r="E63" s="466">
        <v>36151</v>
      </c>
      <c r="F63" s="466">
        <v>501183</v>
      </c>
      <c r="G63" s="466">
        <v>5454</v>
      </c>
      <c r="H63" s="466">
        <v>936</v>
      </c>
      <c r="I63" s="467"/>
      <c r="J63" s="467"/>
      <c r="K63" s="1672">
        <f t="shared" si="7"/>
        <v>1009680</v>
      </c>
      <c r="L63" s="466">
        <v>1162374</v>
      </c>
    </row>
    <row r="64" spans="1:14" s="609" customFormat="1" x14ac:dyDescent="0.2">
      <c r="A64" s="1509" t="s">
        <v>101</v>
      </c>
      <c r="B64" s="630">
        <v>2570</v>
      </c>
      <c r="C64" s="481">
        <v>833</v>
      </c>
      <c r="D64" s="481"/>
      <c r="E64" s="481"/>
      <c r="F64" s="481"/>
      <c r="G64" s="481"/>
      <c r="H64" s="481"/>
      <c r="I64" s="467"/>
      <c r="J64" s="467"/>
      <c r="K64" s="1672">
        <f t="shared" si="7"/>
        <v>833</v>
      </c>
      <c r="L64" s="481"/>
    </row>
    <row r="65" spans="1:14" s="343" customFormat="1" ht="12.75" customHeight="1" thickBot="1" x14ac:dyDescent="0.25">
      <c r="A65" s="1668" t="s">
        <v>719</v>
      </c>
      <c r="B65" s="1669" t="s">
        <v>35</v>
      </c>
      <c r="C65" s="1670">
        <f>SUM(C59:C64)</f>
        <v>632225</v>
      </c>
      <c r="D65" s="1670">
        <f t="shared" ref="D65:L65" si="8">SUM(D59:D64)</f>
        <v>340239</v>
      </c>
      <c r="E65" s="1670">
        <f t="shared" si="8"/>
        <v>86504</v>
      </c>
      <c r="F65" s="1670">
        <f t="shared" si="8"/>
        <v>504868</v>
      </c>
      <c r="G65" s="1670">
        <f t="shared" si="8"/>
        <v>5454</v>
      </c>
      <c r="H65" s="1670">
        <f t="shared" si="8"/>
        <v>4779</v>
      </c>
      <c r="I65" s="1670">
        <f t="shared" si="8"/>
        <v>0</v>
      </c>
      <c r="J65" s="1670">
        <f t="shared" si="8"/>
        <v>0</v>
      </c>
      <c r="K65" s="1670">
        <f t="shared" si="8"/>
        <v>1574069</v>
      </c>
      <c r="L65" s="1670">
        <f t="shared" si="8"/>
        <v>1759807</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v>4800</v>
      </c>
      <c r="F67" s="466"/>
      <c r="G67" s="466"/>
      <c r="H67" s="466"/>
      <c r="I67" s="467"/>
      <c r="J67" s="467"/>
      <c r="K67" s="1672">
        <f>SUM(C67:J67)</f>
        <v>4800</v>
      </c>
      <c r="L67" s="481">
        <v>4800</v>
      </c>
      <c r="M67" s="609"/>
      <c r="N67" s="609"/>
    </row>
    <row r="68" spans="1:14" s="343" customFormat="1" x14ac:dyDescent="0.2">
      <c r="A68" s="1504" t="s">
        <v>607</v>
      </c>
      <c r="B68" s="614">
        <v>2620</v>
      </c>
      <c r="C68" s="466"/>
      <c r="D68" s="466"/>
      <c r="E68" s="466">
        <v>10060</v>
      </c>
      <c r="F68" s="466"/>
      <c r="G68" s="466"/>
      <c r="H68" s="466"/>
      <c r="I68" s="467"/>
      <c r="J68" s="467"/>
      <c r="K68" s="1672">
        <f>SUM(C68:J68)</f>
        <v>10060</v>
      </c>
      <c r="L68" s="466">
        <v>10625</v>
      </c>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v>136</v>
      </c>
      <c r="G70" s="466"/>
      <c r="H70" s="466"/>
      <c r="I70" s="467"/>
      <c r="J70" s="467"/>
      <c r="K70" s="1672">
        <f>SUM(C70:J70)</f>
        <v>136</v>
      </c>
      <c r="L70" s="466"/>
      <c r="M70" s="609"/>
      <c r="N70" s="609"/>
    </row>
    <row r="71" spans="1:14" s="343" customFormat="1" x14ac:dyDescent="0.2">
      <c r="A71" s="1504" t="s">
        <v>404</v>
      </c>
      <c r="B71" s="614">
        <v>2660</v>
      </c>
      <c r="C71" s="466"/>
      <c r="D71" s="466"/>
      <c r="E71" s="466">
        <v>4882</v>
      </c>
      <c r="F71" s="466"/>
      <c r="G71" s="466"/>
      <c r="H71" s="466"/>
      <c r="I71" s="467"/>
      <c r="J71" s="467"/>
      <c r="K71" s="1672">
        <f>SUM(C71:J71)</f>
        <v>4882</v>
      </c>
      <c r="L71" s="466">
        <v>4725</v>
      </c>
      <c r="M71" s="609"/>
      <c r="N71" s="609"/>
    </row>
    <row r="72" spans="1:14" s="343" customFormat="1" ht="12.75" customHeight="1" thickBot="1" x14ac:dyDescent="0.25">
      <c r="A72" s="1668" t="s">
        <v>37</v>
      </c>
      <c r="B72" s="1675" t="s">
        <v>36</v>
      </c>
      <c r="C72" s="1670">
        <f>SUM(C67:C71)</f>
        <v>0</v>
      </c>
      <c r="D72" s="1670">
        <f t="shared" ref="D72:K72" si="9">SUM(D67:D71)</f>
        <v>0</v>
      </c>
      <c r="E72" s="1670">
        <f t="shared" si="9"/>
        <v>19742</v>
      </c>
      <c r="F72" s="1670">
        <f t="shared" si="9"/>
        <v>136</v>
      </c>
      <c r="G72" s="1670">
        <f t="shared" si="9"/>
        <v>0</v>
      </c>
      <c r="H72" s="1670">
        <f t="shared" si="9"/>
        <v>0</v>
      </c>
      <c r="I72" s="1670">
        <f t="shared" si="9"/>
        <v>0</v>
      </c>
      <c r="J72" s="1670">
        <f t="shared" si="9"/>
        <v>0</v>
      </c>
      <c r="K72" s="1670">
        <f t="shared" si="9"/>
        <v>19878</v>
      </c>
      <c r="L72" s="1670">
        <f>SUM(L67:L71)</f>
        <v>20150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2429925</v>
      </c>
      <c r="D74" s="1677">
        <f t="shared" ref="D74:K74" si="10">SUM(D42,D47,D53,D57,D65,D72,D73)</f>
        <v>689163</v>
      </c>
      <c r="E74" s="1677">
        <f t="shared" si="10"/>
        <v>452722</v>
      </c>
      <c r="F74" s="1677">
        <f t="shared" si="10"/>
        <v>642089</v>
      </c>
      <c r="G74" s="1677">
        <f t="shared" si="10"/>
        <v>51597</v>
      </c>
      <c r="H74" s="1677">
        <f t="shared" si="10"/>
        <v>22391</v>
      </c>
      <c r="I74" s="1677">
        <f t="shared" si="10"/>
        <v>0</v>
      </c>
      <c r="J74" s="1677">
        <f t="shared" si="10"/>
        <v>0</v>
      </c>
      <c r="K74" s="1677">
        <f t="shared" si="10"/>
        <v>4287887</v>
      </c>
      <c r="L74" s="1677">
        <f>SUM(L42,L47,L53,L57,L65,L72,L73)</f>
        <v>4606612</v>
      </c>
    </row>
    <row r="75" spans="1:14" s="259" customFormat="1" ht="15.75" customHeight="1" thickTop="1" thickBot="1" x14ac:dyDescent="0.25">
      <c r="A75" s="1610" t="s">
        <v>47</v>
      </c>
      <c r="B75" s="1611" t="s">
        <v>575</v>
      </c>
      <c r="C75" s="573"/>
      <c r="D75" s="573"/>
      <c r="E75" s="573">
        <v>29765</v>
      </c>
      <c r="F75" s="573">
        <v>885</v>
      </c>
      <c r="G75" s="573"/>
      <c r="H75" s="573"/>
      <c r="I75" s="531"/>
      <c r="J75" s="531"/>
      <c r="K75" s="1670">
        <f>SUM(C75:J75)</f>
        <v>30650</v>
      </c>
      <c r="L75" s="576">
        <v>29707</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7987</v>
      </c>
      <c r="F78" s="616"/>
      <c r="G78" s="616"/>
      <c r="H78" s="634">
        <v>3188</v>
      </c>
      <c r="I78" s="477"/>
      <c r="J78" s="477"/>
      <c r="K78" s="1671">
        <f t="shared" ref="K78:K83" si="11">SUM(C78:J78)</f>
        <v>11175</v>
      </c>
      <c r="L78" s="481"/>
    </row>
    <row r="79" spans="1:14" x14ac:dyDescent="0.2">
      <c r="A79" s="1504" t="s">
        <v>304</v>
      </c>
      <c r="B79" s="614">
        <v>4120</v>
      </c>
      <c r="C79" s="616"/>
      <c r="D79" s="616"/>
      <c r="E79" s="466"/>
      <c r="F79" s="616"/>
      <c r="G79" s="616"/>
      <c r="H79" s="466"/>
      <c r="I79" s="477"/>
      <c r="J79" s="477"/>
      <c r="K79" s="1671">
        <f t="shared" si="11"/>
        <v>0</v>
      </c>
      <c r="L79" s="466">
        <v>30600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17690</v>
      </c>
      <c r="I81" s="477"/>
      <c r="J81" s="477"/>
      <c r="K81" s="1671">
        <f t="shared" si="11"/>
        <v>17690</v>
      </c>
      <c r="L81" s="466">
        <v>19000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v>76296</v>
      </c>
      <c r="I83" s="477"/>
      <c r="J83" s="477"/>
      <c r="K83" s="1671">
        <f t="shared" si="11"/>
        <v>76296</v>
      </c>
      <c r="L83" s="466"/>
    </row>
    <row r="84" spans="1:12" ht="13.5" thickBot="1" x14ac:dyDescent="0.25">
      <c r="A84" s="1668" t="s">
        <v>1485</v>
      </c>
      <c r="B84" s="1678">
        <v>4100</v>
      </c>
      <c r="C84" s="616"/>
      <c r="D84" s="616"/>
      <c r="E84" s="1670">
        <f>SUM(E78:E83)</f>
        <v>7987</v>
      </c>
      <c r="F84" s="616"/>
      <c r="G84" s="616"/>
      <c r="H84" s="1670">
        <f>SUM(H78:H83)</f>
        <v>97174</v>
      </c>
      <c r="I84" s="477"/>
      <c r="J84" s="477"/>
      <c r="K84" s="1670">
        <f>SUM(K78:K83)</f>
        <v>105161</v>
      </c>
      <c r="L84" s="1670">
        <f>SUM(L78:L83)</f>
        <v>49600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67430</v>
      </c>
      <c r="I86" s="477"/>
      <c r="J86" s="477"/>
      <c r="K86" s="1677">
        <f t="shared" ref="K86:K98" si="12">H86</f>
        <v>67430</v>
      </c>
      <c r="L86" s="530">
        <v>70000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67430</v>
      </c>
      <c r="I92" s="477"/>
      <c r="J92" s="477"/>
      <c r="K92" s="1677">
        <f t="shared" si="12"/>
        <v>67430</v>
      </c>
      <c r="L92" s="1670">
        <f>SUM(L85:L91)</f>
        <v>70000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7987</v>
      </c>
      <c r="F102" s="616"/>
      <c r="G102" s="616"/>
      <c r="H102" s="1677">
        <f>SUM(H84,H92,H100,H101)</f>
        <v>164604</v>
      </c>
      <c r="I102" s="477"/>
      <c r="J102" s="477"/>
      <c r="K102" s="1677">
        <f>SUM(K84,K92,K100,K101)</f>
        <v>172591</v>
      </c>
      <c r="L102" s="1677">
        <f>SUM(L84,L92,L100,L101)</f>
        <v>119600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11535764</v>
      </c>
      <c r="D114" s="1670">
        <f t="shared" ref="D114:K114" si="13">SUM(D33,D74,D75,D102,D112,D113)</f>
        <v>2779856</v>
      </c>
      <c r="E114" s="1670">
        <f t="shared" si="13"/>
        <v>589330</v>
      </c>
      <c r="F114" s="1670">
        <f t="shared" si="13"/>
        <v>936078</v>
      </c>
      <c r="G114" s="1670">
        <f t="shared" si="13"/>
        <v>79438</v>
      </c>
      <c r="H114" s="1670">
        <f>SUM(H33,H74,H75,H102,H112,H113)</f>
        <v>201378</v>
      </c>
      <c r="I114" s="1670">
        <f t="shared" si="13"/>
        <v>0</v>
      </c>
      <c r="J114" s="1670">
        <f t="shared" si="13"/>
        <v>0</v>
      </c>
      <c r="K114" s="1670">
        <f t="shared" si="13"/>
        <v>16121844</v>
      </c>
      <c r="L114" s="1670">
        <f>SUM(L33,L74,L75,L102,L112,L113)</f>
        <v>16757590</v>
      </c>
    </row>
    <row r="115" spans="1:14" ht="13.5" thickTop="1" x14ac:dyDescent="0.2">
      <c r="A115" s="2167" t="s">
        <v>996</v>
      </c>
      <c r="B115" s="2168"/>
      <c r="C115" s="618"/>
      <c r="D115" s="618"/>
      <c r="E115" s="618"/>
      <c r="F115" s="618"/>
      <c r="G115" s="618"/>
      <c r="H115" s="618"/>
      <c r="I115" s="618"/>
      <c r="J115" s="618"/>
      <c r="K115" s="1684">
        <f>'Revenues 9-14'!C268-'Expenditures 15-22'!K114</f>
        <v>1106033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2" t="s">
        <v>296</v>
      </c>
      <c r="B117" s="217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2056</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775913</v>
      </c>
      <c r="D124" s="466">
        <v>89797</v>
      </c>
      <c r="E124" s="466">
        <v>471852</v>
      </c>
      <c r="F124" s="466">
        <f>797106-7</f>
        <v>797099</v>
      </c>
      <c r="G124" s="466">
        <v>110732</v>
      </c>
      <c r="H124" s="466">
        <v>80</v>
      </c>
      <c r="I124" s="467"/>
      <c r="J124" s="467"/>
      <c r="K124" s="1670">
        <f>SUM(C124:J124)</f>
        <v>2245473</v>
      </c>
      <c r="L124" s="466">
        <v>2202228</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775913</v>
      </c>
      <c r="D127" s="1670">
        <f t="shared" ref="D127:L127" si="14">SUM(D122:D126)</f>
        <v>89797</v>
      </c>
      <c r="E127" s="1670">
        <f t="shared" si="14"/>
        <v>471852</v>
      </c>
      <c r="F127" s="1670">
        <f t="shared" si="14"/>
        <v>797099</v>
      </c>
      <c r="G127" s="1670">
        <f t="shared" si="14"/>
        <v>110732</v>
      </c>
      <c r="H127" s="1670">
        <f t="shared" si="14"/>
        <v>80</v>
      </c>
      <c r="I127" s="1670">
        <f t="shared" si="14"/>
        <v>0</v>
      </c>
      <c r="J127" s="1670">
        <f t="shared" si="14"/>
        <v>0</v>
      </c>
      <c r="K127" s="1670">
        <f t="shared" si="14"/>
        <v>2245473</v>
      </c>
      <c r="L127" s="1670">
        <f t="shared" si="14"/>
        <v>2202228</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775913</v>
      </c>
      <c r="D129" s="1677">
        <f t="shared" ref="D129:L129" si="15">SUM(D120,D127,D128)</f>
        <v>89797</v>
      </c>
      <c r="E129" s="1677">
        <f t="shared" si="15"/>
        <v>471852</v>
      </c>
      <c r="F129" s="1677">
        <f t="shared" si="15"/>
        <v>797099</v>
      </c>
      <c r="G129" s="1677">
        <f t="shared" si="15"/>
        <v>110732</v>
      </c>
      <c r="H129" s="1677">
        <f t="shared" si="15"/>
        <v>80</v>
      </c>
      <c r="I129" s="1677">
        <f t="shared" si="15"/>
        <v>0</v>
      </c>
      <c r="J129" s="1677">
        <f t="shared" si="15"/>
        <v>0</v>
      </c>
      <c r="K129" s="1677">
        <f t="shared" si="15"/>
        <v>2245473</v>
      </c>
      <c r="L129" s="1677">
        <f t="shared" si="15"/>
        <v>2202228</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1841</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84" t="s">
        <v>620</v>
      </c>
      <c r="B151" s="2164"/>
      <c r="C151" s="1670">
        <f>SUM(C129,C130,C139,C149,C150)</f>
        <v>775913</v>
      </c>
      <c r="D151" s="1670">
        <f t="shared" ref="D151:K151" si="16">SUM(D129,D130,D139,D149,D150)</f>
        <v>89797</v>
      </c>
      <c r="E151" s="1670">
        <f t="shared" si="16"/>
        <v>471852</v>
      </c>
      <c r="F151" s="1670">
        <f t="shared" si="16"/>
        <v>797099</v>
      </c>
      <c r="G151" s="1670">
        <f t="shared" si="16"/>
        <v>110732</v>
      </c>
      <c r="H151" s="1670">
        <f t="shared" si="16"/>
        <v>80</v>
      </c>
      <c r="I151" s="1670">
        <f t="shared" si="16"/>
        <v>0</v>
      </c>
      <c r="J151" s="1670">
        <f t="shared" si="16"/>
        <v>0</v>
      </c>
      <c r="K151" s="1670">
        <f t="shared" si="16"/>
        <v>2245473</v>
      </c>
      <c r="L151" s="1670">
        <f>SUM(L129,L130,L139,L149,L150)</f>
        <v>2202228</v>
      </c>
    </row>
    <row r="152" spans="1:14" ht="12.75" customHeight="1" thickTop="1" x14ac:dyDescent="0.2">
      <c r="A152" s="2187" t="s">
        <v>1178</v>
      </c>
      <c r="B152" s="2188"/>
      <c r="C152" s="618"/>
      <c r="D152" s="618"/>
      <c r="E152" s="618"/>
      <c r="F152" s="618"/>
      <c r="G152" s="618"/>
      <c r="H152" s="618"/>
      <c r="I152" s="618"/>
      <c r="J152" s="616"/>
      <c r="K152" s="1684">
        <f>'Revenues 9-14'!D268-'Expenditures 15-22'!K151</f>
        <v>154411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2" t="s">
        <v>621</v>
      </c>
      <c r="B154" s="217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1841</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1843</v>
      </c>
      <c r="C158" s="616"/>
      <c r="D158" s="616"/>
      <c r="E158" s="616"/>
      <c r="F158" s="616"/>
      <c r="G158" s="616"/>
      <c r="H158" s="467"/>
      <c r="I158" s="616"/>
      <c r="J158" s="616"/>
      <c r="K158" s="1671">
        <f>H158</f>
        <v>0</v>
      </c>
      <c r="L158" s="467"/>
      <c r="M158" s="619"/>
      <c r="N158" s="619"/>
    </row>
    <row r="159" spans="1:14" s="620" customFormat="1" ht="12" x14ac:dyDescent="0.2">
      <c r="A159" s="1826" t="s">
        <v>1844</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1845</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62824</v>
      </c>
      <c r="I169" s="616"/>
      <c r="J169" s="616"/>
      <c r="K169" s="1671">
        <f>SUM(C169:H169)</f>
        <v>62824</v>
      </c>
      <c r="L169" s="656">
        <v>69437</v>
      </c>
    </row>
    <row r="170" spans="1:14" ht="33.75" customHeight="1" x14ac:dyDescent="0.2">
      <c r="A170" s="669" t="s">
        <v>1670</v>
      </c>
      <c r="B170" s="671" t="s">
        <v>31</v>
      </c>
      <c r="C170" s="616"/>
      <c r="D170" s="616"/>
      <c r="E170" s="616"/>
      <c r="F170" s="616"/>
      <c r="G170" s="616"/>
      <c r="H170" s="569">
        <v>638600</v>
      </c>
      <c r="I170" s="616"/>
      <c r="J170" s="616"/>
      <c r="K170" s="1671">
        <f>SUM(C170:J170)</f>
        <v>638600</v>
      </c>
      <c r="L170" s="569">
        <v>638600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701424</v>
      </c>
      <c r="I172" s="638"/>
      <c r="J172" s="616"/>
      <c r="K172" s="1677">
        <f>SUM(K168,K169,K170,K171)</f>
        <v>701424</v>
      </c>
      <c r="L172" s="1677">
        <f>SUM(L168,L169,L170,L171)</f>
        <v>708037</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701424</v>
      </c>
      <c r="I174" s="638"/>
      <c r="J174" s="616"/>
      <c r="K174" s="1677">
        <f>SUM(K160,K172,K173)</f>
        <v>701424</v>
      </c>
      <c r="L174" s="1677">
        <f>SUM(L160,L172,L173)</f>
        <v>708037</v>
      </c>
    </row>
    <row r="175" spans="1:14" ht="13.5" thickTop="1" x14ac:dyDescent="0.2">
      <c r="A175" s="2167" t="s">
        <v>996</v>
      </c>
      <c r="B175" s="2168"/>
      <c r="C175" s="616"/>
      <c r="D175" s="616"/>
      <c r="E175" s="616"/>
      <c r="F175" s="616"/>
      <c r="G175" s="616"/>
      <c r="H175" s="618"/>
      <c r="I175" s="616"/>
      <c r="J175" s="616"/>
      <c r="K175" s="1684">
        <f>'Revenues 9-14'!E268-'Expenditures 15-22'!K174</f>
        <v>58448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2056</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v>1490044</v>
      </c>
      <c r="F182" s="466"/>
      <c r="G182" s="466">
        <v>23850</v>
      </c>
      <c r="H182" s="466"/>
      <c r="I182" s="467"/>
      <c r="J182" s="467"/>
      <c r="K182" s="1671">
        <f>SUM(C182:J182)</f>
        <v>1513894</v>
      </c>
      <c r="L182" s="466">
        <v>1642994</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1490044</v>
      </c>
      <c r="F184" s="1677">
        <f t="shared" si="17"/>
        <v>0</v>
      </c>
      <c r="G184" s="1677">
        <f t="shared" si="17"/>
        <v>23850</v>
      </c>
      <c r="H184" s="1677">
        <f t="shared" si="17"/>
        <v>0</v>
      </c>
      <c r="I184" s="1677">
        <f t="shared" si="17"/>
        <v>0</v>
      </c>
      <c r="J184" s="1677">
        <f t="shared" si="17"/>
        <v>0</v>
      </c>
      <c r="K184" s="1677">
        <f>SUM(K180,K182,K183)</f>
        <v>1513894</v>
      </c>
      <c r="L184" s="1677">
        <f>SUM(L180, L182:L183)</f>
        <v>1642994</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1490044</v>
      </c>
      <c r="F210" s="1670">
        <f>SUM(F184,F185)</f>
        <v>0</v>
      </c>
      <c r="G210" s="1670">
        <f>SUM(G184,G185)</f>
        <v>23850</v>
      </c>
      <c r="H210" s="1670">
        <f>SUM(H184,H185,H196,H208,H209)</f>
        <v>0</v>
      </c>
      <c r="I210" s="1670">
        <f>SUM(I184,I185)</f>
        <v>0</v>
      </c>
      <c r="J210" s="1670">
        <f>SUM(J184,J185)</f>
        <v>0</v>
      </c>
      <c r="K210" s="1671">
        <f>SUM(K184,K185,K196,K208,K209)</f>
        <v>1513894</v>
      </c>
      <c r="L210" s="1670">
        <f>SUM(L184,L185,L196,L208,L209)</f>
        <v>1642994</v>
      </c>
    </row>
    <row r="211" spans="1:14" ht="13.5" thickTop="1" x14ac:dyDescent="0.2">
      <c r="A211" s="2167" t="s">
        <v>996</v>
      </c>
      <c r="B211" s="2168"/>
      <c r="C211" s="618"/>
      <c r="D211" s="618"/>
      <c r="E211" s="618"/>
      <c r="F211" s="618"/>
      <c r="G211" s="618"/>
      <c r="H211" s="618"/>
      <c r="I211" s="616"/>
      <c r="J211" s="616"/>
      <c r="K211" s="1684">
        <f>'Revenues 9-14'!F268-'Expenditures 15-22'!K210</f>
        <v>69419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9" t="s">
        <v>965</v>
      </c>
      <c r="B213" s="219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96963</v>
      </c>
      <c r="E215" s="616"/>
      <c r="F215" s="616"/>
      <c r="G215" s="616"/>
      <c r="H215" s="616"/>
      <c r="I215" s="616"/>
      <c r="J215" s="616"/>
      <c r="K215" s="1671">
        <f>D215</f>
        <v>96963</v>
      </c>
      <c r="L215" s="466">
        <v>90886</v>
      </c>
    </row>
    <row r="216" spans="1:14" x14ac:dyDescent="0.2">
      <c r="A216" s="1504" t="s">
        <v>163</v>
      </c>
      <c r="B216" s="614" t="s">
        <v>967</v>
      </c>
      <c r="C216" s="616"/>
      <c r="D216" s="467">
        <v>8862</v>
      </c>
      <c r="E216" s="616"/>
      <c r="F216" s="616"/>
      <c r="G216" s="616"/>
      <c r="H216" s="616"/>
      <c r="I216" s="616"/>
      <c r="J216" s="616"/>
      <c r="K216" s="1671">
        <f t="shared" ref="K216:K228" si="19">D216</f>
        <v>8862</v>
      </c>
      <c r="L216" s="466">
        <v>10468</v>
      </c>
    </row>
    <row r="217" spans="1:14" x14ac:dyDescent="0.2">
      <c r="A217" s="1504" t="s">
        <v>164</v>
      </c>
      <c r="B217" s="614">
        <v>1200</v>
      </c>
      <c r="C217" s="616"/>
      <c r="D217" s="466">
        <v>112428</v>
      </c>
      <c r="E217" s="616"/>
      <c r="F217" s="616"/>
      <c r="G217" s="616"/>
      <c r="H217" s="616"/>
      <c r="I217" s="616"/>
      <c r="J217" s="616"/>
      <c r="K217" s="1671">
        <f t="shared" si="19"/>
        <v>112428</v>
      </c>
      <c r="L217" s="466">
        <v>127208</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46648</v>
      </c>
      <c r="E219" s="616"/>
      <c r="F219" s="616"/>
      <c r="G219" s="616"/>
      <c r="H219" s="616"/>
      <c r="I219" s="616"/>
      <c r="J219" s="616"/>
      <c r="K219" s="1671">
        <f t="shared" si="19"/>
        <v>46648</v>
      </c>
      <c r="L219" s="466">
        <v>48038</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6668</v>
      </c>
      <c r="E222" s="616"/>
      <c r="F222" s="616"/>
      <c r="G222" s="616"/>
      <c r="H222" s="616"/>
      <c r="I222" s="616"/>
      <c r="J222" s="616"/>
      <c r="K222" s="1671">
        <f t="shared" si="19"/>
        <v>6668</v>
      </c>
      <c r="L222" s="466">
        <v>6052</v>
      </c>
    </row>
    <row r="223" spans="1:14" x14ac:dyDescent="0.2">
      <c r="A223" s="1504" t="s">
        <v>963</v>
      </c>
      <c r="B223" s="614">
        <v>1500</v>
      </c>
      <c r="C223" s="616"/>
      <c r="D223" s="466">
        <v>8005</v>
      </c>
      <c r="E223" s="616"/>
      <c r="F223" s="616"/>
      <c r="G223" s="616"/>
      <c r="H223" s="616"/>
      <c r="I223" s="616"/>
      <c r="J223" s="616"/>
      <c r="K223" s="1671">
        <f t="shared" si="19"/>
        <v>8005</v>
      </c>
      <c r="L223" s="466">
        <v>10031</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279574</v>
      </c>
      <c r="E229" s="616"/>
      <c r="F229" s="616"/>
      <c r="G229" s="616"/>
      <c r="H229" s="616"/>
      <c r="I229" s="616"/>
      <c r="J229" s="616"/>
      <c r="K229" s="1670">
        <f>SUM(K215:K228)</f>
        <v>279574</v>
      </c>
      <c r="L229" s="1670">
        <f>SUM(L215:L228)</f>
        <v>292683</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1725</v>
      </c>
      <c r="E232" s="616"/>
      <c r="F232" s="616"/>
      <c r="G232" s="616"/>
      <c r="H232" s="616"/>
      <c r="I232" s="616"/>
      <c r="J232" s="616"/>
      <c r="K232" s="1671">
        <f t="shared" ref="K232:K237" si="20">D232</f>
        <v>1725</v>
      </c>
      <c r="L232" s="466">
        <v>1857</v>
      </c>
    </row>
    <row r="233" spans="1:12" x14ac:dyDescent="0.2">
      <c r="A233" s="1504" t="s">
        <v>1090</v>
      </c>
      <c r="B233" s="614">
        <v>2120</v>
      </c>
      <c r="C233" s="616"/>
      <c r="D233" s="466">
        <v>1884</v>
      </c>
      <c r="E233" s="616"/>
      <c r="F233" s="616"/>
      <c r="G233" s="616"/>
      <c r="H233" s="616"/>
      <c r="I233" s="616"/>
      <c r="J233" s="616"/>
      <c r="K233" s="1671">
        <f t="shared" si="20"/>
        <v>1884</v>
      </c>
      <c r="L233" s="466">
        <v>1974</v>
      </c>
    </row>
    <row r="234" spans="1:12" x14ac:dyDescent="0.2">
      <c r="A234" s="1504" t="s">
        <v>198</v>
      </c>
      <c r="B234" s="614">
        <v>2130</v>
      </c>
      <c r="C234" s="616"/>
      <c r="D234" s="466">
        <v>13738</v>
      </c>
      <c r="E234" s="616"/>
      <c r="F234" s="616"/>
      <c r="G234" s="616"/>
      <c r="H234" s="616"/>
      <c r="I234" s="616"/>
      <c r="J234" s="616"/>
      <c r="K234" s="1671">
        <f t="shared" si="20"/>
        <v>13738</v>
      </c>
      <c r="L234" s="466">
        <v>15764</v>
      </c>
    </row>
    <row r="235" spans="1:12" x14ac:dyDescent="0.2">
      <c r="A235" s="1504" t="s">
        <v>199</v>
      </c>
      <c r="B235" s="614">
        <v>2140</v>
      </c>
      <c r="C235" s="616"/>
      <c r="D235" s="466">
        <v>322</v>
      </c>
      <c r="E235" s="616"/>
      <c r="F235" s="616"/>
      <c r="G235" s="616"/>
      <c r="H235" s="616"/>
      <c r="I235" s="616"/>
      <c r="J235" s="616"/>
      <c r="K235" s="1671">
        <f t="shared" si="20"/>
        <v>322</v>
      </c>
      <c r="L235" s="466"/>
    </row>
    <row r="236" spans="1:12" x14ac:dyDescent="0.2">
      <c r="A236" s="1504" t="s">
        <v>200</v>
      </c>
      <c r="B236" s="614">
        <v>2150</v>
      </c>
      <c r="C236" s="616"/>
      <c r="D236" s="466">
        <v>2614</v>
      </c>
      <c r="E236" s="616"/>
      <c r="F236" s="616"/>
      <c r="G236" s="616"/>
      <c r="H236" s="616"/>
      <c r="I236" s="616"/>
      <c r="J236" s="616"/>
      <c r="K236" s="1671">
        <f t="shared" si="20"/>
        <v>2614</v>
      </c>
      <c r="L236" s="466">
        <v>2661</v>
      </c>
    </row>
    <row r="237" spans="1:12" x14ac:dyDescent="0.2">
      <c r="A237" s="1504" t="s">
        <v>165</v>
      </c>
      <c r="B237" s="614">
        <v>2190</v>
      </c>
      <c r="C237" s="616"/>
      <c r="D237" s="466">
        <v>1762</v>
      </c>
      <c r="E237" s="616"/>
      <c r="F237" s="616"/>
      <c r="G237" s="616"/>
      <c r="H237" s="616"/>
      <c r="I237" s="616"/>
      <c r="J237" s="616"/>
      <c r="K237" s="1671">
        <f t="shared" si="20"/>
        <v>1762</v>
      </c>
      <c r="L237" s="466">
        <v>2907</v>
      </c>
    </row>
    <row r="238" spans="1:12" ht="12.75" customHeight="1" thickBot="1" x14ac:dyDescent="0.25">
      <c r="A238" s="1668" t="s">
        <v>560</v>
      </c>
      <c r="B238" s="1675" t="s">
        <v>716</v>
      </c>
      <c r="C238" s="616"/>
      <c r="D238" s="1670">
        <f>SUM(D232:D237)</f>
        <v>22045</v>
      </c>
      <c r="E238" s="616"/>
      <c r="F238" s="616"/>
      <c r="G238" s="616"/>
      <c r="H238" s="616"/>
      <c r="I238" s="616"/>
      <c r="J238" s="616"/>
      <c r="K238" s="1670">
        <f>SUM(K232:K237)</f>
        <v>22045</v>
      </c>
      <c r="L238" s="1670">
        <f>SUM(L232:L237)</f>
        <v>25163</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994</v>
      </c>
      <c r="E240" s="616"/>
      <c r="F240" s="616"/>
      <c r="G240" s="616"/>
      <c r="H240" s="616"/>
      <c r="I240" s="616"/>
      <c r="J240" s="616"/>
      <c r="K240" s="1672">
        <f>D240</f>
        <v>994</v>
      </c>
      <c r="L240" s="481">
        <v>1030</v>
      </c>
    </row>
    <row r="241" spans="1:12" x14ac:dyDescent="0.2">
      <c r="A241" s="1504" t="s">
        <v>815</v>
      </c>
      <c r="B241" s="614">
        <v>2220</v>
      </c>
      <c r="C241" s="616"/>
      <c r="D241" s="466">
        <v>1865</v>
      </c>
      <c r="E241" s="616"/>
      <c r="F241" s="616"/>
      <c r="G241" s="616"/>
      <c r="H241" s="616"/>
      <c r="I241" s="616"/>
      <c r="J241" s="616"/>
      <c r="K241" s="1672">
        <f>D241</f>
        <v>1865</v>
      </c>
      <c r="L241" s="466">
        <v>2061</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2859</v>
      </c>
      <c r="E243" s="616"/>
      <c r="F243" s="616"/>
      <c r="G243" s="616"/>
      <c r="H243" s="616"/>
      <c r="I243" s="616"/>
      <c r="J243" s="616"/>
      <c r="K243" s="1670">
        <f>SUM(K240:K242)</f>
        <v>2859</v>
      </c>
      <c r="L243" s="1670">
        <f>SUM(L240:L242)</f>
        <v>3091</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1597</v>
      </c>
      <c r="E246" s="616"/>
      <c r="F246" s="616"/>
      <c r="G246" s="616"/>
      <c r="H246" s="616"/>
      <c r="I246" s="616"/>
      <c r="J246" s="616"/>
      <c r="K246" s="1672">
        <f t="shared" ref="K246:K256" si="21">D246</f>
        <v>1597</v>
      </c>
      <c r="L246" s="466">
        <v>1668</v>
      </c>
    </row>
    <row r="247" spans="1:12" x14ac:dyDescent="0.2">
      <c r="A247" s="1504" t="s">
        <v>819</v>
      </c>
      <c r="B247" s="614">
        <v>2330</v>
      </c>
      <c r="C247" s="616"/>
      <c r="D247" s="466">
        <v>64</v>
      </c>
      <c r="E247" s="616"/>
      <c r="F247" s="616"/>
      <c r="G247" s="616"/>
      <c r="H247" s="616"/>
      <c r="I247" s="616"/>
      <c r="J247" s="616"/>
      <c r="K247" s="1672">
        <f t="shared" si="21"/>
        <v>64</v>
      </c>
      <c r="L247" s="466">
        <v>76</v>
      </c>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1661</v>
      </c>
      <c r="E257" s="616"/>
      <c r="F257" s="616"/>
      <c r="G257" s="616"/>
      <c r="H257" s="616"/>
      <c r="I257" s="616"/>
      <c r="J257" s="616"/>
      <c r="K257" s="1670">
        <f>SUM(K245:K256)</f>
        <v>1661</v>
      </c>
      <c r="L257" s="1670">
        <f>SUM(L245:L256)</f>
        <v>1744</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60717</v>
      </c>
      <c r="E259" s="616"/>
      <c r="F259" s="616"/>
      <c r="G259" s="616"/>
      <c r="H259" s="616"/>
      <c r="I259" s="616"/>
      <c r="J259" s="616"/>
      <c r="K259" s="1672">
        <f>D259</f>
        <v>60717</v>
      </c>
      <c r="L259" s="481">
        <v>67423</v>
      </c>
    </row>
    <row r="260" spans="1:14" s="597" customFormat="1" x14ac:dyDescent="0.2">
      <c r="A260" s="1522" t="s">
        <v>1801</v>
      </c>
      <c r="B260" s="628">
        <v>2490</v>
      </c>
      <c r="C260" s="616"/>
      <c r="D260" s="466">
        <v>53</v>
      </c>
      <c r="E260" s="616"/>
      <c r="F260" s="616"/>
      <c r="G260" s="616"/>
      <c r="H260" s="616"/>
      <c r="I260" s="616"/>
      <c r="J260" s="616"/>
      <c r="K260" s="1672">
        <f>D260</f>
        <v>53</v>
      </c>
      <c r="L260" s="466"/>
      <c r="M260" s="210"/>
      <c r="N260" s="210"/>
    </row>
    <row r="261" spans="1:14" ht="12.75" customHeight="1" thickBot="1" x14ac:dyDescent="0.25">
      <c r="A261" s="1692" t="s">
        <v>263</v>
      </c>
      <c r="B261" s="1697" t="s">
        <v>34</v>
      </c>
      <c r="C261" s="616"/>
      <c r="D261" s="1670">
        <f>SUM(D259:D260)</f>
        <v>60770</v>
      </c>
      <c r="E261" s="616"/>
      <c r="F261" s="616"/>
      <c r="G261" s="616"/>
      <c r="H261" s="616"/>
      <c r="I261" s="616"/>
      <c r="J261" s="616"/>
      <c r="K261" s="1670">
        <f>SUM(K259:K260)</f>
        <v>60770</v>
      </c>
      <c r="L261" s="1670">
        <f>SUM(L259:L260)</f>
        <v>67423</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37835</v>
      </c>
      <c r="E264" s="616"/>
      <c r="F264" s="616"/>
      <c r="G264" s="616"/>
      <c r="H264" s="616"/>
      <c r="I264" s="616"/>
      <c r="J264" s="616"/>
      <c r="K264" s="1672">
        <f t="shared" ref="K264:K269" si="22">D264</f>
        <v>37835</v>
      </c>
      <c r="L264" s="466">
        <v>39461</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123413</v>
      </c>
      <c r="E266" s="616"/>
      <c r="F266" s="616"/>
      <c r="G266" s="616"/>
      <c r="H266" s="616"/>
      <c r="I266" s="616"/>
      <c r="J266" s="616"/>
      <c r="K266" s="1672">
        <f t="shared" si="22"/>
        <v>123413</v>
      </c>
      <c r="L266" s="466">
        <v>130192</v>
      </c>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v>68038</v>
      </c>
      <c r="E268" s="616"/>
      <c r="F268" s="616"/>
      <c r="G268" s="616"/>
      <c r="H268" s="616"/>
      <c r="I268" s="616"/>
      <c r="J268" s="616"/>
      <c r="K268" s="1672">
        <f t="shared" si="22"/>
        <v>68038</v>
      </c>
      <c r="L268" s="466">
        <v>62281</v>
      </c>
    </row>
    <row r="269" spans="1:14" x14ac:dyDescent="0.2">
      <c r="A269" s="1504" t="s">
        <v>101</v>
      </c>
      <c r="B269" s="614">
        <v>2570</v>
      </c>
      <c r="C269" s="616"/>
      <c r="D269" s="466">
        <v>144</v>
      </c>
      <c r="E269" s="616"/>
      <c r="F269" s="616"/>
      <c r="G269" s="616"/>
      <c r="H269" s="616"/>
      <c r="I269" s="616"/>
      <c r="J269" s="616"/>
      <c r="K269" s="1672">
        <f t="shared" si="22"/>
        <v>144</v>
      </c>
      <c r="L269" s="466"/>
    </row>
    <row r="270" spans="1:14" ht="12.75" customHeight="1" thickBot="1" x14ac:dyDescent="0.25">
      <c r="A270" s="1668" t="s">
        <v>719</v>
      </c>
      <c r="B270" s="1675" t="s">
        <v>35</v>
      </c>
      <c r="C270" s="616"/>
      <c r="D270" s="1670">
        <f>SUM(D263:D269)</f>
        <v>229430</v>
      </c>
      <c r="E270" s="616"/>
      <c r="F270" s="616"/>
      <c r="G270" s="616"/>
      <c r="H270" s="616"/>
      <c r="I270" s="616"/>
      <c r="J270" s="616"/>
      <c r="K270" s="1670">
        <f>SUM(K263:K269)</f>
        <v>229430</v>
      </c>
      <c r="L270" s="1670">
        <f>SUM(L263:L269)</f>
        <v>231934</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316765</v>
      </c>
      <c r="E279" s="616"/>
      <c r="F279" s="616"/>
      <c r="G279" s="616"/>
      <c r="H279" s="616"/>
      <c r="I279" s="616"/>
      <c r="J279" s="616"/>
      <c r="K279" s="1677">
        <f>SUM(K238,K243,K257,K261,K270,K277,K278)</f>
        <v>316765</v>
      </c>
      <c r="L279" s="1677">
        <f>SUM(L238,L243,L257,L261,L270,L277,L278)</f>
        <v>329355</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1841</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85" t="s">
        <v>505</v>
      </c>
      <c r="B295" s="2186"/>
      <c r="C295" s="616"/>
      <c r="D295" s="1670">
        <f>SUM(D229,D279,D280,D285)</f>
        <v>596339</v>
      </c>
      <c r="E295" s="616"/>
      <c r="F295" s="616"/>
      <c r="G295" s="616"/>
      <c r="H295" s="1670">
        <f>H293</f>
        <v>0</v>
      </c>
      <c r="I295" s="616"/>
      <c r="J295" s="616"/>
      <c r="K295" s="1670">
        <f>SUM(K229,K279,K280,K285,K293,K294)</f>
        <v>596339</v>
      </c>
      <c r="L295" s="1670">
        <f>SUM(L229,L279,L280,L285,L293,L294)</f>
        <v>622038</v>
      </c>
    </row>
    <row r="296" spans="1:14" ht="13.5" thickTop="1" x14ac:dyDescent="0.2">
      <c r="A296" s="2167" t="s">
        <v>996</v>
      </c>
      <c r="B296" s="2168"/>
      <c r="C296" s="616"/>
      <c r="D296" s="618"/>
      <c r="E296" s="616"/>
      <c r="F296" s="616"/>
      <c r="G296" s="616"/>
      <c r="H296" s="687"/>
      <c r="I296" s="616"/>
      <c r="J296" s="616"/>
      <c r="K296" s="1684">
        <f>'Revenues 9-14'!G268-'Expenditures 15-22'!K295</f>
        <v>-23532</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7" t="s">
        <v>143</v>
      </c>
      <c r="B298" s="217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82" t="s">
        <v>277</v>
      </c>
      <c r="B312" s="2183"/>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8" t="s">
        <v>996</v>
      </c>
      <c r="B313" s="2179"/>
      <c r="C313" s="626"/>
      <c r="D313" s="626"/>
      <c r="E313" s="626"/>
      <c r="F313" s="626"/>
      <c r="G313" s="626"/>
      <c r="H313" s="626"/>
      <c r="I313" s="626"/>
      <c r="J313" s="626"/>
      <c r="K313" s="1685">
        <f>'Revenues 9-14'!H268-'Expenditures 15-22'!K312</f>
        <v>100261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1" t="s">
        <v>149</v>
      </c>
      <c r="B315" s="219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3" t="s">
        <v>898</v>
      </c>
      <c r="B317" s="219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1802</v>
      </c>
      <c r="B320" s="698" t="s">
        <v>282</v>
      </c>
      <c r="C320" s="467"/>
      <c r="D320" s="467"/>
      <c r="E320" s="467">
        <v>203418</v>
      </c>
      <c r="F320" s="467"/>
      <c r="G320" s="467"/>
      <c r="H320" s="467"/>
      <c r="I320" s="467"/>
      <c r="J320" s="467"/>
      <c r="K320" s="1671">
        <f t="shared" ref="K320:K327" si="24">SUM(C320:J320)</f>
        <v>203418</v>
      </c>
      <c r="L320" s="467">
        <v>203419</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148153</v>
      </c>
      <c r="F322" s="467"/>
      <c r="G322" s="467"/>
      <c r="H322" s="467"/>
      <c r="I322" s="467"/>
      <c r="J322" s="467"/>
      <c r="K322" s="1671">
        <f t="shared" si="24"/>
        <v>148153</v>
      </c>
      <c r="L322" s="467">
        <v>148418</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v>5000</v>
      </c>
      <c r="F324" s="467"/>
      <c r="G324" s="467"/>
      <c r="H324" s="467"/>
      <c r="I324" s="467"/>
      <c r="J324" s="467"/>
      <c r="K324" s="1671">
        <f t="shared" si="24"/>
        <v>5000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23080</v>
      </c>
      <c r="F327" s="467"/>
      <c r="G327" s="467"/>
      <c r="H327" s="467"/>
      <c r="I327" s="467"/>
      <c r="J327" s="467"/>
      <c r="K327" s="1671">
        <f t="shared" si="24"/>
        <v>23080</v>
      </c>
      <c r="L327" s="467">
        <v>37000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379651</v>
      </c>
      <c r="F330" s="1670">
        <f t="shared" si="25"/>
        <v>0</v>
      </c>
      <c r="G330" s="1670">
        <f t="shared" si="25"/>
        <v>0</v>
      </c>
      <c r="H330" s="1670">
        <f t="shared" si="25"/>
        <v>0</v>
      </c>
      <c r="I330" s="1670">
        <f t="shared" si="25"/>
        <v>0</v>
      </c>
      <c r="J330" s="1670">
        <f t="shared" si="25"/>
        <v>0</v>
      </c>
      <c r="K330" s="1670">
        <f>SUM(K319:K329)</f>
        <v>379651</v>
      </c>
      <c r="L330" s="1670">
        <f>SUM(L319:L329)</f>
        <v>388837</v>
      </c>
      <c r="M330" s="665"/>
      <c r="N330" s="665"/>
    </row>
    <row r="331" spans="1:14" s="674" customFormat="1" ht="12.75" customHeight="1" thickTop="1" x14ac:dyDescent="0.2">
      <c r="A331" s="1831" t="s">
        <v>1847</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1841</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1843</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1848</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379651</v>
      </c>
      <c r="F342" s="1670">
        <f>SUM(F330)</f>
        <v>0</v>
      </c>
      <c r="G342" s="1670">
        <f>SUM(G330)</f>
        <v>0</v>
      </c>
      <c r="H342" s="1670">
        <f>SUM(H330,H334,H340)</f>
        <v>0</v>
      </c>
      <c r="I342" s="1670">
        <f>SUM(I330)</f>
        <v>0</v>
      </c>
      <c r="J342" s="1670">
        <f>SUM(J330)</f>
        <v>0</v>
      </c>
      <c r="K342" s="1670">
        <f>SUM(K330,K334,K340)</f>
        <v>379651</v>
      </c>
      <c r="L342" s="1677">
        <f>SUM(L330,L340,L341)</f>
        <v>388837</v>
      </c>
    </row>
    <row r="343" spans="1:14" ht="12.75" customHeight="1" thickTop="1" x14ac:dyDescent="0.2">
      <c r="A343" s="2180" t="s">
        <v>996</v>
      </c>
      <c r="B343" s="2181"/>
      <c r="C343" s="616"/>
      <c r="D343" s="616"/>
      <c r="E343" s="616"/>
      <c r="F343" s="616"/>
      <c r="G343" s="616"/>
      <c r="H343" s="616"/>
      <c r="I343" s="616"/>
      <c r="J343" s="616"/>
      <c r="K343" s="1684">
        <f>'Revenues 9-14'!J268-'Expenditures 15-22'!K342</f>
        <v>98480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0" t="s">
        <v>966</v>
      </c>
      <c r="B345" s="217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c r="I354" s="701"/>
      <c r="J354" s="616"/>
      <c r="K354" s="1699">
        <f>H354</f>
        <v>0</v>
      </c>
      <c r="L354" s="471"/>
    </row>
    <row r="355" spans="1:14" ht="12.75" customHeight="1" x14ac:dyDescent="0.2">
      <c r="A355" s="1513" t="s">
        <v>1850</v>
      </c>
      <c r="B355" s="690" t="s">
        <v>1843</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67" t="s">
        <v>996</v>
      </c>
      <c r="B368" s="2168"/>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orizontalCentered="1" headings="1" gridLinesSet="0"/>
  <pageMargins left="0.1" right="0.2" top="1.1100000000000001" bottom="0.5" header="0.53" footer="0.35"/>
  <pageSetup scale="65"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6ce3111e-7420-4802-b50a-75d4e9a0b980"/>
    <ds:schemaRef ds:uri="d21dc803-237d-4c68-8692-8d731fd29118"/>
    <ds:schemaRef ds:uri="http://purl.org/dc/dcmitype/"/>
    <ds:schemaRef ds:uri="http://purl.org/dc/elements/1.1/"/>
    <ds:schemaRef ds:uri="http://purl.org/dc/terms/"/>
    <ds:schemaRef ds:uri="4d435f69-8686-490b-bd6d-b153bf22ab50"/>
    <ds:schemaRef ds:uri="http://schemas.openxmlformats.org/package/2006/metadata/core-properties"/>
    <ds:schemaRef ds:uri="http://schemas.microsoft.com/office/infopath/2007/PartnerControls"/>
    <ds:schemaRef ds:uri="http://schemas.microsoft.com/sharepoint/v3"/>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16</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SEFA-1</vt:lpstr>
      <vt:lpstr>SEFA-2</vt:lpstr>
      <vt:lpstr>SEFA-3</vt:lpstr>
      <vt:lpstr>SEFA-4</vt:lpstr>
      <vt:lpstr>SEFA NOTES</vt:lpstr>
      <vt:lpstr>SF&amp;QC Sec-1</vt:lpstr>
      <vt:lpstr>SF&amp;QC Sec-2.1</vt:lpstr>
      <vt:lpstr>SF&amp;QC Sec 2.2</vt:lpstr>
      <vt:lpstr>SF&amp;QC Sec-3.1</vt:lpstr>
      <vt:lpstr>SF&amp;QC Sec 3.2</vt:lpstr>
      <vt:lpstr>SSPAF</vt:lpstr>
      <vt:lpstr>'SEFA NOTES'!Print_Area</vt:lpstr>
      <vt:lpstr>'SEFA Reconcile'!Print_Area</vt:lpstr>
      <vt:lpstr>'SF&amp;QC Sec-1'!Print_Area</vt:lpstr>
      <vt:lpstr>'SF&amp;QC Sec-3.1'!Print_Area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2019-10-18T19:03:43Z</cp:lastPrinted>
  <dcterms:created xsi:type="dcterms:W3CDTF">2003-10-29T19:06:34Z</dcterms:created>
  <dcterms:modified xsi:type="dcterms:W3CDTF">2019-11-22T16:29:03Z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