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06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39" i="3" l="1"/>
  <c r="D39" i="3"/>
  <c r="C265" i="5" l="1"/>
  <c r="M19" i="3" l="1"/>
  <c r="I12" i="11"/>
  <c r="E50" i="29" l="1"/>
  <c r="E5" i="29"/>
  <c r="J31" i="8" l="1"/>
  <c r="F182" i="29" l="1"/>
  <c r="E182" i="29"/>
  <c r="F124" i="29"/>
  <c r="E124" i="29"/>
  <c r="F63" i="29"/>
  <c r="E49" i="29"/>
  <c r="D5" i="29"/>
  <c r="C5" i="29"/>
  <c r="C4" i="3"/>
  <c r="H12" i="145" l="1"/>
  <c r="L322" i="29" l="1"/>
  <c r="L10" i="37"/>
  <c r="H10" i="37"/>
  <c r="F10" i="37"/>
  <c r="D10"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6"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B7001" i="106" s="1"/>
  <c r="D7001" i="106" s="1"/>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D24" i="37"/>
  <c r="B4270" i="106" s="1"/>
  <c r="D4270" i="106" s="1"/>
  <c r="B5752" i="106"/>
  <c r="D5752" i="106" s="1"/>
  <c r="D17" i="7"/>
  <c r="B4104" i="106" s="1"/>
  <c r="D4104" i="106" s="1"/>
  <c r="F50" i="34" l="1"/>
  <c r="C352" i="29"/>
  <c r="I24" i="12"/>
  <c r="B1996" i="106" s="1"/>
  <c r="D1996" i="106" s="1"/>
  <c r="C342" i="29"/>
  <c r="B7216" i="106" s="1"/>
  <c r="D7216" i="106" s="1"/>
  <c r="B2734" i="106"/>
  <c r="D2734" i="106" s="1"/>
  <c r="B1308" i="106"/>
  <c r="D1308" i="106" s="1"/>
  <c r="E174" i="29"/>
  <c r="B1309" i="106" s="1"/>
  <c r="D1309" i="106" s="1"/>
  <c r="F46" i="34"/>
  <c r="J41" i="3"/>
  <c r="H365" i="29"/>
  <c r="B7242" i="106" s="1"/>
  <c r="D7242" i="106" s="1"/>
  <c r="B7047" i="106"/>
  <c r="D7047" i="106" s="1"/>
  <c r="I129" i="29"/>
  <c r="B7037" i="106" s="1"/>
  <c r="D7037" i="106" s="1"/>
  <c r="F42" i="34"/>
  <c r="G15" i="145"/>
  <c r="F72" i="34"/>
  <c r="B7235" i="106"/>
  <c r="D7235" i="106" s="1"/>
  <c r="B1274" i="106"/>
  <c r="D1274" i="106" s="1"/>
  <c r="D9" i="7"/>
  <c r="B1767" i="106" s="1"/>
  <c r="D1767" i="106" s="1"/>
  <c r="G29" i="108"/>
  <c r="E29" i="108"/>
  <c r="K184" i="29"/>
  <c r="F13" i="4" s="1"/>
  <c r="B2596" i="106" s="1"/>
  <c r="D2596" i="106" s="1"/>
  <c r="F28" i="108"/>
  <c r="F41" i="108" s="1"/>
  <c r="G43" i="108" s="1"/>
  <c r="C129" i="29"/>
  <c r="C151" i="29" s="1"/>
  <c r="B1226" i="106" s="1"/>
  <c r="D1226" i="106" s="1"/>
  <c r="F34" i="34"/>
  <c r="L342" i="29"/>
  <c r="H29" i="118"/>
  <c r="B4268" i="106"/>
  <c r="D4268" i="106" s="1"/>
  <c r="D31" i="36"/>
  <c r="L15" i="11"/>
  <c r="B3459" i="106" s="1"/>
  <c r="D3459" i="106" s="1"/>
  <c r="L5" i="11"/>
  <c r="B2056" i="106" s="1"/>
  <c r="D2056" i="106" s="1"/>
  <c r="I26" i="12"/>
  <c r="B7741" i="106" s="1"/>
  <c r="D7741" i="106" s="1"/>
  <c r="J22" i="37"/>
  <c r="H28" i="118"/>
  <c r="D22" i="37"/>
  <c r="F19" i="7"/>
  <c r="B1807" i="106" s="1"/>
  <c r="D1807" i="106" s="1"/>
  <c r="J77" i="4"/>
  <c r="B6262" i="106" s="1"/>
  <c r="D6262" i="106" s="1"/>
  <c r="K76" i="4"/>
  <c r="B3586" i="106" s="1"/>
  <c r="D3586" i="106" s="1"/>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D7250" i="106"/>
  <c r="D7255" i="106"/>
  <c r="D7254" i="106"/>
  <c r="D7256" i="106"/>
  <c r="D7251" i="106"/>
  <c r="D7253" i="106"/>
  <c r="K28" i="118"/>
  <c r="O27" i="118" s="1"/>
  <c r="O29" i="118" s="1"/>
  <c r="K342" i="29"/>
  <c r="F13" i="34" s="1"/>
  <c r="B1317" i="106"/>
  <c r="D1317" i="106" s="1"/>
  <c r="B5527" i="106"/>
  <c r="D5527" i="106" s="1"/>
  <c r="C114" i="29"/>
  <c r="B757" i="106" s="1"/>
  <c r="D757" i="106" s="1"/>
  <c r="F174" i="34"/>
  <c r="D44" i="36"/>
  <c r="L16" i="11"/>
  <c r="B2061" i="106" s="1"/>
  <c r="D2061" i="106" s="1"/>
  <c r="K77" i="4"/>
  <c r="B3587" i="106" s="1"/>
  <c r="D358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J78" i="4" s="1"/>
  <c r="F8" i="4"/>
  <c r="F10" i="4" s="1"/>
  <c r="B4125" i="106" s="1"/>
  <c r="D4125" i="106" s="1"/>
  <c r="K17" i="4"/>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6230" i="106"/>
  <c r="D6230" i="106" s="1"/>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8" i="146" l="1"/>
  <c r="D10" i="146"/>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F177" i="34"/>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<sst xmlns="http://schemas.openxmlformats.org/spreadsheetml/2006/main" count="5064" uniqueCount="2091">
  <si>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</si>
  <si>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</si>
  <si>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</si>
  <si>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</si>
  <si>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</si>
  <si>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</si>
  <si>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</si>
  <si>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</si>
  <si>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</si>
  <si>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</si>
  <si>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</si>
  <si>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</si>
  <si>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</si>
  <si>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</si>
  <si>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</si>
  <si>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</si>
  <si>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</si>
  <si>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</si>
  <si>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</si>
  <si>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</si>
  <si>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</si>
  <si>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</si>
  <si>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</si>
  <si>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</si>
  <si>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</si>
  <si>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</si>
  <si>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</si>
  <si>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</si>
  <si>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</si>
  <si>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</si>
  <si>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</si>
  <si>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</si>
  <si>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</si>
  <si>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</si>
  <si>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</si>
  <si>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</si>
  <si>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</si>
  <si>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</si>
  <si>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</si>
  <si>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</si>
  <si>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</si>
  <si>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</si>
  <si>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</si>
  <si>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</si>
  <si>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</si>
  <si>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</si>
  <si>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</si>
  <si>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</si>
  <si>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</si>
  <si>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</si>
  <si>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</si>
  <si>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</si>
  <si>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</si>
  <si>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</si>
  <si>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</si>
  <si>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</si>
  <si>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</si>
  <si>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</si>
  <si>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</si>
  <si>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</si>
  <si>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</si>
  <si>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</si>
  <si>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</si>
  <si>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</si>
  <si>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</si>
  <si>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</si>
  <si>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</si>
  <si>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</si>
  <si>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</si>
  <si>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</si>
  <si>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</si>
  <si>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</si>
  <si>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</si>
  <si>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</si>
  <si>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</si>
  <si>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</si>
  <si>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</si>
  <si>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</si>
  <si>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</si>
  <si>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</si>
  <si>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</si>
  <si>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</si>
  <si>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</si>
  <si>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</si>
  <si>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</si>
  <si>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</si>
  <si>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</si>
  <si>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</si>
  <si>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</si>
  <si>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</si>
  <si>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</si>
  <si>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</si>
  <si>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</si>
  <si>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</si>
  <si>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</si>
  <si>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</si>
  <si>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</si>
  <si>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</si>
  <si>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</si>
  <si>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</si>
  <si>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</si>
  <si>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</si>
  <si>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</si>
  <si>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</si>
  <si>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</si>
  <si>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</si>
  <si>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</si>
  <si>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</si>
  <si>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</si>
  <si>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</si>
  <si>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</si>
  <si>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</si>
  <si>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</si>
  <si>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</si>
  <si>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</si>
  <si>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</si>
  <si>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</si>
  <si>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</si>
  <si>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</si>
  <si>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</si>
  <si>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</si>
  <si>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</si>
  <si>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</si>
  <si>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</si>
  <si>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</si>
  <si>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</si>
  <si>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</si>
  <si>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</si>
  <si>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</si>
  <si>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</si>
  <si>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</si>
  <si>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</si>
  <si>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</si>
  <si>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</si>
  <si>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</si>
  <si>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</si>
  <si>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</si>
  <si>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</si>
  <si>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</si>
  <si>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</si>
  <si>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</si>
  <si>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</si>
  <si>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</si>
  <si>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</si>
  <si>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</si>
  <si>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</si>
  <si>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</si>
  <si>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</si>
  <si>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</si>
  <si>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</si>
  <si>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</si>
  <si>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</si>
  <si>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</si>
  <si>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</si>
  <si>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</si>
  <si>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</si>
  <si>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</si>
  <si>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</si>
  <si>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</si>
  <si>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</si>
  <si>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</si>
  <si>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</si>
  <si>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</si>
  <si>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</si>
  <si>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</si>
  <si>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</si>
  <si>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</si>
  <si>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</si>
  <si>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</si>
  <si>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</si>
  <si>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</si>
  <si>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</si>
  <si>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</si>
  <si>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</si>
  <si>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</si>
  <si>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</si>
  <si>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</si>
  <si>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</si>
  <si>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</si>
  <si>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</si>
  <si>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</si>
  <si>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</si>
  <si>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</si>
  <si>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</si>
  <si>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</si>
  <si>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</si>
  <si>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</si>
  <si>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</si>
  <si>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</si>
  <si>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</si>
  <si>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</si>
  <si>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</si>
  <si>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</si>
  <si>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</si>
  <si>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</si>
  <si>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</si>
  <si>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</si>
  <si>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</si>
  <si>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</si>
  <si>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</si>
  <si>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</si>
  <si>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</si>
  <si>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</si>
  <si>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</si>
  <si>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</si>
  <si>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</si>
  <si>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</si>
  <si>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</si>
  <si>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</si>
  <si>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</si>
  <si>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</si>
  <si>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</si>
  <si>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</si>
  <si>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</si>
  <si>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</si>
  <si>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</si>
  <si>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</si>
  <si>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</si>
  <si>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</si>
  <si>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</si>
  <si>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</si>
  <si>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</si>
  <si>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</si>
  <si>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</si>
  <si>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</si>
  <si>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</si>
  <si>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</si>
  <si>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</si>
  <si>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</si>
  <si>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</si>
  <si>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</si>
  <si>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</si>
  <si>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</si>
  <si>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</si>
  <si>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</si>
  <si>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</si>
  <si>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</si>
  <si>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</si>
  <si>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</si>
  <si>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</si>
  <si>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</si>
  <si>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</si>
  <si>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</si>
  <si>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</si>
  <si>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</si>
  <si>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</si>
  <si>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</si>
  <si>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</si>
  <si>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</si>
  <si>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</si>
  <si>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</si>
  <si>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</si>
  <si>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</si>
  <si>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</si>
  <si>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</si>
  <si>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</si>
  <si>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</si>
  <si>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</si>
  <si>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</si>
  <si>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</si>
  <si>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</si>
  <si>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</si>
  <si>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</si>
  <si>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</si>
  <si>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</si>
  <si>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</si>
  <si>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</si>
  <si>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</si>
  <si>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</si>
  <si>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</si>
  <si>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</si>
  <si>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</si>
  <si>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</si>
  <si>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</si>
  <si>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</si>
  <si>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</si>
  <si>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</si>
  <si>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</si>
  <si>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</si>
  <si>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</si>
  <si>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</si>
  <si>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</si>
  <si>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</si>
  <si>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</si>
  <si>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</si>
  <si>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</si>
  <si>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</si>
  <si>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</si>
  <si>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</si>
  <si>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</si>
  <si>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</si>
  <si>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</si>
  <si>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</si>
  <si>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</si>
  <si>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</si>
  <si>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</si>
  <si>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</si>
  <si>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</si>
  <si>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</si>
  <si>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</si>
  <si>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</si>
  <si>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</si>
  <si>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</si>
  <si>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</si>
  <si>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</si>
  <si>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</si>
  <si>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</si>
  <si>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</si>
  <si>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</si>
  <si>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</si>
  <si>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</si>
  <si>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</si>
  <si>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</si>
  <si>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</si>
  <si>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</si>
  <si>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</si>
  <si>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</si>
  <si>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</si>
  <si>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</si>
  <si>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</si>
  <si>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</si>
  <si>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</si>
  <si>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</si>
  <si>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</si>
  <si>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</si>
  <si>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</si>
  <si>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</si>
  <si>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</si>
  <si>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</si>
  <si>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</si>
  <si>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</si>
  <si>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</si>
  <si>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</si>
  <si>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</si>
  <si>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</si>
  <si>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</si>
  <si>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</si>
  <si>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</si>
  <si>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</si>
  <si>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</si>
  <si>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</si>
  <si>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</si>
  <si>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</si>
  <si>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</si>
  <si>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</si>
  <si>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</si>
  <si>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</si>
  <si>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</si>
  <si>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</si>
  <si>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</si>
  <si>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</si>
  <si>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</si>
  <si>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</si>
  <si>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</si>
  <si>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</si>
  <si>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</si>
  <si>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</si>
  <si>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</si>
  <si>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</si>
  <si>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</si>
  <si>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</si>
  <si>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</si>
  <si>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</si>
  <si>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</si>
  <si>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</si>
  <si>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</si>
  <si>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</si>
  <si>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</si>
  <si>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</si>
  <si>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</si>
  <si>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</si>
  <si>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</si>
  <si>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</si>
  <si>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</si>
  <si>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</si>
  <si>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</si>
  <si>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</si>
  <si>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</si>
  <si>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</si>
  <si>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</si>
  <si>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</si>
  <si>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</si>
  <si>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</si>
  <si>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</si>
  <si>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</si>
  <si>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</si>
  <si>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</si>
  <si>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</si>
  <si>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</si>
  <si>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</si>
  <si>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</si>
  <si>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</si>
  <si>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</si>
  <si>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</si>
  <si>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</si>
  <si>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</si>
  <si>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</si>
  <si>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</si>
  <si>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</si>
  <si>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</si>
  <si>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</si>
  <si>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</si>
  <si>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</si>
  <si>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</si>
  <si>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</si>
  <si>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</si>
  <si>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</si>
  <si>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</si>
  <si>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</si>
  <si>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</si>
  <si>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</si>
  <si>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</si>
  <si>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</si>
  <si>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</si>
  <si>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</si>
  <si>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</si>
  <si>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</si>
  <si>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</si>
  <si>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</si>
  <si>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</si>
  <si>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</si>
  <si>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</si>
  <si>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</si>
  <si>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</si>
  <si>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</si>
  <si>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</si>
  <si>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</si>
  <si>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</si>
  <si>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</si>
  <si>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</si>
  <si>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</si>
  <si>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</si>
  <si>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</si>
  <si>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</si>
  <si>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</si>
  <si>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</si>
  <si>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</si>
  <si>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</si>
  <si>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</si>
  <si>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</si>
  <si>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</si>
  <si>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</si>
  <si>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</si>
  <si>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</si>
  <si>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</si>
  <si>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</si>
  <si>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</si>
  <si>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</si>
  <si>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</si>
  <si>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</si>
  <si>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</si>
  <si>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</si>
  <si>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</si>
  <si>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</si>
  <si>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</si>
  <si>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</si>
  <si>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</si>
  <si>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</si>
  <si>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</si>
  <si>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</si>
  <si>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</si>
  <si>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</si>
  <si>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</si>
  <si>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</si>
  <si>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</si>
  <si>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</si>
  <si>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</si>
  <si>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</si>
  <si>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</si>
  <si>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</si>
  <si>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</si>
  <si>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</si>
  <si>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</si>
  <si>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</si>
  <si>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</si>
  <si>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</si>
  <si>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</si>
  <si>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</si>
  <si>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</si>
  <si>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</si>
  <si>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</si>
  <si>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</si>
  <si>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</si>
  <si>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</si>
  <si>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</si>
  <si>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</si>
  <si>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</si>
  <si>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</si>
  <si>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</si>
  <si>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</si>
  <si>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</si>
  <si>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</si>
  <si>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</si>
  <si>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</si>
  <si>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</si>
  <si>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</si>
  <si>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</si>
  <si>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</si>
  <si>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</si>
  <si>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</si>
  <si>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</si>
  <si>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</si>
  <si>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</si>
  <si>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</si>
  <si>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</si>
  <si>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</si>
  <si>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</si>
  <si>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</si>
  <si>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</si>
  <si>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</si>
  <si>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</si>
  <si>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</si>
  <si>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</si>
  <si>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</si>
  <si>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</si>
  <si>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</si>
  <si>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</si>
  <si>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</si>
  <si>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</si>
  <si>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</si>
  <si>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</si>
  <si>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</si>
  <si>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</si>
  <si>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</si>
  <si>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</si>
  <si>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</si>
  <si>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</si>
  <si>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</si>
  <si>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</si>
  <si>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</si>
  <si>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</si>
  <si>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</si>
  <si>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</si>
  <si>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</si>
  <si>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</si>
  <si>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</si>
  <si>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</si>
  <si>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</si>
  <si>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</si>
  <si>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</si>
  <si>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</si>
  <si>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</si>
  <si>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</si>
  <si>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</si>
  <si>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</si>
  <si>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</si>
  <si>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</si>
  <si>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</si>
  <si>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</si>
  <si>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</si>
  <si>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</si>
  <si>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</si>
  <si>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</si>
  <si>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</si>
  <si>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</si>
  <si>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</si>
  <si>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</si>
  <si>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</si>
  <si>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</si>
  <si>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</si>
  <si>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</si>
  <si>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</si>
  <si>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</si>
  <si>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</si>
  <si>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</si>
  <si>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</si>
  <si>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</si>
  <si>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</si>
  <si>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</si>
  <si>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</si>
  <si>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</si>
  <si>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</si>
  <si>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</si>
  <si>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</si>
  <si>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</si>
  <si>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</si>
  <si>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</si>
  <si>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</si>
  <si>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</si>
  <si>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</si>
  <si>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</si>
  <si>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</si>
  <si>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</si>
  <si>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</si>
  <si>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</si>
  <si>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</si>
  <si>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</si>
  <si>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</si>
  <si>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</si>
  <si>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</si>
  <si>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</si>
  <si>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</si>
  <si>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</si>
  <si>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</si>
  <si>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</si>
  <si>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</si>
  <si>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</si>
  <si>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</si>
  <si>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</si>
  <si>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</si>
  <si>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</si>
  <si>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</si>
  <si>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</si>
  <si>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</si>
  <si>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</si>
  <si>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</si>
  <si>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</si>
  <si>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</si>
  <si>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</si>
  <si>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</si>
  <si>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</si>
  <si>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</si>
  <si>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</si>
  <si>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</si>
  <si>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</si>
  <si>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</si>
  <si>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</si>
  <si>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</si>
  <si>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</si>
  <si>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</si>
  <si>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</si>
  <si>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</si>
  <si>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</si>
  <si>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</si>
  <si>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</si>
  <si>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</si>
  <si>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</si>
  <si>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</si>
  <si>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</si>
  <si>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</si>
  <si>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</si>
  <si>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</si>
  <si>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</si>
  <si>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</si>
  <si>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</si>
  <si>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</si>
  <si>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</si>
  <si>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</si>
  <si>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</si>
  <si>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</si>
  <si>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</si>
  <si>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</si>
  <si>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</si>
  <si>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</si>
  <si>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</si>
  <si>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</si>
  <si>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</si>
  <si>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</si>
  <si>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</si>
  <si>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</si>
  <si>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</si>
  <si>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</si>
  <si>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</si>
  <si>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</si>
  <si>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</si>
  <si>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</si>
  <si>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</si>
  <si>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</si>
  <si>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</si>
  <si>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</si>
  <si>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</si>
  <si>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</si>
  <si>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</si>
  <si>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</si>
  <si>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</si>
  <si>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</si>
  <si>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</si>
  <si>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</si>
  <si>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</si>
  <si>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</si>
  <si>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</si>
  <si>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</si>
  <si>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</si>
  <si>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</si>
  <si>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</si>
  <si>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</si>
  <si>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</si>
  <si>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</si>
  <si>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</si>
  <si>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</si>
  <si>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</si>
  <si>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</si>
  <si>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</si>
  <si>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</si>
  <si>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</si>
  <si>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</si>
  <si>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</si>
  <si>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</si>
  <si>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</si>
  <si>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</si>
  <si>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</si>
  <si>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</si>
  <si>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</si>
  <si>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</si>
  <si>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</si>
  <si>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</si>
  <si>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</si>
  <si>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</si>
  <si>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</si>
  <si>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</si>
  <si>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</si>
  <si>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</si>
  <si>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</si>
  <si>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</si>
  <si>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</si>
  <si>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</si>
  <si>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</si>
  <si>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</si>
  <si>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</si>
  <si>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</si>
  <si>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</si>
  <si>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</si>
  <si>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</si>
  <si>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</si>
  <si>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</si>
  <si>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</si>
  <si>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</si>
  <si>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</si>
  <si>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</si>
  <si>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</si>
  <si>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</si>
  <si>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</si>
  <si>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</si>
  <si>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</si>
  <si>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</si>
  <si>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</si>
  <si>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</si>
  <si>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</si>
  <si>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</si>
  <si>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</si>
  <si>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</si>
  <si>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</si>
  <si>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</si>
  <si>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</si>
  <si>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</si>
  <si>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</si>
  <si>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</si>
  <si>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</si>
  <si>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</si>
  <si>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</si>
  <si>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</si>
  <si>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</si>
  <si>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</si>
  <si>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</si>
  <si>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</si>
  <si>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</si>
  <si>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</si>
  <si>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</si>
  <si>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</si>
  <si>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</si>
  <si>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</si>
  <si>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</si>
  <si>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</si>
  <si>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</si>
  <si>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</si>
  <si>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</si>
  <si>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</si>
  <si>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</si>
  <si>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</si>
  <si>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</si>
  <si>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</si>
  <si>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</si>
  <si>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</si>
  <si>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</si>
  <si>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</si>
  <si>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</si>
  <si>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</si>
  <si>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</si>
  <si>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</si>
  <si>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</si>
  <si>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</si>
  <si>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</si>
  <si>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</si>
  <si>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</si>
  <si>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</si>
  <si>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</si>
  <si>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</si>
  <si>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</si>
  <si>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</si>
  <si>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</si>
  <si>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</si>
  <si>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</si>
  <si>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</si>
  <si>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</si>
  <si>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</si>
  <si>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</si>
  <si>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</si>
  <si>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</si>
  <si>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</si>
  <si>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</si>
  <si>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</si>
  <si>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</si>
  <si>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</si>
  <si>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</si>
  <si>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</si>
  <si>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</si>
  <si>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</si>
  <si>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</si>
  <si>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</si>
  <si>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</si>
  <si>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</si>
  <si>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</si>
  <si>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</si>
  <si>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</si>
  <si>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</si>
  <si>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</si>
  <si>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</si>
  <si>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</si>
  <si>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</si>
  <si>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</si>
  <si>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</si>
  <si>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</si>
  <si>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</si>
  <si>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</si>
  <si>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</si>
  <si>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</si>
  <si>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</si>
  <si>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</si>
  <si>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</si>
  <si>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</si>
  <si>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</si>
  <si>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</si>
  <si>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</si>
  <si>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</si>
  <si>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</si>
  <si>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</si>
  <si>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</si>
  <si>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</si>
  <si>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</si>
  <si>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</si>
  <si>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</si>
  <si>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</si>
  <si>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</si>
  <si>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</si>
  <si>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</si>
  <si>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</si>
  <si>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</si>
  <si>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</si>
  <si>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</si>
  <si>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</si>
  <si>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</si>
  <si>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</si>
  <si>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</si>
  <si>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</si>
  <si>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</si>
  <si>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</si>
  <si>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</si>
  <si>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</si>
  <si>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</si>
  <si>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</si>
  <si>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</si>
  <si>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</si>
  <si>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</si>
  <si>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</si>
  <si>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</si>
  <si>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</si>
  <si>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</si>
  <si>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</si>
  <si>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</si>
  <si>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</si>
  <si>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</si>
  <si>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</si>
  <si>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</si>
  <si>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</si>
  <si>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</si>
  <si>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</si>
  <si>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</si>
  <si>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</si>
  <si>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</si>
  <si>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</si>
  <si>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</si>
  <si>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</si>
  <si>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</si>
  <si>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</si>
  <si>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</si>
  <si>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</si>
  <si>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</si>
  <si>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</si>
  <si>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</si>
  <si>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</si>
  <si>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</si>
  <si>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</si>
  <si>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</si>
  <si>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</si>
  <si>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</si>
  <si>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</si>
  <si>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</si>
  <si>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</si>
  <si>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</si>
  <si>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</si>
  <si>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</si>
  <si>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</si>
  <si>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</si>
  <si>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</si>
  <si>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</si>
  <si>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</si>
  <si>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</si>
  <si>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</si>
  <si>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</si>
  <si>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</si>
  <si>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</si>
  <si>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</si>
  <si>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</si>
  <si>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</si>
  <si>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</si>
  <si>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</si>
  <si>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</si>
  <si>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</si>
  <si>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</si>
  <si>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</si>
  <si>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</si>
  <si>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</si>
  <si>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</si>
  <si>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</si>
  <si>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</si>
  <si>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</si>
  <si>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</si>
  <si>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</si>
  <si>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</si>
  <si>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</si>
  <si>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</si>
  <si>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</si>
  <si>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</si>
  <si>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</si>
  <si>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</si>
  <si>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</si>
  <si>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</si>
  <si>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</si>
  <si>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</si>
  <si>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</si>
  <si>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</si>
  <si>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</si>
  <si>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</si>
  <si>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</si>
  <si>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</si>
  <si>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</si>
  <si>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</si>
  <si>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</si>
  <si>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</si>
  <si>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</si>
  <si>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</si>
  <si>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</si>
  <si>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</si>
  <si>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</si>
  <si>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</si>
  <si>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</si>
  <si>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</si>
  <si>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</si>
  <si>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</si>
  <si>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</si>
  <si>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</si>
  <si>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</si>
  <si>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</si>
  <si>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</si>
  <si>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</si>
  <si>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</si>
  <si>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</si>
  <si>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</si>
  <si>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</si>
  <si>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</si>
  <si>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</si>
  <si>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</si>
  <si>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</si>
  <si>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</si>
  <si>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</si>
  <si>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</si>
  <si>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</si>
  <si>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</si>
  <si>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</si>
  <si>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</si>
  <si>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</si>
  <si>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</si>
  <si>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</si>
  <si>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</si>
  <si>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</si>
  <si>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</si>
  <si>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</si>
  <si>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</si>
  <si>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</si>
  <si>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</si>
  <si>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</si>
  <si>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</si>
  <si>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</si>
  <si>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</si>
  <si>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</si>
  <si>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</si>
  <si>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</si>
  <si>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</si>
  <si>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</si>
  <si>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</si>
  <si>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</si>
  <si>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</si>
  <si>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</si>
  <si>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</si>
  <si>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</si>
  <si>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</si>
  <si>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</si>
  <si>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</si>
  <si>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</si>
  <si>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</si>
  <si>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</si>
  <si>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</si>
  <si>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</si>
  <si>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</si>
  <si>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</si>
  <si>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</si>
  <si>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</si>
  <si>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</si>
  <si>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</si>
  <si>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</si>
  <si>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</si>
  <si>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</si>
  <si>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</si>
  <si>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</si>
  <si>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</si>
  <si>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</si>
  <si>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</si>
  <si>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</si>
  <si>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</si>
  <si>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</si>
  <si>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</si>
  <si>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</si>
  <si>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</si>
  <si>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</si>
  <si>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</si>
  <si>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</si>
  <si>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</si>
  <si>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</si>
  <si>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</si>
  <si>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</si>
  <si>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</si>
  <si>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</si>
  <si>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</si>
  <si>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</si>
  <si>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</si>
  <si>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</si>
  <si>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</si>
  <si>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</si>
  <si>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</si>
  <si>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</si>
  <si>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</si>
  <si>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</si>
  <si>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</si>
  <si>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</si>
  <si>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</si>
  <si>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</si>
  <si>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</si>
  <si>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</si>
  <si>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</si>
  <si>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</si>
  <si>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</si>
  <si>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</si>
  <si>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</si>
  <si>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</si>
  <si>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</si>
  <si>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</si>
  <si>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</si>
  <si>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</si>
  <si>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</si>
  <si>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</si>
  <si>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</si>
  <si>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</si>
  <si>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</si>
  <si>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</si>
  <si>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</si>
  <si>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</si>
  <si>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</si>
  <si>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</si>
  <si>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</si>
  <si>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</si>
  <si>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</si>
  <si>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</si>
  <si>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</si>
  <si>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</si>
  <si>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</si>
  <si>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</si>
  <si>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</si>
  <si>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</si>
  <si>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</si>
  <si>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</si>
  <si>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</si>
  <si>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</si>
  <si>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</si>
  <si>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</si>
  <si>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</si>
  <si>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</si>
  <si>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</si>
  <si>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</si>
  <si>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</si>
  <si>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</si>
  <si>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</si>
  <si>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</si>
  <si>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</si>
  <si>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</si>
  <si>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</si>
  <si>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</si>
  <si>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</si>
  <si>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</si>
  <si>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</si>
  <si>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</si>
  <si>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</si>
  <si>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</si>
  <si>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</si>
  <si>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</si>
  <si>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</si>
  <si>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</si>
  <si>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</si>
  <si>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</si>
  <si>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</si>
  <si>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</si>
  <si>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</si>
  <si>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</si>
  <si>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</si>
  <si>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</si>
  <si>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</si>
  <si>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</si>
  <si>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</si>
  <si>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</si>
  <si>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</si>
  <si>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</si>
  <si>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</si>
  <si>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</si>
  <si>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</si>
  <si>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</si>
  <si>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</si>
  <si>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</si>
  <si>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</si>
  <si>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</si>
  <si>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</si>
  <si>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</si>
  <si>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</si>
  <si>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</si>
  <si>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</si>
  <si>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</si>
  <si>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</si>
  <si>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</si>
  <si>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</si>
  <si>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</si>
  <si>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</si>
  <si>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</si>
  <si>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</si>
  <si>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</si>
  <si>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</si>
  <si>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</si>
  <si>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</si>
  <si>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</si>
  <si>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</si>
  <si>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</si>
  <si>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</si>
  <si>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</si>
  <si>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</si>
  <si>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</si>
  <si>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</si>
  <si>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</si>
  <si>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</si>
  <si>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</si>
  <si>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</si>
  <si>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</si>
  <si>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</si>
  <si>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</si>
  <si>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</si>
  <si>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</si>
  <si>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</si>
  <si>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</si>
  <si>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</si>
  <si>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</si>
  <si>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</si>
  <si>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</si>
  <si>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</si>
  <si>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</si>
  <si>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</si>
  <si>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</si>
  <si>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</si>
  <si>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</si>
  <si>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</si>
  <si>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</si>
  <si>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</si>
  <si>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</si>
  <si>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</si>
  <si>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</si>
  <si>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</si>
  <si>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</si>
  <si>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</si>
  <si>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</si>
  <si>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</si>
  <si>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</si>
  <si>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</si>
  <si>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</si>
  <si>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</si>
  <si>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</si>
  <si>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</si>
  <si>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</si>
  <si>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</si>
  <si>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</si>
  <si>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</si>
  <si>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</si>
  <si>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</si>
  <si>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</si>
  <si>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</si>
  <si>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</si>
  <si>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</si>
  <si>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</si>
  <si>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</si>
  <si>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</si>
  <si>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</si>
  <si>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</si>
  <si>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</si>
  <si>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</si>
  <si>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</si>
  <si>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</si>
  <si>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</si>
  <si>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</si>
  <si>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</si>
  <si>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</si>
  <si>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</si>
  <si>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</si>
  <si>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</si>
  <si>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</si>
  <si>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</si>
  <si>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</si>
  <si>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</si>
  <si>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</si>
  <si>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</si>
  <si>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</si>
  <si>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</si>
  <si>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</si>
  <si>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</si>
  <si>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</si>
  <si>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</si>
  <si>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</si>
  <si>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</si>
  <si>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</si>
  <si>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</si>
  <si>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</si>
  <si>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</si>
  <si>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</si>
  <si>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</si>
  <si>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</si>
  <si>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</si>
  <si>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</si>
  <si>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</si>
  <si>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</si>
  <si>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</si>
  <si>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</si>
  <si>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</si>
  <si>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</si>
  <si>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</si>
  <si>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</si>
  <si>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</si>
  <si>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</si>
  <si>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</si>
  <si>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</si>
  <si>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</si>
  <si>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</si>
  <si>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</si>
  <si>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</si>
  <si>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</si>
  <si>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</si>
  <si>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</si>
  <si>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</si>
  <si>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</si>
  <si>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</si>
  <si>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</si>
  <si>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</si>
  <si>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</si>
  <si>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</si>
  <si>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</si>
  <si>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</si>
  <si>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</si>
  <si>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</si>
  <si>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</si>
  <si>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</si>
  <si>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</si>
  <si>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</si>
  <si>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</si>
  <si>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</si>
  <si>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</si>
  <si>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</si>
  <si>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</si>
  <si>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</si>
  <si>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</si>
  <si>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</si>
  <si>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</si>
  <si>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</si>
  <si>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</si>
  <si>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</si>
  <si>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</si>
  <si>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</si>
  <si>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</si>
  <si>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</si>
  <si>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</si>
  <si>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</si>
  <si>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</si>
  <si>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</si>
  <si>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</si>
  <si>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</si>
  <si>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</si>
  <si>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</si>
  <si>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</si>
  <si>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</si>
  <si>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</si>
  <si>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</si>
  <si>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</si>
  <si>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</si>
  <si>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</si>
  <si>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</si>
  <si>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</si>
  <si>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</si>
  <si>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</si>
  <si>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</si>
  <si>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</si>
  <si>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</si>
  <si>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</si>
  <si>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</si>
  <si>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</si>
  <si>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</si>
  <si>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</si>
  <si>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</si>
  <si>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</si>
  <si>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</si>
  <si>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</si>
  <si>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</si>
  <si>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</si>
  <si>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</si>
  <si>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</si>
  <si>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</si>
  <si>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</si>
  <si>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</si>
  <si>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</si>
  <si>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</si>
  <si>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</si>
  <si>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</si>
  <si>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</si>
  <si>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</si>
  <si>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</si>
  <si>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</si>
  <si>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</si>
  <si>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</si>
  <si>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</si>
  <si>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</si>
  <si>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</si>
  <si>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</si>
  <si>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</si>
  <si>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</si>
  <si>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</si>
  <si>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</si>
  <si>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</si>
  <si>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</si>
  <si>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</si>
  <si>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</si>
  <si>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</si>
  <si>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</si>
  <si>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</si>
  <si>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</si>
  <si>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</si>
  <si>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</si>
  <si>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</si>
  <si>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</si>
  <si>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</si>
  <si>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</si>
  <si>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</si>
  <si>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</si>
  <si>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</si>
  <si>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</si>
  <si>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</si>
  <si>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</si>
  <si>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</si>
  <si>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</si>
  <si>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</si>
  <si>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</si>
  <si>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</si>
  <si>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</si>
  <si>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</si>
  <si>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</si>
  <si>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</si>
  <si>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</si>
  <si>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</si>
  <si>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</si>
  <si>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</si>
  <si>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</si>
  <si>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</si>
  <si>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</si>
  <si>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</si>
  <si>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</si>
  <si>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</si>
  <si>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</si>
  <si>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</si>
  <si>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</si>
  <si>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</si>
  <si>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</si>
  <si>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</si>
  <si>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</si>
  <si>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</si>
  <si>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</si>
  <si>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</si>
  <si>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</si>
  <si>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</si>
  <si>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</si>
  <si>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</si>
  <si>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</si>
  <si>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</si>
  <si>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</si>
  <si>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</si>
  <si>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</si>
  <si>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</si>
  <si>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</si>
  <si>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</si>
  <si>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</si>
  <si>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</si>
  <si>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</si>
  <si>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</si>
  <si>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</si>
  <si>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</si>
  <si>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</si>
  <si>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</si>
  <si>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</si>
  <si>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</si>
  <si>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</si>
  <si>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</si>
  <si>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</si>
  <si>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</si>
  <si>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</si>
  <si>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</si>
  <si>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</si>
  <si>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</si>
  <si>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</si>
  <si>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</si>
  <si>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</si>
  <si>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</si>
  <si>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</si>
  <si>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</si>
  <si>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</si>
  <si>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</si>
  <si>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</si>
  <si>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</si>
  <si>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</si>
  <si>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</si>
  <si>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</si>
  <si>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</si>
  <si>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</si>
  <si>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</si>
  <si>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</si>
  <si>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</si>
  <si>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</si>
  <si>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</si>
  <si>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</si>
  <si>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</si>
  <si>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</si>
  <si>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</si>
  <si>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</si>
  <si>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</si>
  <si>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</si>
  <si>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</si>
  <si>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</si>
  <si>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</si>
  <si>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</si>
  <si>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</si>
  <si>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</si>
  <si>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</si>
  <si>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</si>
  <si>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</si>
  <si>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</si>
  <si>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</si>
  <si>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</si>
  <si>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</si>
  <si>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</si>
  <si>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</si>
  <si>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</si>
  <si>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</si>
  <si>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</si>
  <si>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</si>
  <si>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</si>
  <si>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</si>
  <si>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</si>
  <si>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</si>
  <si>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</si>
  <si>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</si>
  <si>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</si>
  <si>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</si>
  <si>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</si>
  <si>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</si>
  <si>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</si>
  <si>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</si>
  <si>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</si>
  <si>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</si>
  <si>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</si>
  <si>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</si>
  <si>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</si>
  <si>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</si>
  <si>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</si>
  <si>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</si>
  <si>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</si>
  <si>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</si>
  <si>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</si>
  <si>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</si>
  <si>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</si>
  <si>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</si>
  <si>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</si>
  <si>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</si>
  <si>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</si>
  <si>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</si>
  <si>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</si>
  <si>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</si>
  <si>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</si>
  <si>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</si>
  <si>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</si>
  <si>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</si>
  <si>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</si>
  <si>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</si>
  <si>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</si>
  <si>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</si>
  <si>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</si>
  <si>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</si>
  <si>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</si>
  <si>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</si>
  <si>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</si>
  <si>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</si>
  <si>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</si>
  <si>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</si>
  <si>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</si>
  <si>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</si>
  <si>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</si>
  <si>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</si>
  <si>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</si>
  <si>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</si>
  <si>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</si>
  <si>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</si>
  <si>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</si>
  <si>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</si>
  <si>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</si>
  <si>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</si>
  <si>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</si>
  <si>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</si>
  <si>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</si>
  <si>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</si>
  <si>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</si>
  <si>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</si>
  <si>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</si>
  <si>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</si>
  <si>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</si>
  <si>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</si>
  <si>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</si>
  <si>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</si>
  <si>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</si>
  <si>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</si>
  <si>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</si>
  <si>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</si>
  <si>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</si>
  <si>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</si>
  <si>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</si>
  <si>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</si>
  <si>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</si>
  <si>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</si>
  <si>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</si>
  <si>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</si>
  <si>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</si>
  <si>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</si>
  <si>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</si>
  <si>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</si>
  <si>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</si>
  <si>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</si>
  <si>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</si>
  <si>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</si>
  <si>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</si>
  <si>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</si>
  <si>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</si>
  <si>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</si>
  <si>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</si>
  <si>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</si>
  <si>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</si>
  <si>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</si>
  <si>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</si>
  <si>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</si>
  <si>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</si>
  <si>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</si>
  <si>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</si>
  <si>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</si>
  <si>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</si>
  <si>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</si>
  <si>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</si>
  <si>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</si>
  <si>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</si>
  <si>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</si>
  <si>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</si>
  <si>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</si>
  <si>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</si>
  <si>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</si>
  <si>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</si>
  <si>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</si>
  <si>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</si>
  <si>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</si>
  <si>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</si>
  <si>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</si>
  <si>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</si>
  <si>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</si>
  <si>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</si>
  <si>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</si>
  <si>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</si>
  <si>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</si>
  <si>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</si>
  <si>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</si>
  <si>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</si>
  <si>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</si>
  <si>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</si>
  <si>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</si>
  <si>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</si>
  <si>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</si>
  <si>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</si>
  <si>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</si>
  <si>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</si>
  <si>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</si>
  <si>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</si>
  <si>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</si>
  <si>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</si>
  <si>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</si>
  <si>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</si>
  <si>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</si>
  <si>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</si>
  <si>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</si>
  <si>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</si>
  <si>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</si>
  <si>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</si>
  <si>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</si>
  <si>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</si>
  <si>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</si>
  <si>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</si>
  <si>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</si>
  <si>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</si>
  <si>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</si>
  <si>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</si>
  <si>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</si>
  <si>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</si>
  <si>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</si>
  <si>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</si>
  <si>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</si>
  <si>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</si>
  <si>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</si>
  <si>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</si>
  <si>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</si>
  <si>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</si>
  <si>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</si>
  <si>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</si>
  <si>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</si>
  <si>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</si>
  <si>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</si>
  <si>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</si>
  <si>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</si>
  <si>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</si>
  <si>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</si>
  <si>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</si>
  <si>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</si>
  <si>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</si>
  <si>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</si>
  <si>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</si>
  <si>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</si>
  <si>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</si>
  <si>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</si>
  <si>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</si>
  <si>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</si>
  <si>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</si>
  <si>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</si>
  <si>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</si>
  <si>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</si>
  <si>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</si>
  <si>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</si>
  <si>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</si>
  <si>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</si>
  <si>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</si>
  <si>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</si>
  <si>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</si>
  <si>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</si>
  <si>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</si>
  <si>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</si>
  <si>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</si>
  <si>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</si>
  <si>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</si>
  <si>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</si>
  <si>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</si>
  <si>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</si>
  <si>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</si>
  <si>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</si>
  <si>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</si>
  <si>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</si>
  <si>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</si>
  <si>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</si>
  <si>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</si>
  <si>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</si>
  <si>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</si>
  <si>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</si>
  <si>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</si>
  <si>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</si>
  <si>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</si>
  <si>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</si>
  <si>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</si>
  <si>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</si>
  <si>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</si>
  <si>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</si>
  <si>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</si>
  <si>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</si>
  <si>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</si>
  <si>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</si>
  <si>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</si>
  <si>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</si>
  <si>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</si>
  <si>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</si>
  <si>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</si>
  <si>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</si>
  <si>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</si>
  <si>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</si>
  <si>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</si>
  <si>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</si>
  <si>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</si>
  <si>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</si>
  <si>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</si>
  <si>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</si>
  <si>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</si>
  <si>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</si>
  <si>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</si>
  <si>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</si>
  <si>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</si>
  <si>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</si>
  <si>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</si>
  <si>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</si>
  <si>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</si>
  <si>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</si>
  <si>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</si>
  <si>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</si>
  <si>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</si>
  <si>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</si>
  <si>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</si>
  <si>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</si>
  <si>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</si>
  <si>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</si>
  <si>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</si>
  <si>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</si>
  <si>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</si>
  <si>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</si>
  <si>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</si>
  <si>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</si>
  <si>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</si>
  <si>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</si>
  <si>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</si>
  <si>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</si>
  <si>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</si>
  <si>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</si>
  <si>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</si>
  <si>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</si>
  <si>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</si>
  <si>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</si>
  <si>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</si>
  <si>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</si>
  <si>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</si>
  <si>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</si>
  <si>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</si>
  <si>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</si>
  <si>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</si>
  <si>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</si>
  <si>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</si>
  <si>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</si>
  <si>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</si>
  <si>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</si>
  <si>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</si>
  <si>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</si>
  <si>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</si>
  <si>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</si>
  <si>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</si>
  <si>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</si>
  <si>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</si>
  <si>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</si>
  <si>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</si>
  <si>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</si>
  <si>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</si>
  <si>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</si>
  <si>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</si>
  <si>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</si>
  <si>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</si>
  <si>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</si>
  <si>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</si>
  <si>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</si>
  <si>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</si>
  <si>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</si>
  <si>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</si>
  <si>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</si>
  <si>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</si>
  <si>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</si>
  <si>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</si>
  <si>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</si>
  <si>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</si>
  <si>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</si>
  <si>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</si>
  <si>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</si>
  <si>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</si>
  <si>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</si>
  <si>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</si>
  <si>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</si>
  <si>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</si>
  <si>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</si>
  <si>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</si>
  <si>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</si>
  <si>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</si>
  <si>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</si>
  <si>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</si>
  <si>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</si>
  <si>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</si>
  <si>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</si>
  <si>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</si>
  <si>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</si>
  <si>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</si>
  <si>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</si>
  <si>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</si>
  <si>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</si>
  <si>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</si>
  <si>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</si>
  <si>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</si>
  <si>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</si>
  <si>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</si>
  <si>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</si>
  <si>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</si>
  <si>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</si>
  <si>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</si>
  <si>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</si>
  <si>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</si>
  <si>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</si>
  <si>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</si>
  <si>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</si>
  <si>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</si>
  <si>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</si>
  <si>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</si>
  <si>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</si>
  <si>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</si>
  <si>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</si>
  <si>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</si>
  <si>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</si>
  <si>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</si>
  <si>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</si>
  <si>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</si>
  <si>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</si>
  <si>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</si>
  <si>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</si>
  <si>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</si>
  <si>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</si>
  <si>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</si>
  <si>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</si>
  <si>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</si>
  <si>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</si>
  <si>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</si>
  <si>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</si>
  <si>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</si>
  <si>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</si>
  <si>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</si>
  <si>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</si>
  <si>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</si>
  <si>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</si>
  <si>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</si>
  <si>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</si>
  <si>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</si>
  <si>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</si>
  <si>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</si>
  <si>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</si>
  <si>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</si>
  <si>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</si>
  <si>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</si>
  <si>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</si>
  <si>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</si>
  <si>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</si>
  <si>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</si>
  <si>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</si>
  <si>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</si>
  <si>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</si>
  <si>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</si>
  <si>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</si>
  <si>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</si>
  <si>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</si>
  <si>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</si>
  <si>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</si>
  <si>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</si>
  <si>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</si>
  <si>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</si>
  <si>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</si>
  <si>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</si>
  <si>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</si>
  <si>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</si>
  <si>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</si>
  <si>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</si>
  <si>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</si>
  <si>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</si>
  <si>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</si>
  <si>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</si>
  <si>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</si>
  <si>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</si>
  <si>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</si>
  <si>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</si>
  <si>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</si>
  <si>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</si>
  <si>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</si>
  <si>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</si>
  <si>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</si>
  <si>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</si>
  <si>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</si>
  <si>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</si>
  <si>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</si>
  <si>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</si>
  <si>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</si>
  <si>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</si>
  <si>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</si>
  <si>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</si>
  <si>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</si>
  <si>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</si>
  <si>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</si>
  <si>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</si>
  <si>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</si>
  <si>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</si>
  <si>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</si>
  <si>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</si>
  <si>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</si>
  <si>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</si>
  <si>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</si>
  <si>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</si>
  <si>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</si>
  <si>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</si>
  <si>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</si>
  <si>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</si>
  <si>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</si>
  <si>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</si>
  <si>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</si>
  <si>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</si>
  <si>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</si>
  <si>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</si>
  <si>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</si>
  <si>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</si>
  <si>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</si>
  <si>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</si>
  <si>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</si>
  <si>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</si>
  <si>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</si>
  <si>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</si>
  <si>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</si>
  <si>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</si>
  <si>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</si>
  <si>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</si>
  <si>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</si>
  <si>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</si>
  <si>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</si>
  <si>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</si>
  <si>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</si>
  <si>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</si>
  <si>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</si>
  <si>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</si>
  <si>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</si>
  <si>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</si>
  <si>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</si>
  <si>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</si>
  <si>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</si>
  <si>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</si>
  <si>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</si>
  <si>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</si>
  <si>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</si>
  <si>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</si>
  <si>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</si>
  <si>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</si>
  <si>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</si>
  <si>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</si>
  <si>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</si>
  <si>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</si>
  <si>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</si>
  <si>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</si>
  <si>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</si>
  <si>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</si>
  <si>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</si>
  <si>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</si>
  <si>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</si>
  <si>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</si>
  <si>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</si>
  <si>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</si>
  <si>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</si>
  <si>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</si>
  <si>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</si>
  <si>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</si>
  <si>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</si>
  <si>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</si>
  <si>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</si>
  <si>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</si>
  <si>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</si>
  <si>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</si>
  <si>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</si>
  <si>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</si>
  <si>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</si>
  <si>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</si>
  <si>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</si>
  <si>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</si>
  <si>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</si>
  <si>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</si>
  <si>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</si>
  <si>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</si>
  <si>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</si>
  <si>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</si>
  <si>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</si>
  <si>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</si>
  <si>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</si>
  <si>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</si>
  <si>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</si>
  <si>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</si>
  <si>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</si>
  <si>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</si>
  <si>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</si>
  <si>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</si>
  <si>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</si>
  <si>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</si>
  <si>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</si>
  <si>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</si>
  <si>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</si>
  <si>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</si>
  <si>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</si>
  <si>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</si>
  <si>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</si>
  <si>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</si>
  <si>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</si>
  <si>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</si>
  <si>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</si>
  <si>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</si>
  <si>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</si>
  <si>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</si>
  <si>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</si>
  <si>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</si>
  <si>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</si>
  <si>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</si>
  <si>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</si>
  <si>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</si>
  <si>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</si>
  <si>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</si>
  <si>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</si>
  <si>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</si>
  <si>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</si>
  <si>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</si>
  <si>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</si>
  <si>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</si>
  <si>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</si>
  <si>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</si>
  <si>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</si>
  <si>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</si>
  <si>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</si>
  <si>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</si>
  <si>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</si>
  <si>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</si>
  <si>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</si>
  <si>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</si>
  <si>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</si>
  <si>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</si>
  <si>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</si>
  <si>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</si>
  <si>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</si>
  <si>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</si>
  <si>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</si>
  <si>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</si>
  <si>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</si>
  <si>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</si>
  <si>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</si>
  <si>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</si>
  <si>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</si>
  <si>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</si>
  <si>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</si>
  <si>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</si>
  <si>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</si>
  <si>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</si>
  <si>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</si>
  <si>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BEUSSINK HICKAM &amp; KOCHEL PC</t>
  </si>
  <si>
    <t>SCOTT A HICKAM CPA</t>
  </si>
  <si>
    <t>139 W VIENNA ST - PO BOX 556</t>
  </si>
  <si>
    <t>ANNA</t>
  </si>
  <si>
    <t>IL</t>
  </si>
  <si>
    <t>618-833-2721</t>
  </si>
  <si>
    <t>618-833-7077</t>
  </si>
  <si>
    <t>066-005023</t>
  </si>
  <si>
    <t>office@bhcpa1.com</t>
  </si>
  <si>
    <t>JOHNSON</t>
  </si>
  <si>
    <t>4580 MT PISGAH RD</t>
  </si>
  <si>
    <t>CYPRESS</t>
  </si>
  <si>
    <t>KIMBERLY SHOEMAKER</t>
  </si>
  <si>
    <t>kshoemaker@cypress64.com</t>
  </si>
  <si>
    <t>618-657-2525</t>
  </si>
  <si>
    <t>618-657-2570</t>
  </si>
  <si>
    <t>2016 WORKING CASH BONDS</t>
  </si>
  <si>
    <t>2017 LIFE SAFETY BONDS</t>
  </si>
  <si>
    <t>JAMP SPECIAL EDUCATION DISTRICT</t>
  </si>
  <si>
    <t>SPORTS COOP-BUNCOMBE SCHOOL DISTRICT 43</t>
  </si>
  <si>
    <t>None</t>
  </si>
  <si>
    <t>00-0000-000</t>
  </si>
  <si>
    <t>NA</t>
  </si>
  <si>
    <t>Fund 10, Account 3999: Other State Sources 3999 - $ 21,200</t>
  </si>
  <si>
    <t>Fund 10, Account 4999: REAP $ 10,771, 4331 School Improvement $ 5,182</t>
  </si>
  <si>
    <t>Cypress SD 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</si>
</sst>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2064</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21044064002</v>
      </c>
      <c r="B13" s="2017"/>
      <c r="C13" s="2017"/>
      <c r="D13" s="2017"/>
      <c r="E13" s="2017"/>
      <c r="F13" s="2017"/>
      <c r="G13" s="2017"/>
      <c r="H13" s="2018"/>
      <c r="I13" s="31"/>
      <c r="J13" s="30"/>
      <c r="K13" s="28"/>
      <c r="L13" s="30"/>
      <c r="M13" s="30"/>
      <c r="N13" s="30"/>
      <c r="O13" s="30"/>
      <c r="P13" s="30"/>
      <c r="Q13" s="30"/>
      <c r="R13" s="30"/>
      <c r="S13" s="30"/>
      <c r="T13" s="2021" t="s">
        <v>2065</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2074</v>
      </c>
      <c r="B15" s="2019"/>
      <c r="C15" s="2019"/>
      <c r="D15" s="2019"/>
      <c r="E15" s="2019"/>
      <c r="F15" s="2019"/>
      <c r="G15" s="2019"/>
      <c r="H15" s="2020"/>
      <c r="T15" s="2025" t="s">
        <v>2066</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2090</v>
      </c>
      <c r="B17" s="1976"/>
      <c r="C17" s="1976"/>
      <c r="D17" s="1976"/>
      <c r="E17" s="1976"/>
      <c r="F17" s="1976"/>
      <c r="G17" s="1976"/>
      <c r="H17" s="2001"/>
      <c r="T17" s="2032" t="s">
        <v>2067</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2075</v>
      </c>
      <c r="B19" s="1961"/>
      <c r="C19" s="1961"/>
      <c r="D19" s="1961"/>
      <c r="E19" s="1961"/>
      <c r="F19" s="1961"/>
      <c r="G19" s="1961"/>
      <c r="H19" s="1941"/>
      <c r="I19" s="30"/>
      <c r="J19" s="99"/>
      <c r="K19" s="40"/>
      <c r="L19" s="38"/>
      <c r="M19" s="112" t="s">
        <v>315</v>
      </c>
      <c r="P19" s="27"/>
      <c r="Q19" s="27"/>
      <c r="R19" s="27"/>
      <c r="S19" s="31"/>
      <c r="T19" s="2015" t="s">
        <v>2068</v>
      </c>
      <c r="U19" s="1940"/>
      <c r="V19" s="1940"/>
      <c r="W19" s="1941"/>
      <c r="X19" s="2030" t="s">
        <v>2069</v>
      </c>
      <c r="Y19" s="2031"/>
      <c r="Z19" s="2028">
        <v>62906</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2076</v>
      </c>
      <c r="B21" s="1940"/>
      <c r="C21" s="1940"/>
      <c r="D21" s="1940"/>
      <c r="E21" s="1940"/>
      <c r="F21" s="1940"/>
      <c r="G21" s="1940"/>
      <c r="H21" s="1941"/>
      <c r="I21" s="1995" t="s">
        <v>678</v>
      </c>
      <c r="J21" s="1990"/>
      <c r="K21" s="1990"/>
      <c r="L21" s="1990"/>
      <c r="M21" s="1990"/>
      <c r="N21" s="1990"/>
      <c r="O21" s="1990"/>
      <c r="P21" s="1990"/>
      <c r="Q21" s="1990"/>
      <c r="R21" s="1990"/>
      <c r="S21" s="1996"/>
      <c r="T21" s="2039" t="s">
        <v>2070</v>
      </c>
      <c r="U21" s="2040"/>
      <c r="V21" s="2040"/>
      <c r="W21" s="2040"/>
      <c r="X21" s="2045" t="s">
        <v>2071</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c r="B23" s="1993"/>
      <c r="C23" s="1993"/>
      <c r="D23" s="1993"/>
      <c r="E23" s="1993"/>
      <c r="F23" s="1993"/>
      <c r="G23" s="1993"/>
      <c r="H23" s="1994"/>
      <c r="T23" s="1975" t="s">
        <v>2072</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62923</v>
      </c>
      <c r="B25" s="1940"/>
      <c r="C25" s="1940"/>
      <c r="D25" s="1940"/>
      <c r="E25" s="1940"/>
      <c r="F25" s="1940"/>
      <c r="G25" s="1940"/>
      <c r="H25" s="1941"/>
      <c r="I25" s="113"/>
      <c r="J25" s="1964"/>
      <c r="K25" s="1964"/>
      <c r="L25" s="1964"/>
      <c r="M25" s="1964"/>
      <c r="N25" s="1964"/>
      <c r="O25" s="1964"/>
      <c r="P25" s="1964"/>
      <c r="Q25" s="1964"/>
      <c r="R25" s="1964"/>
      <c r="S25" s="1965"/>
      <c r="T25" s="2035" t="s">
        <v>2073</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2077</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2078</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2079</v>
      </c>
      <c r="B42" s="1959"/>
      <c r="C42" s="1960"/>
      <c r="D42" s="1958" t="s">
        <v>2080</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4" sqref="E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66872</v>
      </c>
      <c r="C4" s="1524">
        <v>0</v>
      </c>
      <c r="D4" s="1752">
        <f>B4-C4</f>
        <v>66872</v>
      </c>
      <c r="E4" s="1524">
        <v>72095</v>
      </c>
      <c r="F4" s="1752">
        <f>E4-C4</f>
        <v>72095</v>
      </c>
    </row>
    <row r="5" spans="1:6" ht="13.7" customHeight="1" x14ac:dyDescent="0.2">
      <c r="A5" s="715" t="s">
        <v>870</v>
      </c>
      <c r="B5" s="1750">
        <f>'Revenues 9-14'!D5</f>
        <v>18173</v>
      </c>
      <c r="C5" s="585">
        <v>0</v>
      </c>
      <c r="D5" s="1753">
        <f t="shared" ref="D5:D18" si="0">B5-C5</f>
        <v>18173</v>
      </c>
      <c r="E5" s="585">
        <v>19591</v>
      </c>
      <c r="F5" s="1753">
        <f>E5-C5</f>
        <v>19591</v>
      </c>
    </row>
    <row r="6" spans="1:6" ht="13.7" customHeight="1" x14ac:dyDescent="0.2">
      <c r="A6" s="715" t="s">
        <v>411</v>
      </c>
      <c r="B6" s="1750">
        <f>'Revenues 9-14'!E5</f>
        <v>20085</v>
      </c>
      <c r="C6" s="585">
        <v>0</v>
      </c>
      <c r="D6" s="1753">
        <f t="shared" si="0"/>
        <v>20085</v>
      </c>
      <c r="E6" s="585">
        <v>19654</v>
      </c>
      <c r="F6" s="1753">
        <f t="shared" ref="F6:F18" si="1">E6-C6</f>
        <v>19654</v>
      </c>
    </row>
    <row r="7" spans="1:6" ht="13.7" customHeight="1" x14ac:dyDescent="0.2">
      <c r="A7" s="715" t="s">
        <v>155</v>
      </c>
      <c r="B7" s="1750">
        <f>'Revenues 9-14'!F5</f>
        <v>8723</v>
      </c>
      <c r="C7" s="585">
        <v>0</v>
      </c>
      <c r="D7" s="1753">
        <f t="shared" si="0"/>
        <v>8723</v>
      </c>
      <c r="E7" s="585">
        <v>9404</v>
      </c>
      <c r="F7" s="1753">
        <f t="shared" si="1"/>
        <v>9404</v>
      </c>
    </row>
    <row r="8" spans="1:6" ht="13.7" customHeight="1" x14ac:dyDescent="0.2">
      <c r="A8" s="715" t="s">
        <v>1179</v>
      </c>
      <c r="B8" s="1750">
        <f>'Revenues 9-14'!G5</f>
        <v>12044</v>
      </c>
      <c r="C8" s="585">
        <v>0</v>
      </c>
      <c r="D8" s="1753">
        <f t="shared" si="0"/>
        <v>12044</v>
      </c>
      <c r="E8" s="585">
        <v>10021</v>
      </c>
      <c r="F8" s="1753">
        <f t="shared" si="1"/>
        <v>10021</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3635</v>
      </c>
      <c r="C10" s="585">
        <v>0</v>
      </c>
      <c r="D10" s="1753">
        <f t="shared" si="0"/>
        <v>3635</v>
      </c>
      <c r="E10" s="585">
        <v>3918</v>
      </c>
      <c r="F10" s="1753">
        <f t="shared" si="1"/>
        <v>3918</v>
      </c>
    </row>
    <row r="11" spans="1:6" x14ac:dyDescent="0.2">
      <c r="A11" s="715" t="s">
        <v>409</v>
      </c>
      <c r="B11" s="1750">
        <f>'Revenues 9-14'!J5</f>
        <v>72484</v>
      </c>
      <c r="C11" s="585">
        <v>0</v>
      </c>
      <c r="D11" s="1753">
        <f t="shared" si="0"/>
        <v>72484</v>
      </c>
      <c r="E11" s="585">
        <v>72497</v>
      </c>
      <c r="F11" s="1753">
        <f t="shared" si="1"/>
        <v>72497</v>
      </c>
    </row>
    <row r="12" spans="1:6" ht="13.7" customHeight="1" x14ac:dyDescent="0.2">
      <c r="A12" s="715" t="s">
        <v>157</v>
      </c>
      <c r="B12" s="1750">
        <f>'Revenues 9-14'!K5</f>
        <v>3635</v>
      </c>
      <c r="C12" s="585">
        <v>0</v>
      </c>
      <c r="D12" s="1753">
        <f t="shared" si="0"/>
        <v>3635</v>
      </c>
      <c r="E12" s="585">
        <v>3918</v>
      </c>
      <c r="F12" s="1753">
        <f t="shared" si="1"/>
        <v>3918</v>
      </c>
    </row>
    <row r="13" spans="1:6" ht="13.7" customHeight="1" x14ac:dyDescent="0.2">
      <c r="A13" s="715" t="s">
        <v>936</v>
      </c>
      <c r="B13" s="1750">
        <f>SUM('Revenues 9-14'!C6:D6)</f>
        <v>3624</v>
      </c>
      <c r="C13" s="585">
        <v>0</v>
      </c>
      <c r="D13" s="1753">
        <f t="shared" si="0"/>
        <v>3624</v>
      </c>
      <c r="E13" s="585">
        <v>3918</v>
      </c>
      <c r="F13" s="1753">
        <f t="shared" si="1"/>
        <v>3918</v>
      </c>
    </row>
    <row r="14" spans="1:6" ht="13.7" customHeight="1" x14ac:dyDescent="0.2">
      <c r="A14" s="715" t="s">
        <v>410</v>
      </c>
      <c r="B14" s="1750">
        <f>SUM('Revenues 9-14'!C7:D7,'Revenues 9-14'!F7:H7)</f>
        <v>1455</v>
      </c>
      <c r="C14" s="585">
        <v>0</v>
      </c>
      <c r="D14" s="1753">
        <f t="shared" si="0"/>
        <v>1455</v>
      </c>
      <c r="E14" s="585">
        <v>1567</v>
      </c>
      <c r="F14" s="1753">
        <f t="shared" si="1"/>
        <v>1567</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16056</v>
      </c>
      <c r="C16" s="585">
        <v>0</v>
      </c>
      <c r="D16" s="1753">
        <f t="shared" si="0"/>
        <v>16056</v>
      </c>
      <c r="E16" s="585">
        <v>16035</v>
      </c>
      <c r="F16" s="1753">
        <f t="shared" si="1"/>
        <v>16035</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226786</v>
      </c>
      <c r="C19" s="1751">
        <f>SUM(C4:C18)</f>
        <v>0</v>
      </c>
      <c r="D19" s="1751">
        <f>SUM(D4:D18)</f>
        <v>226786</v>
      </c>
      <c r="E19" s="1751">
        <f>SUM(E4:E18)</f>
        <v>232618</v>
      </c>
      <c r="F19" s="1751">
        <f>SUM(F4:F18)</f>
        <v>232618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0"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v>0</v>
      </c>
      <c r="D4" s="581">
        <v>0</v>
      </c>
      <c r="E4" s="581">
        <v>0</v>
      </c>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v>0</v>
      </c>
      <c r="D17" s="585">
        <v>0</v>
      </c>
      <c r="E17" s="726">
        <v>0</v>
      </c>
      <c r="F17" s="1755">
        <f>SUM(C17+D17)-E17</f>
        <v>0</v>
      </c>
    </row>
    <row r="18" spans="1:11" ht="12.75" customHeight="1" thickTop="1" thickBot="1" x14ac:dyDescent="0.25">
      <c r="A18" s="2189" t="s">
        <v>6</v>
      </c>
      <c r="B18" s="2190"/>
      <c r="C18" s="726">
        <v>0</v>
      </c>
      <c r="D18" s="585">
        <v>0</v>
      </c>
      <c r="E18" s="726">
        <v>0</v>
      </c>
      <c r="F18" s="1755">
        <f>SUM(C18+D18)-E18</f>
        <v>0</v>
      </c>
    </row>
    <row r="19" spans="1:11" ht="12.75" customHeight="1" thickTop="1" thickBot="1" x14ac:dyDescent="0.25">
      <c r="A19" s="2189" t="s">
        <v>388</v>
      </c>
      <c r="B19" s="2190"/>
      <c r="C19" s="726">
        <v>0</v>
      </c>
      <c r="D19" s="585">
        <v>0</v>
      </c>
      <c r="E19" s="726">
        <v>0</v>
      </c>
      <c r="F19" s="1755">
        <f>SUM(C19+D19)-E19</f>
        <v>0</v>
      </c>
    </row>
    <row r="20" spans="1:11" ht="12.75" customHeight="1" thickTop="1" thickBot="1" x14ac:dyDescent="0.25">
      <c r="A20" s="2189" t="s">
        <v>448</v>
      </c>
      <c r="B20" s="2190"/>
      <c r="C20" s="726">
        <v>0</v>
      </c>
      <c r="D20" s="585">
        <v>0</v>
      </c>
      <c r="E20" s="726">
        <v>0</v>
      </c>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v>0</v>
      </c>
      <c r="D23" s="581">
        <v>0</v>
      </c>
      <c r="E23" s="581">
        <v>0</v>
      </c>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v>0</v>
      </c>
      <c r="D25" s="581">
        <v>0</v>
      </c>
      <c r="E25" s="581">
        <v>0</v>
      </c>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v>0</v>
      </c>
      <c r="D27" s="585">
        <v>0</v>
      </c>
      <c r="E27" s="585">
        <v>0</v>
      </c>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42429</v>
      </c>
      <c r="C31" s="734">
        <v>25000</v>
      </c>
      <c r="D31" s="735">
        <v>1</v>
      </c>
      <c r="E31" s="734">
        <v>15000</v>
      </c>
      <c r="F31" s="734"/>
      <c r="G31" s="734"/>
      <c r="H31" s="734">
        <v>5000</v>
      </c>
      <c r="I31" s="1756">
        <f>((E31+F31)-H31)+G31</f>
        <v>10000</v>
      </c>
      <c r="J31" s="734">
        <f>10000-3669</f>
        <v>6331</v>
      </c>
      <c r="K31" s="736"/>
    </row>
    <row r="32" spans="1:11" ht="12" customHeight="1" x14ac:dyDescent="0.2">
      <c r="A32" s="732" t="s">
        <v>2082</v>
      </c>
      <c r="B32" s="733">
        <v>42809</v>
      </c>
      <c r="C32" s="734">
        <v>52000</v>
      </c>
      <c r="D32" s="735">
        <v>4</v>
      </c>
      <c r="E32" s="734">
        <v>39000</v>
      </c>
      <c r="F32" s="734"/>
      <c r="G32" s="734"/>
      <c r="H32" s="734">
        <v>14000</v>
      </c>
      <c r="I32" s="1756">
        <f>((E32+F32)-H32)+G32</f>
        <v>25000</v>
      </c>
      <c r="J32" s="734">
        <v>25000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77000</v>
      </c>
      <c r="D49" s="745"/>
      <c r="E49" s="1756">
        <f t="shared" ref="E49:J49" si="2">SUM(E31:E48)</f>
        <v>54000</v>
      </c>
      <c r="F49" s="1756">
        <f t="shared" si="2"/>
        <v>0</v>
      </c>
      <c r="G49" s="1756">
        <f t="shared" si="2"/>
        <v>0</v>
      </c>
      <c r="H49" s="1756">
        <f t="shared" si="2"/>
        <v>19000</v>
      </c>
      <c r="I49" s="1756">
        <f t="shared" si="2"/>
        <v>35000</v>
      </c>
      <c r="J49" s="1756">
        <f t="shared" si="2"/>
        <v>31331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v>0</v>
      </c>
      <c r="H3" s="764">
        <v>0</v>
      </c>
      <c r="I3" s="764">
        <v>0</v>
      </c>
      <c r="J3" s="765">
        <v>0</v>
      </c>
      <c r="K3" s="765">
        <v>0</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1455</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0</v>
      </c>
      <c r="K8" s="769"/>
    </row>
    <row r="9" spans="1:11" x14ac:dyDescent="0.2">
      <c r="A9" s="778" t="s">
        <v>138</v>
      </c>
      <c r="B9" s="779"/>
      <c r="C9" s="779"/>
      <c r="D9" s="779"/>
      <c r="E9" s="780"/>
      <c r="F9" s="777" t="s">
        <v>853</v>
      </c>
      <c r="G9" s="782"/>
      <c r="H9" s="771"/>
      <c r="I9" s="771"/>
      <c r="J9" s="781"/>
      <c r="K9" s="765">
        <v>0</v>
      </c>
    </row>
    <row r="10" spans="1:11" x14ac:dyDescent="0.2">
      <c r="A10" s="2215" t="s">
        <v>1813</v>
      </c>
      <c r="B10" s="2216"/>
      <c r="C10" s="2216"/>
      <c r="D10" s="2216"/>
      <c r="E10" s="2218"/>
      <c r="F10" s="783" t="s">
        <v>862</v>
      </c>
      <c r="G10" s="782"/>
      <c r="H10" s="784">
        <v>0</v>
      </c>
      <c r="I10" s="764">
        <v>0</v>
      </c>
      <c r="J10" s="765">
        <v>0</v>
      </c>
      <c r="K10" s="765">
        <v>0</v>
      </c>
    </row>
    <row r="11" spans="1:11" x14ac:dyDescent="0.2">
      <c r="A11" s="2215" t="s">
        <v>160</v>
      </c>
      <c r="B11" s="2216"/>
      <c r="C11" s="2216"/>
      <c r="D11" s="2216"/>
      <c r="E11" s="2217"/>
      <c r="F11" s="770" t="s">
        <v>852</v>
      </c>
      <c r="G11" s="771"/>
      <c r="H11" s="764">
        <v>0</v>
      </c>
      <c r="I11" s="764">
        <v>0</v>
      </c>
      <c r="J11" s="765">
        <v>0</v>
      </c>
      <c r="K11" s="773"/>
    </row>
    <row r="12" spans="1:11" ht="13.5" thickBot="1" x14ac:dyDescent="0.25">
      <c r="A12" s="2242" t="s">
        <v>905</v>
      </c>
      <c r="B12" s="2243"/>
      <c r="C12" s="2243"/>
      <c r="D12" s="2243"/>
      <c r="E12" s="2244"/>
      <c r="F12" s="1757"/>
      <c r="G12" s="1758">
        <f>SUM(G5:G11)</f>
        <v>0</v>
      </c>
      <c r="H12" s="1758">
        <f>SUM(H5:H11)</f>
        <v>1455</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1455</v>
      </c>
      <c r="I14" s="771"/>
      <c r="J14" s="773"/>
      <c r="K14" s="765">
        <v>0</v>
      </c>
    </row>
    <row r="15" spans="1:11" x14ac:dyDescent="0.2">
      <c r="A15" s="2216" t="s">
        <v>4</v>
      </c>
      <c r="B15" s="2216"/>
      <c r="C15" s="2216"/>
      <c r="D15" s="2216"/>
      <c r="E15" s="2217"/>
      <c r="F15" s="789" t="s">
        <v>855</v>
      </c>
      <c r="G15" s="771"/>
      <c r="H15" s="764">
        <v>0</v>
      </c>
      <c r="I15" s="764">
        <v>0</v>
      </c>
      <c r="J15" s="765">
        <v>0</v>
      </c>
      <c r="K15" s="765">
        <v>0</v>
      </c>
    </row>
    <row r="16" spans="1:11" x14ac:dyDescent="0.2">
      <c r="A16" s="2216" t="s">
        <v>298</v>
      </c>
      <c r="B16" s="2216"/>
      <c r="C16" s="2216"/>
      <c r="D16" s="2216"/>
      <c r="E16" s="2217"/>
      <c r="F16" s="789" t="s">
        <v>923</v>
      </c>
      <c r="G16" s="772">
        <v>0</v>
      </c>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v>0</v>
      </c>
      <c r="K18" s="795"/>
    </row>
    <row r="19" spans="1:11" ht="21.75" customHeight="1" x14ac:dyDescent="0.2">
      <c r="A19" s="2224" t="s">
        <v>1809</v>
      </c>
      <c r="B19" s="2224"/>
      <c r="C19" s="2224"/>
      <c r="D19" s="2224"/>
      <c r="E19" s="2225"/>
      <c r="F19" s="789" t="s">
        <v>933</v>
      </c>
      <c r="G19" s="782"/>
      <c r="H19" s="782"/>
      <c r="I19" s="782"/>
      <c r="J19" s="765">
        <v>0</v>
      </c>
      <c r="K19" s="795"/>
    </row>
    <row r="20" spans="1:11" x14ac:dyDescent="0.2">
      <c r="A20" s="2226" t="s">
        <v>1814</v>
      </c>
      <c r="B20" s="2227"/>
      <c r="C20" s="2227"/>
      <c r="D20" s="2227"/>
      <c r="E20" s="2228"/>
      <c r="F20" s="789" t="s">
        <v>934</v>
      </c>
      <c r="G20" s="782"/>
      <c r="H20" s="782"/>
      <c r="I20" s="782"/>
      <c r="J20" s="765">
        <v>0</v>
      </c>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v>0</v>
      </c>
      <c r="I22" s="764">
        <v>0</v>
      </c>
      <c r="J22" s="797">
        <v>0</v>
      </c>
      <c r="K22" s="765">
        <v>0</v>
      </c>
    </row>
    <row r="23" spans="1:11" ht="13.5" thickBot="1" x14ac:dyDescent="0.25">
      <c r="A23" s="2246" t="s">
        <v>906</v>
      </c>
      <c r="B23" s="2245"/>
      <c r="C23" s="2245"/>
      <c r="D23" s="2245"/>
      <c r="E23" s="2245"/>
      <c r="F23" s="1761"/>
      <c r="G23" s="1758">
        <f>SUM(G14:G16,G21,G22)</f>
        <v>0</v>
      </c>
      <c r="H23" s="1758">
        <f>SUM(H14:H16,H21,H22)</f>
        <v>1455</v>
      </c>
      <c r="I23" s="1758">
        <f>SUM(I14:I16,I21,I22)</f>
        <v>0</v>
      </c>
      <c r="J23" s="1758">
        <f>SUM(J14:J16,J21,J22)</f>
        <v>0</v>
      </c>
      <c r="K23" s="1758">
        <f>SUM(K14:K16,K21,K22)</f>
        <v>0</v>
      </c>
    </row>
    <row r="24" spans="1:11" ht="14.25" thickTop="1" thickBot="1" x14ac:dyDescent="0.25">
      <c r="A24" s="2246" t="s">
        <v>1965</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19"/>
      <c r="I31" s="2220"/>
      <c r="J31" s="2220"/>
      <c r="K31" s="2220"/>
    </row>
    <row r="32" spans="1:11" x14ac:dyDescent="0.2">
      <c r="A32" s="809"/>
      <c r="B32" s="237"/>
      <c r="C32" s="237"/>
      <c r="D32" s="237"/>
      <c r="E32" s="805"/>
      <c r="F32" s="811" t="s">
        <v>540</v>
      </c>
      <c r="G32" s="764">
        <v>0</v>
      </c>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6" t="s">
        <v>541</v>
      </c>
      <c r="B41" s="2229"/>
      <c r="C41" s="2229"/>
      <c r="D41" s="2229"/>
      <c r="E41" s="2229"/>
      <c r="F41" s="2230"/>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84206</v>
      </c>
      <c r="D5" s="841">
        <v>0</v>
      </c>
      <c r="E5" s="841">
        <v>0</v>
      </c>
      <c r="F5" s="1760">
        <f>(C5+D5)-E5</f>
        <v>84206</v>
      </c>
      <c r="G5" s="837"/>
      <c r="H5" s="842"/>
      <c r="I5" s="842"/>
      <c r="J5" s="842"/>
      <c r="K5" s="793"/>
      <c r="L5" s="1769">
        <f>F5-K5</f>
        <v>84206</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4578611</v>
      </c>
      <c r="D8" s="844">
        <v>0</v>
      </c>
      <c r="E8" s="844">
        <v>0</v>
      </c>
      <c r="F8" s="1760">
        <f>(C8+D8)-E8</f>
        <v>4578611</v>
      </c>
      <c r="G8" s="843">
        <v>50</v>
      </c>
      <c r="H8" s="765">
        <v>1096683</v>
      </c>
      <c r="I8" s="765">
        <v>91572</v>
      </c>
      <c r="J8" s="765">
        <v>0</v>
      </c>
      <c r="K8" s="1769">
        <f>(H8+I8)-J8</f>
        <v>1188255</v>
      </c>
      <c r="L8" s="1769">
        <f>F8-K8</f>
        <v>3390356</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443054</v>
      </c>
      <c r="D10" s="846">
        <v>0</v>
      </c>
      <c r="E10" s="846">
        <v>0</v>
      </c>
      <c r="F10" s="1764">
        <f>(C10+D10)-E10</f>
        <v>443054</v>
      </c>
      <c r="G10" s="843">
        <v>20</v>
      </c>
      <c r="H10" s="847">
        <v>215789</v>
      </c>
      <c r="I10" s="847">
        <v>22153</v>
      </c>
      <c r="J10" s="847">
        <v>0</v>
      </c>
      <c r="K10" s="1769">
        <f>(H10+I10)-J10</f>
        <v>237942</v>
      </c>
      <c r="L10" s="1769">
        <f>F10-K10</f>
        <v>205112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550180</v>
      </c>
      <c r="D12" s="844">
        <v>21200</v>
      </c>
      <c r="E12" s="844">
        <v>0</v>
      </c>
      <c r="F12" s="1760">
        <f>(C12+D12)-E12</f>
        <v>571380</v>
      </c>
      <c r="G12" s="843">
        <v>10</v>
      </c>
      <c r="H12" s="765">
        <v>487363</v>
      </c>
      <c r="I12" s="765">
        <f>213+9503</f>
        <v>9716</v>
      </c>
      <c r="J12" s="765">
        <v>0</v>
      </c>
      <c r="K12" s="1769">
        <f>(H12+I12)-J12</f>
        <v>497079</v>
      </c>
      <c r="L12" s="1769">
        <f>F12-K12</f>
        <v>74301</v>
      </c>
    </row>
    <row r="13" spans="1:14" ht="14.25" thickTop="1" thickBot="1" x14ac:dyDescent="0.25">
      <c r="A13" s="848" t="s">
        <v>1122</v>
      </c>
      <c r="B13" s="840">
        <v>252</v>
      </c>
      <c r="C13" s="844">
        <v>190585</v>
      </c>
      <c r="D13" s="844">
        <v>0</v>
      </c>
      <c r="E13" s="844">
        <v>0</v>
      </c>
      <c r="F13" s="1760">
        <f>(C13+D13)-E13</f>
        <v>190585</v>
      </c>
      <c r="G13" s="843">
        <v>5</v>
      </c>
      <c r="H13" s="765">
        <v>190585</v>
      </c>
      <c r="I13" s="765">
        <v>0</v>
      </c>
      <c r="J13" s="765">
        <v>0</v>
      </c>
      <c r="K13" s="1769">
        <f>(H13+I13)-J13</f>
        <v>190585</v>
      </c>
      <c r="L13" s="1769">
        <f>F13-K13</f>
        <v>0</v>
      </c>
    </row>
    <row r="14" spans="1:14" ht="14.25" thickTop="1" thickBot="1" x14ac:dyDescent="0.25">
      <c r="A14" s="848" t="s">
        <v>1123</v>
      </c>
      <c r="B14" s="840">
        <v>253</v>
      </c>
      <c r="C14" s="765">
        <v>40617</v>
      </c>
      <c r="D14" s="765">
        <v>0</v>
      </c>
      <c r="E14" s="765">
        <v>0</v>
      </c>
      <c r="F14" s="1760">
        <f>(C14+D14)-E14</f>
        <v>40617</v>
      </c>
      <c r="G14" s="843">
        <v>3</v>
      </c>
      <c r="H14" s="765">
        <v>37868</v>
      </c>
      <c r="I14" s="765">
        <v>1374</v>
      </c>
      <c r="J14" s="765">
        <v>0</v>
      </c>
      <c r="K14" s="1769">
        <f>(H14+I14)-J14</f>
        <v>39242</v>
      </c>
      <c r="L14" s="1769">
        <f>F14-K14</f>
        <v>1375</v>
      </c>
    </row>
    <row r="15" spans="1:14" ht="15" customHeight="1" thickTop="1" thickBot="1" x14ac:dyDescent="0.25">
      <c r="A15" s="1631" t="s">
        <v>528</v>
      </c>
      <c r="B15" s="1630">
        <v>260</v>
      </c>
      <c r="C15" s="844">
        <v>0</v>
      </c>
      <c r="D15" s="844">
        <v>0</v>
      </c>
      <c r="E15" s="844">
        <v>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5887253</v>
      </c>
      <c r="D16" s="1760">
        <f>SUM(D3,D5:D6,D8:D10,D12:D15)</f>
        <v>21200</v>
      </c>
      <c r="E16" s="1760">
        <f>SUM(E3,E5:E6,E8:E10,E12:E15)</f>
        <v>0</v>
      </c>
      <c r="F16" s="1760">
        <f>SUM(F3,F5:F6,F8:F10,F12:F15)</f>
        <v>5908453</v>
      </c>
      <c r="G16" s="843"/>
      <c r="H16" s="1760">
        <f>SUM(H3,H6,H8:H10,H12:H14,)</f>
        <v>2028288</v>
      </c>
      <c r="I16" s="1760">
        <f>SUM(I3,I6,I8:I10,I12:I14,)</f>
        <v>124815</v>
      </c>
      <c r="J16" s="1760">
        <f>SUM(J3,J6,J8:J10,J12:J14,)</f>
        <v>0</v>
      </c>
      <c r="K16" s="1760">
        <f>(H16+I16)-J16</f>
        <v>2153103</v>
      </c>
      <c r="L16" s="1760">
        <f>F16-K16</f>
        <v>3755350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124815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9"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881956</v>
      </c>
      <c r="G8" s="865"/>
    </row>
    <row r="9" spans="1:7" x14ac:dyDescent="0.2">
      <c r="A9" s="869" t="s">
        <v>460</v>
      </c>
      <c r="B9" s="870" t="s">
        <v>1877</v>
      </c>
      <c r="C9" s="871"/>
      <c r="D9" s="869" t="s">
        <v>501</v>
      </c>
      <c r="E9" s="868"/>
      <c r="F9" s="1909">
        <f>'Expenditures 15-22'!K151</f>
        <v>87359</v>
      </c>
      <c r="G9" s="872"/>
    </row>
    <row r="10" spans="1:7" x14ac:dyDescent="0.2">
      <c r="A10" s="869" t="s">
        <v>499</v>
      </c>
      <c r="B10" s="870" t="s">
        <v>1878</v>
      </c>
      <c r="C10" s="871"/>
      <c r="D10" s="869" t="s">
        <v>501</v>
      </c>
      <c r="E10" s="868"/>
      <c r="F10" s="1909">
        <f>'Expenditures 15-22'!K174</f>
        <v>21025</v>
      </c>
      <c r="G10" s="872"/>
    </row>
    <row r="11" spans="1:7" x14ac:dyDescent="0.2">
      <c r="A11" s="869" t="s">
        <v>461</v>
      </c>
      <c r="B11" s="870" t="s">
        <v>1879</v>
      </c>
      <c r="C11" s="871"/>
      <c r="D11" s="869" t="s">
        <v>501</v>
      </c>
      <c r="E11" s="868"/>
      <c r="F11" s="1909">
        <f>'Expenditures 15-22'!K210</f>
        <v>63863</v>
      </c>
      <c r="G11" s="872"/>
    </row>
    <row r="12" spans="1:7" x14ac:dyDescent="0.2">
      <c r="A12" s="869" t="s">
        <v>462</v>
      </c>
      <c r="B12" s="870" t="s">
        <v>1880</v>
      </c>
      <c r="C12" s="871"/>
      <c r="D12" s="869" t="s">
        <v>501</v>
      </c>
      <c r="E12" s="868"/>
      <c r="F12" s="1909">
        <f>'Expenditures 15-22'!K295</f>
        <v>25416</v>
      </c>
      <c r="G12" s="872"/>
    </row>
    <row r="13" spans="1:7" x14ac:dyDescent="0.2">
      <c r="A13" s="869" t="s">
        <v>106</v>
      </c>
      <c r="B13" s="870" t="s">
        <v>1881</v>
      </c>
      <c r="C13" s="871"/>
      <c r="D13" s="869" t="s">
        <v>501</v>
      </c>
      <c r="E13" s="868"/>
      <c r="F13" s="1909">
        <f>'Expenditures 15-22'!K342</f>
        <v>65098</v>
      </c>
      <c r="G13" s="873"/>
    </row>
    <row r="14" spans="1:7" ht="12" customHeight="1" thickBot="1" x14ac:dyDescent="0.25">
      <c r="A14" s="1770"/>
      <c r="B14" s="1771"/>
      <c r="C14" s="1772"/>
      <c r="D14" s="1773" t="s">
        <v>501</v>
      </c>
      <c r="E14" s="1774" t="s">
        <v>958</v>
      </c>
      <c r="F14" s="1775">
        <f>SUM(F8:F13)</f>
        <v>1144717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62704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24455</v>
      </c>
      <c r="G53" s="865"/>
    </row>
    <row r="54" spans="1:7" x14ac:dyDescent="0.2">
      <c r="A54" s="869" t="s">
        <v>459</v>
      </c>
      <c r="B54" s="869" t="s">
        <v>1476</v>
      </c>
      <c r="C54" s="889" t="s">
        <v>982</v>
      </c>
      <c r="D54" s="885" t="s">
        <v>1095</v>
      </c>
      <c r="E54" s="868"/>
      <c r="F54" s="1913">
        <f>'Expenditures 15-22'!G114</f>
        <v>21200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19000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127359</v>
      </c>
      <c r="G76" s="865"/>
    </row>
    <row r="77" spans="1:8" s="893" customFormat="1" ht="12" customHeight="1" thickTop="1" thickBot="1" x14ac:dyDescent="0.25">
      <c r="A77" s="1779"/>
      <c r="B77" s="1776"/>
      <c r="C77" s="1772"/>
      <c r="D77" s="1777" t="s">
        <v>1900</v>
      </c>
      <c r="E77" s="1774"/>
      <c r="F77" s="1780">
        <f>(F14-F76)</f>
        <v>1017358</v>
      </c>
      <c r="G77" s="869"/>
    </row>
    <row r="78" spans="1:8" s="893" customFormat="1" ht="12" customHeight="1" thickTop="1" x14ac:dyDescent="0.2">
      <c r="A78" s="1781"/>
      <c r="B78" s="1776"/>
      <c r="C78" s="1772"/>
      <c r="D78" s="1777" t="s">
        <v>2062</v>
      </c>
      <c r="E78" s="1774"/>
      <c r="F78" s="898">
        <v>110.03</v>
      </c>
      <c r="G78" s="899"/>
      <c r="H78" s="869"/>
    </row>
    <row r="79" spans="1:8" s="893" customFormat="1" ht="12" customHeight="1" thickBot="1" x14ac:dyDescent="0.25">
      <c r="A79" s="1782"/>
      <c r="B79" s="1776"/>
      <c r="C79" s="1772"/>
      <c r="D79" s="1777" t="s">
        <v>1901</v>
      </c>
      <c r="E79" s="1774" t="s">
        <v>958</v>
      </c>
      <c r="F79" s="1783">
        <f>IF(F78&gt;0,F77/F78," Complete Line 78")</f>
        <v>9246.1874034354259</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13522</v>
      </c>
      <c r="G94" s="912"/>
    </row>
    <row r="95" spans="1:7" x14ac:dyDescent="0.2">
      <c r="A95" s="908" t="s">
        <v>140</v>
      </c>
      <c r="B95" s="908" t="s">
        <v>175</v>
      </c>
      <c r="C95" s="910">
        <v>1700</v>
      </c>
      <c r="D95" s="918" t="str">
        <f>'Revenues 9-14'!A82</f>
        <v>Total District/School Activity Income</v>
      </c>
      <c r="E95" s="906"/>
      <c r="F95" s="1789">
        <f>SUM('Revenues 9-14'!C82,'Revenues 9-14'!D82)</f>
        <v>3342</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871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51399</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21200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51919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24348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13450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3876</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2285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15953</v>
      </c>
      <c r="G170" s="927"/>
    </row>
    <row r="171" spans="1:7" x14ac:dyDescent="0.2">
      <c r="A171" s="1918" t="s">
        <v>5</v>
      </c>
      <c r="B171" s="1919" t="s">
        <v>1920</v>
      </c>
      <c r="C171" s="1920">
        <v>3100</v>
      </c>
      <c r="D171" s="1921" t="s">
        <v>1922</v>
      </c>
      <c r="E171" s="906"/>
      <c r="F171" s="1906">
        <v>34262</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236427</v>
      </c>
    </row>
    <row r="175" spans="1:7" ht="12" customHeight="1" x14ac:dyDescent="0.2">
      <c r="A175" s="1770"/>
      <c r="B175" s="1784"/>
      <c r="C175" s="1785"/>
      <c r="D175" s="1786" t="s">
        <v>2057</v>
      </c>
      <c r="E175" s="1787"/>
      <c r="F175" s="1789">
        <f>'PCTC-OEPP 27-28'!F77-F174</f>
        <v>780931</v>
      </c>
    </row>
    <row r="176" spans="1:7" ht="12" customHeight="1" x14ac:dyDescent="0.2">
      <c r="A176" s="1770"/>
      <c r="B176" s="1784"/>
      <c r="C176" s="1785"/>
      <c r="D176" s="1786" t="s">
        <v>1817</v>
      </c>
      <c r="E176" s="1787"/>
      <c r="F176" s="1789">
        <f>'Cap Outlay Deprec 26'!I18</f>
        <v>124815</v>
      </c>
    </row>
    <row r="177" spans="1:7" ht="12" customHeight="1" x14ac:dyDescent="0.2">
      <c r="A177" s="1770"/>
      <c r="B177" s="1784"/>
      <c r="C177" s="1785"/>
      <c r="D177" s="1786" t="s">
        <v>2058</v>
      </c>
      <c r="E177" s="1787"/>
      <c r="F177" s="1789">
        <f>F175+F176</f>
        <v>905746</v>
      </c>
    </row>
    <row r="178" spans="1:7" ht="12" customHeight="1" x14ac:dyDescent="0.2">
      <c r="A178" s="1770"/>
      <c r="B178" s="1790"/>
      <c r="C178" s="1785"/>
      <c r="D178" s="1786" t="str">
        <f>D78</f>
        <v>9 Month ADA from District Average Daily Attendance/Prior General State Aid Inquiry 2018-2019</v>
      </c>
      <c r="E178" s="1787"/>
      <c r="F178" s="1791">
        <f>'PCTC-OEPP 27-28'!F78</f>
        <v>110.03</v>
      </c>
      <c r="G178" s="930"/>
    </row>
    <row r="179" spans="1:7" ht="12" customHeight="1" thickBot="1" x14ac:dyDescent="0.25">
      <c r="A179" s="1770"/>
      <c r="B179" s="1790"/>
      <c r="C179" s="1785"/>
      <c r="D179" s="1786" t="s">
        <v>2059</v>
      </c>
      <c r="E179" s="1787" t="s">
        <v>1545</v>
      </c>
      <c r="F179" s="1792">
        <f>F177/F178</f>
        <v>8231.8095064982281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18" sqref="D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4" t="s">
        <v>2086</v>
      </c>
      <c r="C17" s="1938" t="s">
        <v>2087</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41591</v>
      </c>
      <c r="F10" s="974"/>
      <c r="G10" s="975"/>
      <c r="H10" s="162"/>
      <c r="I10" s="162"/>
    </row>
    <row r="11" spans="1:9" s="668" customFormat="1" ht="22.5" customHeight="1" x14ac:dyDescent="0.2">
      <c r="A11" s="2285" t="s">
        <v>1977</v>
      </c>
      <c r="B11" s="2286"/>
      <c r="C11" s="2286"/>
      <c r="D11" s="2287"/>
      <c r="E11" s="977">
        <v>5364</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617283</v>
      </c>
      <c r="F19" s="1799"/>
      <c r="G19" s="1801">
        <f>'Expenditures 15-22'!K33-SUM('Expenditures 15-22'!G33,'Expenditures 15-22'!I33)+'Expenditures 15-22'!D229</f>
        <v>617283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37757</v>
      </c>
      <c r="F21" s="1802"/>
      <c r="G21" s="1805">
        <f>'Expenditures 15-22'!K42-SUM('Expenditures 15-22'!G42,'Expenditures 15-22'!I42)+'Expenditures 15-22'!K120-SUM('Expenditures 15-22'!G120,'Expenditures 15-22'!I120)+'Expenditures 15-22'!K180-SUM('Expenditures 15-22'!G180,'Expenditures 15-22'!I180)+'Expenditures 15-22'!D238</f>
        <v>37757</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148997</v>
      </c>
      <c r="F23" s="1802"/>
      <c r="G23" s="1804">
        <f>'Expenditures 15-22'!K53-SUM('Expenditures 15-22'!G53,'Expenditures 15-22'!I53)+'Expenditures 15-22'!D257+'Expenditures 15-22'!K330-SUM('Expenditures 15-22'!G330,'Expenditures 15-22'!I330)</f>
        <v>148997</v>
      </c>
      <c r="H23" s="987"/>
      <c r="I23" s="162"/>
    </row>
    <row r="24" spans="1:9" s="668" customFormat="1" ht="12" customHeight="1" x14ac:dyDescent="0.2">
      <c r="A24" s="994" t="s">
        <v>566</v>
      </c>
      <c r="B24" s="995"/>
      <c r="C24" s="993">
        <v>2400</v>
      </c>
      <c r="D24" s="1802"/>
      <c r="E24" s="1804">
        <f>'Expenditures 15-22'!K57-SUM('Expenditures 15-22'!G57,'Expenditures 15-22'!I57)+'Expenditures 15-22'!D261</f>
        <v>500</v>
      </c>
      <c r="F24" s="1802"/>
      <c r="G24" s="1805">
        <f>'Expenditures 15-22'!K57-SUM('Expenditures 15-22'!G57,'Expenditures 15-22'!I57)+'Expenditures 15-22'!D261</f>
        <v>500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35915</v>
      </c>
      <c r="E26" s="1804">
        <f>'Expenditures 15-22'!K122-SUM('Expenditures 15-22'!G122,'Expenditures 15-22'!I122)+E7</f>
        <v>0</v>
      </c>
      <c r="F26" s="1804">
        <f>'Expenditures 15-22'!K59-SUM('Expenditures 15-22'!G59,'Expenditures 15-22'!I59)+'Expenditures 15-22'!D263-E7</f>
        <v>35915</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92570</v>
      </c>
      <c r="F28" s="1806">
        <f>'Expenditures 15-22'!K61-SUM('Expenditures 15-22'!G61,'Expenditures 15-22'!I61)+'Expenditures 15-22'!K124-SUM('Expenditures 15-22'!G124,'Expenditures 15-22'!I124)+'Expenditures 15-22'!D266-E9</f>
        <v>92570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66418</v>
      </c>
      <c r="F29" s="1802"/>
      <c r="G29" s="1805">
        <f>'Expenditures 15-22'!K62-SUM('Expenditures 15-22'!G62,'Expenditures 15-22'!I62)+'Expenditures 15-22'!K125-SUM('Expenditures 15-22'!G125,'Expenditures 15-22'!I125)+'Expenditures 15-22'!K182-SUM('Expenditures 15-22'!G182,'Expenditures 15-22'!I182)+'Expenditures 15-22'!D267</f>
        <v>66418</v>
      </c>
      <c r="H29" s="985"/>
    </row>
    <row r="30" spans="1:9" ht="12" customHeight="1" x14ac:dyDescent="0.2">
      <c r="A30" s="994" t="s">
        <v>100</v>
      </c>
      <c r="B30" s="997"/>
      <c r="C30" s="993">
        <v>2560</v>
      </c>
      <c r="D30" s="1802"/>
      <c r="E30" s="1804">
        <f>'Expenditures 15-22'!K63-SUM('Expenditures 15-22'!G63,'Expenditures 15-22'!I63)+'Expenditures 15-22'!D268-E10</f>
        <v>37006</v>
      </c>
      <c r="F30" s="1802"/>
      <c r="G30" s="1804">
        <f>'Expenditures 15-22'!K63-SUM('Expenditures 15-22'!G63,'Expenditures 15-22'!I63)+'Expenditures 15-22'!D268-E10</f>
        <v>37006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35915</v>
      </c>
      <c r="E41" s="1806">
        <f>SUM(E19:E40)</f>
        <v>1000531</v>
      </c>
      <c r="F41" s="1806">
        <f>SUM(F19:F39)</f>
        <v>128485</v>
      </c>
      <c r="G41" s="1806">
        <f>SUM(G19:G40)</f>
        <v>907961</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35915</v>
      </c>
      <c r="F43" s="1807" t="s">
        <v>473</v>
      </c>
      <c r="G43" s="1808">
        <f>F41</f>
        <v>128485</v>
      </c>
    </row>
    <row r="44" spans="1:7" ht="12" customHeight="1" x14ac:dyDescent="0.2">
      <c r="A44" s="987"/>
      <c r="B44" s="162"/>
      <c r="C44" s="1001"/>
      <c r="D44" s="1807" t="s">
        <v>474</v>
      </c>
      <c r="E44" s="1808">
        <f>E41</f>
        <v>1000531</v>
      </c>
      <c r="F44" s="1807" t="s">
        <v>474</v>
      </c>
      <c r="G44" s="1808">
        <f>G41</f>
        <v>907961</v>
      </c>
    </row>
    <row r="45" spans="1:7" ht="12" customHeight="1" x14ac:dyDescent="0.2">
      <c r="A45" s="987"/>
      <c r="B45" s="162"/>
      <c r="C45" s="162"/>
      <c r="D45" s="1809" t="s">
        <v>1006</v>
      </c>
      <c r="E45" s="1810">
        <f>(E43/E44)</f>
        <v>3.5895939256254929E-2</v>
      </c>
      <c r="F45" s="1809" t="s">
        <v>1006</v>
      </c>
      <c r="G45" s="1810">
        <f>(G43/G44)</f>
        <v>0.14150938201090135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2" sqref="A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Cypress SD 64</v>
      </c>
      <c r="D6" s="2306"/>
      <c r="E6" s="2306"/>
      <c r="F6" s="1852"/>
    </row>
    <row r="7" spans="1:10" ht="11.25" customHeight="1" thickBot="1" x14ac:dyDescent="0.3">
      <c r="A7" s="1850"/>
      <c r="B7" s="1851"/>
      <c r="C7" s="2307">
        <f>COVER!A13</f>
        <v>21044064002</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2064</v>
      </c>
      <c r="D33" s="1865" t="s">
        <v>2064</v>
      </c>
      <c r="E33" s="1868" t="s">
        <v>2064</v>
      </c>
      <c r="F33" s="1867" t="s">
        <v>2084</v>
      </c>
      <c r="H33" s="1878">
        <f t="shared" si="0"/>
        <v>5</v>
      </c>
      <c r="I33" s="1878">
        <f t="shared" si="1"/>
        <v>5</v>
      </c>
      <c r="J33" s="1878">
        <f t="shared" si="2"/>
        <v>5</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2" sqref="E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Cypress SD 64</v>
      </c>
      <c r="J6" s="2316"/>
      <c r="Q6" s="1664"/>
    </row>
    <row r="7" spans="1:17" x14ac:dyDescent="0.2">
      <c r="A7" s="2317" t="s">
        <v>869</v>
      </c>
      <c r="B7" s="2318"/>
      <c r="C7" s="2318"/>
      <c r="D7" s="2318"/>
      <c r="E7" s="2319"/>
      <c r="F7" s="1017"/>
      <c r="G7" s="1009"/>
      <c r="H7" s="1016" t="s">
        <v>372</v>
      </c>
      <c r="I7" s="2320">
        <f>COVER!A13</f>
        <v>21044064002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94886</v>
      </c>
      <c r="F12" s="1039"/>
      <c r="G12" s="1811">
        <f t="shared" ref="G12:G18" si="0">SUM(E12:F12)</f>
        <v>94886</v>
      </c>
      <c r="H12" s="1040">
        <f>49580+6812+667+439+31000+1600+2500</f>
        <v>92598</v>
      </c>
      <c r="I12" s="1039"/>
      <c r="J12" s="1811">
        <f t="shared" ref="J12:J18" si="1">SUM(H12:I12)</f>
        <v>92598</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31076</v>
      </c>
      <c r="F15" s="1811">
        <f>'Expenditures 15-22'!K122</f>
        <v>0</v>
      </c>
      <c r="G15" s="1811">
        <f t="shared" si="0"/>
        <v>31076</v>
      </c>
      <c r="H15" s="1040">
        <v>31890</v>
      </c>
      <c r="I15" s="1040">
        <v>0</v>
      </c>
      <c r="J15" s="1811">
        <f t="shared" si="1"/>
        <v>31890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v>7380</v>
      </c>
      <c r="F18" s="1043">
        <v>0</v>
      </c>
      <c r="G18" s="1812">
        <f t="shared" si="0"/>
        <v>7380</v>
      </c>
      <c r="H18" s="1040">
        <v>7918</v>
      </c>
      <c r="I18" s="1040">
        <v>0</v>
      </c>
      <c r="J18" s="1811">
        <f t="shared" si="1"/>
        <v>7918</v>
      </c>
    </row>
    <row r="19" spans="1:10" ht="12.75" customHeight="1" thickBot="1" x14ac:dyDescent="0.25">
      <c r="A19" s="1035">
        <v>8</v>
      </c>
      <c r="B19" s="1044" t="s">
        <v>1161</v>
      </c>
      <c r="D19" s="1045"/>
      <c r="E19" s="1813">
        <f t="shared" ref="E19:J19" si="2">SUM(E12:E17)-E18</f>
        <v>118582</v>
      </c>
      <c r="F19" s="1813">
        <f t="shared" si="2"/>
        <v>0</v>
      </c>
      <c r="G19" s="1813">
        <f t="shared" si="2"/>
        <v>118582</v>
      </c>
      <c r="H19" s="1813">
        <f t="shared" si="2"/>
        <v>116570</v>
      </c>
      <c r="I19" s="1813">
        <f t="shared" si="2"/>
        <v>0</v>
      </c>
      <c r="J19" s="1813">
        <f t="shared" si="2"/>
        <v>116570</v>
      </c>
    </row>
    <row r="20" spans="1:10" ht="13.5" thickTop="1" x14ac:dyDescent="0.2">
      <c r="A20" s="1035">
        <v>9</v>
      </c>
      <c r="B20" s="2327" t="s">
        <v>1981</v>
      </c>
      <c r="C20" s="2327"/>
      <c r="D20" s="2328"/>
      <c r="E20" s="1046"/>
      <c r="F20" s="1046"/>
      <c r="G20" s="1046"/>
      <c r="H20" s="1046"/>
      <c r="I20" s="1046"/>
      <c r="J20" s="1814">
        <f>IF(AND(G19&gt;0,J19&gt;0),(((J19-G19)/G19)),"Enter Budget Data")</f>
        <v>-1.6967161963873101E-2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A6" s="1068">
        <v>2</v>
      </c>
      <c r="B6" s="329" t="s">
        <v>2089</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Cypress SD 64</v>
      </c>
    </row>
    <row r="65" spans="2:2" x14ac:dyDescent="0.2">
      <c r="B65" s="1070">
        <f>COVER!A13</f>
        <v>21044064002</v>
      </c>
    </row>
  </sheetData>
  <phoneticPr fontId="13" type="noConversion"/>
  <pageMargins left="0.2" right="0.2" top="1.17" bottom="0.75" header="0.19" footer="0.16"/>
  <pageSetup scale="81"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5" sqref="B2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920789</v>
      </c>
      <c r="C8" s="1815">
        <f>'Acct Summary 7-8'!D8</f>
        <v>89670</v>
      </c>
      <c r="D8" s="1815">
        <f>'Acct Summary 7-8'!F8</f>
        <v>60122</v>
      </c>
      <c r="E8" s="1815">
        <f>'Acct Summary 7-8'!I8</f>
        <v>3635</v>
      </c>
      <c r="F8" s="1815">
        <f>SUM(B8:E8)</f>
        <v>1074216</v>
      </c>
    </row>
    <row r="9" spans="1:8" s="1079" customFormat="1" ht="14.25" customHeight="1" thickBot="1" x14ac:dyDescent="0.25">
      <c r="A9" s="1078" t="s">
        <v>1369</v>
      </c>
      <c r="B9" s="1816">
        <f>'Acct Summary 7-8'!C17</f>
        <v>881956</v>
      </c>
      <c r="C9" s="1816">
        <f>'Acct Summary 7-8'!D17</f>
        <v>87359</v>
      </c>
      <c r="D9" s="1816">
        <f>'Acct Summary 7-8'!F17</f>
        <v>63863</v>
      </c>
      <c r="E9" s="1815"/>
      <c r="F9" s="1815">
        <f>SUM(B9:E9)</f>
        <v>1033178</v>
      </c>
    </row>
    <row r="10" spans="1:8" s="1079" customFormat="1" ht="14.25" thickTop="1" thickBot="1" x14ac:dyDescent="0.25">
      <c r="A10" s="1080" t="s">
        <v>1370</v>
      </c>
      <c r="B10" s="1817">
        <f>(B8-B9)</f>
        <v>38833</v>
      </c>
      <c r="C10" s="1817">
        <f>(C8-C9)</f>
        <v>2311</v>
      </c>
      <c r="D10" s="1817">
        <f>(D8-D9)</f>
        <v>-3741</v>
      </c>
      <c r="E10" s="1816">
        <f>(E8-E9)</f>
        <v>3635</v>
      </c>
      <c r="F10" s="1818">
        <f>SUM(F8-F9)</f>
        <v>41038</v>
      </c>
    </row>
    <row r="11" spans="1:8" s="1079" customFormat="1" ht="14.25" thickTop="1" thickBot="1" x14ac:dyDescent="0.25">
      <c r="A11" s="1081" t="s">
        <v>1985</v>
      </c>
      <c r="B11" s="1819">
        <f>'Acct Summary 7-8'!C81</f>
        <v>528243</v>
      </c>
      <c r="C11" s="1819">
        <f>'Acct Summary 7-8'!D81</f>
        <v>6801</v>
      </c>
      <c r="D11" s="1819">
        <f>'Acct Summary 7-8'!F81</f>
        <v>52017</v>
      </c>
      <c r="E11" s="1819">
        <f>'Acct Summary 7-8'!I81</f>
        <v>10431</v>
      </c>
      <c r="F11" s="1820">
        <f>SUM(B11:E11)</f>
        <v>597492</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21044064002</v>
      </c>
    </row>
    <row r="3" spans="1:2" x14ac:dyDescent="0.2">
      <c r="A3" t="s">
        <v>956</v>
      </c>
      <c r="B3" s="138" t="str">
        <f>COVER!A15</f>
        <v>JOHNSON</v>
      </c>
    </row>
    <row r="4" spans="1:2" x14ac:dyDescent="0.2">
      <c r="A4" t="s">
        <v>1007</v>
      </c>
      <c r="B4" s="138" t="str">
        <f>COVER!A17</f>
        <v>Cypress SD 64</v>
      </c>
    </row>
    <row r="5" spans="1:2" x14ac:dyDescent="0.2">
      <c r="A5" t="s">
        <v>704</v>
      </c>
      <c r="B5" s="138" t="str">
        <f>COVER!A38</f>
        <v>KIMBERLY SHOEMAKER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066-005023</v>
      </c>
    </row>
    <row r="16" spans="1:2" x14ac:dyDescent="0.2">
      <c r="A16" t="s">
        <v>422</v>
      </c>
      <c r="B16" s="138" t="str">
        <f>COVER!T13</f>
        <v>BEUSSINK HICKAM &amp; KOCHEL PC</v>
      </c>
    </row>
    <row r="17" spans="1:2" x14ac:dyDescent="0.2">
      <c r="A17" t="s">
        <v>884</v>
      </c>
      <c r="B17" s="138" t="str">
        <f>COVER!T15</f>
        <v>SCOTT A HICKAM CPA</v>
      </c>
    </row>
    <row r="18" spans="1:2" x14ac:dyDescent="0.2">
      <c r="A18" t="s">
        <v>1150</v>
      </c>
      <c r="B18" s="138" t="str">
        <f>COVER!T17</f>
        <v>139 W VIENNA ST - PO BOX 556</v>
      </c>
    </row>
    <row r="19" spans="1:2" x14ac:dyDescent="0.2">
      <c r="A19" t="s">
        <v>886</v>
      </c>
      <c r="B19" s="138" t="str">
        <f>COVER!T25</f>
        <v>office@bhcpa1.com</v>
      </c>
    </row>
    <row r="20" spans="1:2" x14ac:dyDescent="0.2">
      <c r="A20" t="s">
        <v>887</v>
      </c>
      <c r="B20" s="138" t="str">
        <f>COVER!T19</f>
        <v>ANNA</v>
      </c>
    </row>
    <row r="21" spans="1:2" x14ac:dyDescent="0.2">
      <c r="A21" t="s">
        <v>479</v>
      </c>
      <c r="B21" s="138" t="str">
        <f>COVER!X19</f>
        <v>IL</v>
      </c>
    </row>
    <row r="22" spans="1:2" x14ac:dyDescent="0.2">
      <c r="A22" t="s">
        <v>888</v>
      </c>
      <c r="B22" s="138">
        <f>COVER!Z19</f>
        <v>62906</v>
      </c>
    </row>
    <row r="23" spans="1:2" x14ac:dyDescent="0.2">
      <c r="A23" t="s">
        <v>1152</v>
      </c>
      <c r="B23" s="138" t="str">
        <f>COVER!T21</f>
        <v>618-833-2721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528243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528243</v>
      </c>
      <c r="D92" s="2" t="str">
        <f t="shared" si="0"/>
        <v>Error?</v>
      </c>
    </row>
    <row r="93" spans="1:4" x14ac:dyDescent="0.2">
      <c r="A93" s="5">
        <v>32</v>
      </c>
      <c r="B93" s="138">
        <f>'Assets-Liab 5-6'!C41</f>
        <v>528243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6801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3375</v>
      </c>
      <c r="D123" s="2" t="str">
        <f t="shared" si="0"/>
        <v>Error?</v>
      </c>
    </row>
    <row r="124" spans="1:4" x14ac:dyDescent="0.2">
      <c r="A124" s="5">
        <v>63</v>
      </c>
      <c r="B124" s="138">
        <f>'Assets-Liab 5-6'!D41</f>
        <v>6801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3669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3669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52017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52017</v>
      </c>
      <c r="D170" s="2" t="str">
        <f t="shared" si="1"/>
        <v>Error?</v>
      </c>
    </row>
    <row r="171" spans="1:4" x14ac:dyDescent="0.2">
      <c r="A171" s="5">
        <v>110</v>
      </c>
      <c r="B171" s="138">
        <f>'Assets-Liab 5-6'!F41</f>
        <v>52017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59815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59815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84206</v>
      </c>
      <c r="D273" s="2" t="str">
        <f t="shared" si="3"/>
        <v>Error?</v>
      </c>
    </row>
    <row r="274" spans="1:4" x14ac:dyDescent="0.2">
      <c r="A274" s="5">
        <v>213</v>
      </c>
      <c r="B274" s="138">
        <f>'Assets-Liab 5-6'!M17</f>
        <v>4578611</v>
      </c>
      <c r="D274" s="2" t="str">
        <f t="shared" si="3"/>
        <v>Error?</v>
      </c>
    </row>
    <row r="275" spans="1:4" x14ac:dyDescent="0.2">
      <c r="A275" s="5">
        <v>214</v>
      </c>
      <c r="B275" s="138">
        <f>'Assets-Liab 5-6'!M18</f>
        <v>443054</v>
      </c>
      <c r="D275" s="2" t="str">
        <f t="shared" si="3"/>
        <v>Error?</v>
      </c>
    </row>
    <row r="276" spans="1:4" x14ac:dyDescent="0.2">
      <c r="A276" s="5">
        <v>215</v>
      </c>
      <c r="B276" s="138">
        <f>'Assets-Liab 5-6'!M19</f>
        <v>802582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5908453</v>
      </c>
      <c r="C279" s="2" t="s">
        <v>573</v>
      </c>
      <c r="D279" s="2" t="str">
        <f t="shared" si="3"/>
        <v>Error?</v>
      </c>
    </row>
    <row r="280" spans="1:4" x14ac:dyDescent="0.2">
      <c r="A280" s="5">
        <v>219</v>
      </c>
      <c r="B280" s="138">
        <f>'Assets-Liab 5-6'!M40</f>
        <v>5908453</v>
      </c>
      <c r="D280" s="2" t="str">
        <f t="shared" si="3"/>
        <v>Error?</v>
      </c>
    </row>
    <row r="281" spans="1:4" x14ac:dyDescent="0.2">
      <c r="A281" s="5">
        <v>220</v>
      </c>
      <c r="B281" s="138">
        <f>'Assets-Liab 5-6'!M41</f>
        <v>5908453</v>
      </c>
      <c r="C281" s="2" t="s">
        <v>573</v>
      </c>
      <c r="D281" s="2" t="str">
        <f t="shared" si="3"/>
        <v>Error?</v>
      </c>
    </row>
    <row r="282" spans="1:4" x14ac:dyDescent="0.2">
      <c r="A282" s="5">
        <v>221</v>
      </c>
      <c r="B282" s="138">
        <f>'Assets-Liab 5-6'!N21</f>
        <v>3669</v>
      </c>
      <c r="D282" s="2" t="str">
        <f t="shared" si="3"/>
        <v>Error?</v>
      </c>
    </row>
    <row r="283" spans="1:4" x14ac:dyDescent="0.2">
      <c r="A283" s="5">
        <v>222</v>
      </c>
      <c r="B283" s="138">
        <f>'Assets-Liab 5-6'!N22</f>
        <v>31331</v>
      </c>
      <c r="D283" s="2" t="str">
        <f t="shared" si="3"/>
        <v>Error?</v>
      </c>
    </row>
    <row r="284" spans="1:4" x14ac:dyDescent="0.2">
      <c r="A284" s="5">
        <v>223</v>
      </c>
      <c r="B284" s="138">
        <f>'Assets-Liab 5-6'!N23</f>
        <v>35000</v>
      </c>
      <c r="C284" s="2" t="s">
        <v>573</v>
      </c>
      <c r="D284" s="2" t="str">
        <f t="shared" si="3"/>
        <v>Error?</v>
      </c>
    </row>
    <row r="285" spans="1:4" x14ac:dyDescent="0.2">
      <c r="A285" s="5">
        <v>224</v>
      </c>
      <c r="B285" s="138">
        <f>'Assets-Liab 5-6'!N36</f>
        <v>35000</v>
      </c>
      <c r="D285" s="2" t="str">
        <f t="shared" si="3"/>
        <v>Error?</v>
      </c>
    </row>
    <row r="286" spans="1:4" x14ac:dyDescent="0.2">
      <c r="A286" s="10">
        <v>225</v>
      </c>
      <c r="D286" s="2" t="str">
        <f t="shared" si="3"/>
        <v>OK</v>
      </c>
    </row>
    <row r="287" spans="1:4" x14ac:dyDescent="0.2">
      <c r="A287" s="5">
        <v>226</v>
      </c>
      <c r="B287" s="138">
        <f>'Assets-Liab 5-6'!N37</f>
        <v>35000</v>
      </c>
      <c r="C287" s="2" t="s">
        <v>573</v>
      </c>
      <c r="D287" s="2" t="str">
        <f t="shared" si="3"/>
        <v>Error?</v>
      </c>
    </row>
    <row r="288" spans="1:4" x14ac:dyDescent="0.2">
      <c r="A288" s="5">
        <v>227</v>
      </c>
      <c r="B288" s="138">
        <f>'Assets-Liab 5-6'!N41</f>
        <v>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370675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6669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488365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4215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638</v>
      </c>
      <c r="D726" s="2" t="str">
        <f t="shared" si="10"/>
        <v>Error?</v>
      </c>
    </row>
    <row r="727" spans="1:4" x14ac:dyDescent="0.2">
      <c r="A727" s="5">
        <v>666</v>
      </c>
      <c r="B727" s="138">
        <f>'Expenditures 15-22'!C42</f>
        <v>4853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54459</v>
      </c>
      <c r="D733" s="2" t="str">
        <f t="shared" si="10"/>
        <v>Error?</v>
      </c>
    </row>
    <row r="734" spans="1:4" x14ac:dyDescent="0.2">
      <c r="A734" s="5">
        <v>673</v>
      </c>
      <c r="B734" s="138">
        <f>'Expenditures 15-22'!C53</f>
        <v>54459</v>
      </c>
      <c r="C734" s="2" t="s">
        <v>573</v>
      </c>
      <c r="D734" s="2" t="str">
        <f t="shared" si="10"/>
        <v>Error?</v>
      </c>
    </row>
    <row r="735" spans="1:4" x14ac:dyDescent="0.2">
      <c r="A735" s="5">
        <v>674</v>
      </c>
      <c r="B735" s="138">
        <f>'Expenditures 15-22'!C55</f>
        <v>400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400</v>
      </c>
      <c r="C737" s="2" t="s">
        <v>573</v>
      </c>
      <c r="D737" s="2" t="str">
        <f t="shared" si="10"/>
        <v>Error?</v>
      </c>
    </row>
    <row r="738" spans="1:4" x14ac:dyDescent="0.2">
      <c r="A738" s="5">
        <v>677</v>
      </c>
      <c r="B738" s="138">
        <f>'Expenditures 15-22'!C59</f>
        <v>31076</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24884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55960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115672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604037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40351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561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55200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7380</v>
      </c>
      <c r="D791" s="2" t="str">
        <f t="shared" si="11"/>
        <v>Error?</v>
      </c>
    </row>
    <row r="792" spans="1:4" x14ac:dyDescent="0.2">
      <c r="A792" s="5">
        <v>731</v>
      </c>
      <c r="B792" s="138">
        <f>'Expenditures 15-22'!D53</f>
        <v>7380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7380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62580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3586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27293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2620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28928</v>
      </c>
      <c r="D841" s="2" t="str">
        <f t="shared" si="12"/>
        <v>Error?</v>
      </c>
    </row>
    <row r="842" spans="1:4" x14ac:dyDescent="0.2">
      <c r="A842" s="5">
        <v>781</v>
      </c>
      <c r="B842" s="138">
        <f>'Expenditures 15-22'!E41</f>
        <v>791</v>
      </c>
      <c r="D842" s="2" t="str">
        <f t="shared" si="12"/>
        <v>Error?</v>
      </c>
    </row>
    <row r="843" spans="1:4" x14ac:dyDescent="0.2">
      <c r="A843" s="5">
        <v>782</v>
      </c>
      <c r="B843" s="138">
        <f>'Expenditures 15-22'!E42</f>
        <v>32339</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6332</v>
      </c>
      <c r="D848" s="2" t="str">
        <f t="shared" si="12"/>
        <v>Error?</v>
      </c>
    </row>
    <row r="849" spans="1:4" x14ac:dyDescent="0.2">
      <c r="A849" s="5">
        <v>788</v>
      </c>
      <c r="B849" s="138">
        <f>'Expenditures 15-22'!E50</f>
        <v>9109</v>
      </c>
      <c r="D849" s="2" t="str">
        <f t="shared" si="12"/>
        <v>Error?</v>
      </c>
    </row>
    <row r="850" spans="1:4" x14ac:dyDescent="0.2">
      <c r="A850" s="5">
        <v>789</v>
      </c>
      <c r="B850" s="138">
        <f>'Expenditures 15-22'!E53</f>
        <v>15441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5620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5620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53400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105148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21991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4774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35885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874</v>
      </c>
      <c r="D906" s="2" t="str">
        <f t="shared" si="13"/>
        <v>Error?</v>
      </c>
    </row>
    <row r="907" spans="1:4" x14ac:dyDescent="0.2">
      <c r="A907" s="5">
        <v>846</v>
      </c>
      <c r="B907" s="138">
        <f>'Expenditures 15-22'!F50</f>
        <v>2220</v>
      </c>
      <c r="D907" s="2" t="str">
        <f t="shared" si="13"/>
        <v>Error?</v>
      </c>
    </row>
    <row r="908" spans="1:4" x14ac:dyDescent="0.2">
      <c r="A908" s="5">
        <v>847</v>
      </c>
      <c r="B908" s="138">
        <f>'Expenditures 15-22'!F53</f>
        <v>3094</v>
      </c>
      <c r="C908" s="2" t="s">
        <v>573</v>
      </c>
      <c r="D908" s="2" t="str">
        <f t="shared" si="13"/>
        <v>Error?</v>
      </c>
    </row>
    <row r="909" spans="1:4" x14ac:dyDescent="0.2">
      <c r="A909" s="5">
        <v>848</v>
      </c>
      <c r="B909" s="138">
        <f>'Expenditures 15-22'!F55</f>
        <v>100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43800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43800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46994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82879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21200</v>
      </c>
      <c r="D965" s="2" t="str">
        <f t="shared" si="14"/>
        <v>Error?</v>
      </c>
    </row>
    <row r="966" spans="1:4" x14ac:dyDescent="0.2">
      <c r="A966" s="5">
        <v>905</v>
      </c>
      <c r="B966" s="138">
        <f>'Expenditures 15-22'!G53</f>
        <v>21200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21200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21200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3219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2076</v>
      </c>
      <c r="D1022" s="2" t="str">
        <f t="shared" si="14"/>
        <v>Error?</v>
      </c>
    </row>
    <row r="1023" spans="1:4" x14ac:dyDescent="0.2">
      <c r="A1023" s="5">
        <v>962</v>
      </c>
      <c r="B1023" s="138">
        <f>'Expenditures 15-22'!H50</f>
        <v>518</v>
      </c>
      <c r="D1023" s="2" t="str">
        <f t="shared" ref="D1023:D1086" si="15">IF(ISBLANK(B1023),"OK",IF(A1023-B1023=0,"OK","Error?"))</f>
        <v>Error?</v>
      </c>
    </row>
    <row r="1024" spans="1:4" x14ac:dyDescent="0.2">
      <c r="A1024" s="5">
        <v>963</v>
      </c>
      <c r="B1024" s="138">
        <f>'Expenditures 15-22'!H53</f>
        <v>2594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299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299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2893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6112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438182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18009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609962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6835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28928</v>
      </c>
      <c r="C1113" s="2" t="s">
        <v>573</v>
      </c>
      <c r="D1113" s="2" t="str">
        <f t="shared" si="16"/>
        <v>Error?</v>
      </c>
    </row>
    <row r="1114" spans="1:4" x14ac:dyDescent="0.2">
      <c r="A1114" s="5">
        <v>1053</v>
      </c>
      <c r="B1114" s="138">
        <f>'Expenditures 15-22'!K41</f>
        <v>1429</v>
      </c>
      <c r="C1114" s="2" t="s">
        <v>573</v>
      </c>
      <c r="D1114" s="2" t="str">
        <f t="shared" si="16"/>
        <v>Error?</v>
      </c>
    </row>
    <row r="1115" spans="1:4" x14ac:dyDescent="0.2">
      <c r="A1115" s="5">
        <v>1054</v>
      </c>
      <c r="B1115" s="138">
        <f>'Expenditures 15-22'!K42</f>
        <v>37192</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9282</v>
      </c>
      <c r="C1120" s="2" t="s">
        <v>573</v>
      </c>
      <c r="D1120" s="2" t="str">
        <f t="shared" si="16"/>
        <v>Error?</v>
      </c>
    </row>
    <row r="1121" spans="1:4" x14ac:dyDescent="0.2">
      <c r="A1121" s="5">
        <v>1060</v>
      </c>
      <c r="B1121" s="138">
        <f>'Expenditures 15-22'!K50</f>
        <v>94886</v>
      </c>
      <c r="C1121" s="2" t="s">
        <v>573</v>
      </c>
      <c r="D1121" s="2" t="str">
        <f t="shared" si="16"/>
        <v>Error?</v>
      </c>
    </row>
    <row r="1122" spans="1:4" x14ac:dyDescent="0.2">
      <c r="A1122" s="5">
        <v>1061</v>
      </c>
      <c r="B1122" s="138">
        <f>'Expenditures 15-22'!K53</f>
        <v>104168</v>
      </c>
      <c r="C1122" s="2" t="s">
        <v>573</v>
      </c>
      <c r="D1122" s="2" t="str">
        <f t="shared" si="16"/>
        <v>Error?</v>
      </c>
    </row>
    <row r="1123" spans="1:4" x14ac:dyDescent="0.2">
      <c r="A1123" s="5">
        <v>1062</v>
      </c>
      <c r="B1123" s="138">
        <f>'Expenditures 15-22'!K55</f>
        <v>500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500</v>
      </c>
      <c r="C1125" s="2" t="s">
        <v>573</v>
      </c>
      <c r="D1125" s="2" t="str">
        <f t="shared" si="16"/>
        <v>Error?</v>
      </c>
    </row>
    <row r="1126" spans="1:4" x14ac:dyDescent="0.2">
      <c r="A1126" s="5">
        <v>1065</v>
      </c>
      <c r="B1126" s="138">
        <f>'Expenditures 15-22'!K59</f>
        <v>31076</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74603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105679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247539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24455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881956</v>
      </c>
      <c r="C1152" s="2" t="s">
        <v>573</v>
      </c>
      <c r="D1152" s="2" t="str">
        <f t="shared" si="17"/>
        <v>Error?</v>
      </c>
    </row>
    <row r="1153" spans="1:4" x14ac:dyDescent="0.2">
      <c r="A1153" s="5">
        <v>1092</v>
      </c>
      <c r="B1153" s="138">
        <f>'Expenditures 15-22'!K115</f>
        <v>38833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30611</v>
      </c>
      <c r="D1221" s="2" t="str">
        <f t="shared" si="18"/>
        <v>Error?</v>
      </c>
    </row>
    <row r="1222" spans="1:4" x14ac:dyDescent="0.2">
      <c r="A1222" s="10">
        <v>1161</v>
      </c>
      <c r="D1222" s="2" t="str">
        <f t="shared" si="18"/>
        <v>OK</v>
      </c>
    </row>
    <row r="1223" spans="1:4" x14ac:dyDescent="0.2">
      <c r="A1223" s="5">
        <v>1162</v>
      </c>
      <c r="B1223" s="138">
        <f>'Expenditures 15-22'!C127</f>
        <v>30611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30611</v>
      </c>
      <c r="C1225" s="2" t="s">
        <v>573</v>
      </c>
      <c r="D1225" s="2" t="str">
        <f t="shared" si="18"/>
        <v>Error?</v>
      </c>
    </row>
    <row r="1226" spans="1:4" x14ac:dyDescent="0.2">
      <c r="A1226" s="5">
        <v>1165</v>
      </c>
      <c r="B1226" s="138">
        <f>'Expenditures 15-22'!C151</f>
        <v>30611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14413</v>
      </c>
      <c r="D1237" s="2" t="str">
        <f t="shared" si="18"/>
        <v>Error?</v>
      </c>
    </row>
    <row r="1238" spans="1:4" x14ac:dyDescent="0.2">
      <c r="A1238" s="10">
        <v>1177</v>
      </c>
      <c r="D1238" s="2" t="str">
        <f t="shared" si="18"/>
        <v>OK</v>
      </c>
    </row>
    <row r="1239" spans="1:4" x14ac:dyDescent="0.2">
      <c r="A1239" s="5">
        <v>1178</v>
      </c>
      <c r="B1239" s="138">
        <f>'Expenditures 15-22'!E127</f>
        <v>14413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14413</v>
      </c>
      <c r="C1241" s="2" t="s">
        <v>573</v>
      </c>
      <c r="D1241" s="2" t="str">
        <f t="shared" si="18"/>
        <v>Error?</v>
      </c>
    </row>
    <row r="1242" spans="1:4" x14ac:dyDescent="0.2">
      <c r="A1242" s="5">
        <v>1181</v>
      </c>
      <c r="B1242" s="138">
        <f>'Expenditures 15-22'!E151</f>
        <v>14413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42335</v>
      </c>
      <c r="D1245" s="2" t="str">
        <f t="shared" si="18"/>
        <v>Error?</v>
      </c>
    </row>
    <row r="1246" spans="1:4" x14ac:dyDescent="0.2">
      <c r="A1246" s="10">
        <v>1185</v>
      </c>
      <c r="D1246" s="2" t="str">
        <f t="shared" si="18"/>
        <v>OK</v>
      </c>
    </row>
    <row r="1247" spans="1:4" x14ac:dyDescent="0.2">
      <c r="A1247" s="5">
        <v>1186</v>
      </c>
      <c r="B1247" s="138">
        <f>'Expenditures 15-22'!F127</f>
        <v>42335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42335</v>
      </c>
      <c r="C1249" s="2" t="s">
        <v>573</v>
      </c>
      <c r="D1249" s="2" t="str">
        <f t="shared" si="18"/>
        <v>Error?</v>
      </c>
    </row>
    <row r="1250" spans="1:4" x14ac:dyDescent="0.2">
      <c r="A1250" s="5">
        <v>1189</v>
      </c>
      <c r="B1250" s="138">
        <f>'Expenditures 15-22'!F151</f>
        <v>42335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87359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87359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87359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87359</v>
      </c>
      <c r="C1288" s="2" t="s">
        <v>573</v>
      </c>
      <c r="D1288" s="2" t="str">
        <f t="shared" si="19"/>
        <v>Error?</v>
      </c>
    </row>
    <row r="1289" spans="1:4" x14ac:dyDescent="0.2">
      <c r="A1289" s="5">
        <v>1228</v>
      </c>
      <c r="B1289" s="138">
        <f>'Expenditures 15-22'!K152</f>
        <v>2311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19000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21025</v>
      </c>
      <c r="C1317" s="2" t="s">
        <v>573</v>
      </c>
      <c r="D1317" s="2" t="str">
        <f t="shared" si="19"/>
        <v>Error?</v>
      </c>
    </row>
    <row r="1318" spans="1:4" x14ac:dyDescent="0.2">
      <c r="A1318" s="5">
        <v>1257</v>
      </c>
      <c r="B1318" s="138">
        <f>'Expenditures 15-22'!H174</f>
        <v>21025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1025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19000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21025</v>
      </c>
      <c r="C1331" s="2" t="s">
        <v>573</v>
      </c>
      <c r="D1331" s="2" t="str">
        <f t="shared" si="19"/>
        <v>Error?</v>
      </c>
    </row>
    <row r="1332" spans="1:4" x14ac:dyDescent="0.2">
      <c r="A1332" s="5">
        <v>1271</v>
      </c>
      <c r="B1332" s="138">
        <f>'Expenditures 15-22'!K174</f>
        <v>21025</v>
      </c>
      <c r="C1332" s="2" t="s">
        <v>573</v>
      </c>
      <c r="D1332" s="2" t="str">
        <f t="shared" si="19"/>
        <v>Error?</v>
      </c>
    </row>
    <row r="1333" spans="1:4" x14ac:dyDescent="0.2">
      <c r="A1333" s="5">
        <v>1272</v>
      </c>
      <c r="B1333" s="138">
        <f>'Expenditures 15-22'!K175</f>
        <v>-940</v>
      </c>
      <c r="C1333" s="2" t="s">
        <v>573</v>
      </c>
      <c r="D1333" s="2" t="str">
        <f t="shared" si="19"/>
        <v>Error?</v>
      </c>
    </row>
    <row r="1334" spans="1:4" x14ac:dyDescent="0.2">
      <c r="A1334" s="10">
        <v>1273</v>
      </c>
      <c r="D1334" s="2" t="str">
        <f t="shared" si="19"/>
        <v>OK</v>
      </c>
    </row>
    <row r="1335" spans="1:4" x14ac:dyDescent="0.2">
      <c r="A1335" s="5">
        <v>1274</v>
      </c>
      <c r="B1335" s="138">
        <f>'Expenditures 15-22'!C182</f>
        <v>36324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36324</v>
      </c>
      <c r="C1339" s="2" t="s">
        <v>573</v>
      </c>
      <c r="D1339" s="2" t="str">
        <f t="shared" si="19"/>
        <v>Error?</v>
      </c>
    </row>
    <row r="1340" spans="1:4" x14ac:dyDescent="0.2">
      <c r="A1340" s="5">
        <v>1279</v>
      </c>
      <c r="B1340" s="138">
        <f>'Expenditures 15-22'!C210</f>
        <v>36324</v>
      </c>
      <c r="C1340" s="2" t="s">
        <v>573</v>
      </c>
      <c r="D1340" s="2" t="str">
        <f t="shared" si="19"/>
        <v>Error?</v>
      </c>
    </row>
    <row r="1341" spans="1:4" x14ac:dyDescent="0.2">
      <c r="A1341" s="5">
        <v>1280</v>
      </c>
      <c r="B1341" s="138">
        <f>'Expenditures 15-22'!D182</f>
        <v>774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774</v>
      </c>
      <c r="C1345" s="2" t="s">
        <v>573</v>
      </c>
      <c r="D1345" s="2" t="str">
        <f t="shared" si="20"/>
        <v>Error?</v>
      </c>
    </row>
    <row r="1346" spans="1:4" x14ac:dyDescent="0.2">
      <c r="A1346" s="5">
        <v>1285</v>
      </c>
      <c r="B1346" s="138">
        <f>'Expenditures 15-22'!D210</f>
        <v>774</v>
      </c>
      <c r="C1346" s="2" t="s">
        <v>573</v>
      </c>
      <c r="D1346" s="2" t="str">
        <f t="shared" si="20"/>
        <v>Error?</v>
      </c>
    </row>
    <row r="1347" spans="1:4" x14ac:dyDescent="0.2">
      <c r="A1347" s="5">
        <v>1286</v>
      </c>
      <c r="B1347" s="138">
        <f>'Expenditures 15-22'!E182</f>
        <v>17622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17622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17622</v>
      </c>
      <c r="C1353" s="2" t="s">
        <v>573</v>
      </c>
      <c r="D1353" s="2" t="str">
        <f t="shared" si="20"/>
        <v>Error?</v>
      </c>
    </row>
    <row r="1354" spans="1:4" x14ac:dyDescent="0.2">
      <c r="A1354" s="5">
        <v>1293</v>
      </c>
      <c r="B1354" s="138">
        <f>'Expenditures 15-22'!F182</f>
        <v>8546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8546</v>
      </c>
      <c r="C1358" s="2" t="s">
        <v>573</v>
      </c>
      <c r="D1358" s="2" t="str">
        <f t="shared" si="20"/>
        <v>Error?</v>
      </c>
    </row>
    <row r="1359" spans="1:4" x14ac:dyDescent="0.2">
      <c r="A1359" s="5">
        <v>1298</v>
      </c>
      <c r="B1359" s="138">
        <f>'Expenditures 15-22'!F210</f>
        <v>8546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597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597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597</v>
      </c>
      <c r="C1376" s="2" t="s">
        <v>573</v>
      </c>
      <c r="D1376" s="2" t="str">
        <f t="shared" si="20"/>
        <v>Error?</v>
      </c>
    </row>
    <row r="1377" spans="1:4" x14ac:dyDescent="0.2">
      <c r="A1377" s="5">
        <v>1316</v>
      </c>
      <c r="B1377" s="138">
        <f>'Expenditures 15-22'!K182</f>
        <v>63863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63863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63863</v>
      </c>
      <c r="C1388" s="2" t="s">
        <v>573</v>
      </c>
      <c r="D1388" s="2" t="str">
        <f t="shared" si="20"/>
        <v>Error?</v>
      </c>
    </row>
    <row r="1389" spans="1:4" x14ac:dyDescent="0.2">
      <c r="A1389" s="5">
        <v>1328</v>
      </c>
      <c r="B1389" s="138">
        <f>'Expenditures 15-22'!K211</f>
        <v>-3741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7321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565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565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931</v>
      </c>
      <c r="D1423" s="2" t="str">
        <f t="shared" si="21"/>
        <v>Error?</v>
      </c>
    </row>
    <row r="1424" spans="1:4" x14ac:dyDescent="0.2">
      <c r="A1424" s="5">
        <v>1363</v>
      </c>
      <c r="B1424" s="138">
        <f>'Expenditures 15-22'!D257</f>
        <v>931</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4839</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5211</v>
      </c>
      <c r="D1431" s="2" t="str">
        <f t="shared" si="21"/>
        <v>Error?</v>
      </c>
    </row>
    <row r="1432" spans="1:4" x14ac:dyDescent="0.2">
      <c r="A1432" s="5">
        <v>1371</v>
      </c>
      <c r="B1432" s="138">
        <f>'Expenditures 15-22'!D267</f>
        <v>2555</v>
      </c>
      <c r="D1432" s="2" t="str">
        <f t="shared" si="21"/>
        <v>Error?</v>
      </c>
    </row>
    <row r="1433" spans="1:4" x14ac:dyDescent="0.2">
      <c r="A1433" s="5">
        <v>1372</v>
      </c>
      <c r="B1433" s="138">
        <f>'Expenditures 15-22'!D268</f>
        <v>3994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16599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18095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25416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234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7321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565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565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931</v>
      </c>
      <c r="C1487" s="2" t="s">
        <v>573</v>
      </c>
      <c r="D1487" s="2" t="str">
        <f t="shared" si="22"/>
        <v>Error?</v>
      </c>
    </row>
    <row r="1488" spans="1:4" x14ac:dyDescent="0.2">
      <c r="A1488" s="5">
        <v>1427</v>
      </c>
      <c r="B1488" s="138">
        <f>'Expenditures 15-22'!K257</f>
        <v>931</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4839</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5211</v>
      </c>
      <c r="C1495" s="2" t="s">
        <v>573</v>
      </c>
      <c r="D1495" s="2" t="str">
        <f t="shared" si="22"/>
        <v>Error?</v>
      </c>
    </row>
    <row r="1496" spans="1:4" x14ac:dyDescent="0.2">
      <c r="A1496" s="5">
        <v>1435</v>
      </c>
      <c r="B1496" s="138">
        <f>'Expenditures 15-22'!K267</f>
        <v>2555</v>
      </c>
      <c r="C1496" s="2" t="s">
        <v>573</v>
      </c>
      <c r="D1496" s="2" t="str">
        <f t="shared" si="22"/>
        <v>Error?</v>
      </c>
    </row>
    <row r="1497" spans="1:4" x14ac:dyDescent="0.2">
      <c r="A1497" s="5">
        <v>1436</v>
      </c>
      <c r="B1497" s="138">
        <f>'Expenditures 15-22'!K268</f>
        <v>3994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16599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18095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25416</v>
      </c>
      <c r="C1517" s="2" t="s">
        <v>573</v>
      </c>
      <c r="D1517" s="2" t="str">
        <f t="shared" si="22"/>
        <v>Error?</v>
      </c>
    </row>
    <row r="1518" spans="1:4" x14ac:dyDescent="0.2">
      <c r="A1518" s="5">
        <v>1457</v>
      </c>
      <c r="B1518" s="138">
        <f>'Expenditures 15-22'!K296</f>
        <v>3379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489410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528243</v>
      </c>
      <c r="C1630" s="2" t="s">
        <v>573</v>
      </c>
      <c r="D1630" s="2" t="str">
        <f t="shared" si="24"/>
        <v>Error?</v>
      </c>
    </row>
    <row r="1631" spans="1:4" x14ac:dyDescent="0.2">
      <c r="A1631" s="5">
        <v>1570</v>
      </c>
      <c r="B1631" s="138">
        <f>'Acct Summary 7-8'!D79</f>
        <v>4490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6801</v>
      </c>
      <c r="C1644" s="2" t="s">
        <v>573</v>
      </c>
      <c r="D1644" s="2" t="str">
        <f t="shared" si="24"/>
        <v>Error?</v>
      </c>
    </row>
    <row r="1645" spans="1:4" x14ac:dyDescent="0.2">
      <c r="A1645" s="5">
        <v>1584</v>
      </c>
      <c r="B1645" s="138">
        <f>'Acct Summary 7-8'!E79</f>
        <v>4609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3669</v>
      </c>
      <c r="C1658" s="2" t="s">
        <v>573</v>
      </c>
      <c r="D1658" s="2" t="str">
        <f t="shared" si="24"/>
        <v>Error?</v>
      </c>
    </row>
    <row r="1659" spans="1:4" x14ac:dyDescent="0.2">
      <c r="A1659" s="5">
        <v>1598</v>
      </c>
      <c r="B1659" s="138">
        <f>'Acct Summary 7-8'!F79</f>
        <v>55758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52017</v>
      </c>
      <c r="C1672" s="2" t="s">
        <v>573</v>
      </c>
      <c r="D1672" s="2" t="str">
        <f t="shared" si="25"/>
        <v>Error?</v>
      </c>
    </row>
    <row r="1673" spans="1:4" x14ac:dyDescent="0.2">
      <c r="A1673" s="5">
        <v>1612</v>
      </c>
      <c r="B1673" s="138">
        <f>'Acct Summary 7-8'!G79</f>
        <v>56436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59815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66872</v>
      </c>
      <c r="C1744" s="2" t="s">
        <v>573</v>
      </c>
      <c r="D1744" s="2" t="str">
        <f t="shared" si="26"/>
        <v>Error?</v>
      </c>
    </row>
    <row r="1745" spans="1:5" x14ac:dyDescent="0.2">
      <c r="A1745" s="5">
        <v>1684</v>
      </c>
      <c r="B1745" s="138">
        <f>'Tax Sched 23'!B5</f>
        <v>18173</v>
      </c>
      <c r="C1745" s="2" t="s">
        <v>573</v>
      </c>
      <c r="D1745" s="2" t="str">
        <f t="shared" si="26"/>
        <v>Error?</v>
      </c>
    </row>
    <row r="1746" spans="1:5" x14ac:dyDescent="0.2">
      <c r="A1746" s="5">
        <v>1685</v>
      </c>
      <c r="B1746" s="138">
        <f>'Tax Sched 23'!B6</f>
        <v>20085</v>
      </c>
      <c r="C1746" s="2" t="s">
        <v>573</v>
      </c>
      <c r="D1746" s="2" t="str">
        <f t="shared" si="26"/>
        <v>Error?</v>
      </c>
    </row>
    <row r="1747" spans="1:5" x14ac:dyDescent="0.2">
      <c r="A1747" s="5">
        <v>1686</v>
      </c>
      <c r="B1747" s="138">
        <f>'Tax Sched 23'!B7</f>
        <v>8723</v>
      </c>
      <c r="C1747" s="2" t="s">
        <v>573</v>
      </c>
      <c r="D1747" s="2" t="str">
        <f t="shared" si="26"/>
        <v>Error?</v>
      </c>
    </row>
    <row r="1748" spans="1:5" x14ac:dyDescent="0.2">
      <c r="A1748" s="5">
        <v>1687</v>
      </c>
      <c r="B1748" s="138">
        <f>'Tax Sched 23'!B8</f>
        <v>12044</v>
      </c>
      <c r="C1748" s="2" t="s">
        <v>573</v>
      </c>
      <c r="D1748" s="2" t="str">
        <f t="shared" si="26"/>
        <v>Error?</v>
      </c>
    </row>
    <row r="1749" spans="1:5" x14ac:dyDescent="0.2">
      <c r="A1749" s="5">
        <v>1688</v>
      </c>
      <c r="B1749" s="138">
        <f>'Tax Sched 23'!B10</f>
        <v>3635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72484</v>
      </c>
      <c r="C1752" s="2" t="s">
        <v>573</v>
      </c>
      <c r="D1752" s="2" t="str">
        <f t="shared" si="26"/>
        <v>Error?</v>
      </c>
    </row>
    <row r="1753" spans="1:5" x14ac:dyDescent="0.2">
      <c r="A1753" s="5">
        <v>1692</v>
      </c>
      <c r="B1753" s="138">
        <f>'Tax Sched 23'!B12</f>
        <v>3635</v>
      </c>
      <c r="C1753" s="2" t="s">
        <v>573</v>
      </c>
      <c r="D1753" s="2" t="str">
        <f t="shared" si="26"/>
        <v>Error?</v>
      </c>
    </row>
    <row r="1754" spans="1:5" x14ac:dyDescent="0.2">
      <c r="A1754" s="5">
        <v>1693</v>
      </c>
      <c r="B1754" s="138">
        <f>'Tax Sched 23'!B14</f>
        <v>1455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226786</v>
      </c>
      <c r="C1759" s="2" t="s">
        <v>573</v>
      </c>
      <c r="D1759" s="2" t="str">
        <f t="shared" si="26"/>
        <v>Error?</v>
      </c>
    </row>
    <row r="1760" spans="1:5" x14ac:dyDescent="0.2">
      <c r="A1760" s="5">
        <v>1699</v>
      </c>
      <c r="B1760" s="138">
        <f>'Tax Sched 23'!D4</f>
        <v>66872</v>
      </c>
      <c r="C1760" s="2" t="s">
        <v>573</v>
      </c>
      <c r="D1760" s="2" t="str">
        <f t="shared" si="26"/>
        <v>Error?</v>
      </c>
    </row>
    <row r="1761" spans="1:5" x14ac:dyDescent="0.2">
      <c r="A1761" s="5">
        <v>1700</v>
      </c>
      <c r="B1761" s="138">
        <f>'Tax Sched 23'!D5</f>
        <v>18173</v>
      </c>
      <c r="C1761" s="2" t="s">
        <v>573</v>
      </c>
      <c r="D1761" s="2" t="str">
        <f t="shared" si="26"/>
        <v>Error?</v>
      </c>
    </row>
    <row r="1762" spans="1:5" s="8" customFormat="1" x14ac:dyDescent="0.2">
      <c r="A1762" s="5">
        <v>1701</v>
      </c>
      <c r="B1762" s="138">
        <f>'Tax Sched 23'!D6</f>
        <v>20085</v>
      </c>
      <c r="C1762" s="2" t="s">
        <v>573</v>
      </c>
      <c r="D1762" s="2" t="str">
        <f t="shared" si="26"/>
        <v>Error?</v>
      </c>
      <c r="E1762" s="9"/>
    </row>
    <row r="1763" spans="1:5" x14ac:dyDescent="0.2">
      <c r="A1763" s="5">
        <v>1702</v>
      </c>
      <c r="B1763" s="138">
        <f>'Tax Sched 23'!D7</f>
        <v>8723</v>
      </c>
      <c r="C1763" s="2" t="s">
        <v>573</v>
      </c>
      <c r="D1763" s="2" t="str">
        <f t="shared" si="26"/>
        <v>Error?</v>
      </c>
    </row>
    <row r="1764" spans="1:5" x14ac:dyDescent="0.2">
      <c r="A1764" s="5">
        <v>1703</v>
      </c>
      <c r="B1764" s="138">
        <f>'Tax Sched 23'!D8</f>
        <v>12044</v>
      </c>
      <c r="C1764" s="2" t="s">
        <v>573</v>
      </c>
      <c r="D1764" s="2" t="str">
        <f t="shared" si="26"/>
        <v>Error?</v>
      </c>
    </row>
    <row r="1765" spans="1:5" x14ac:dyDescent="0.2">
      <c r="A1765" s="5">
        <v>1704</v>
      </c>
      <c r="B1765" s="138">
        <f>'Tax Sched 23'!D10</f>
        <v>3635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72484</v>
      </c>
      <c r="C1768" s="2" t="s">
        <v>573</v>
      </c>
      <c r="D1768" s="2" t="str">
        <f t="shared" si="26"/>
        <v>Error?</v>
      </c>
    </row>
    <row r="1769" spans="1:5" x14ac:dyDescent="0.2">
      <c r="A1769" s="5">
        <v>1708</v>
      </c>
      <c r="B1769" s="138">
        <f>'Tax Sched 23'!D12</f>
        <v>3635</v>
      </c>
      <c r="C1769" s="2" t="s">
        <v>573</v>
      </c>
      <c r="D1769" s="2" t="str">
        <f t="shared" si="26"/>
        <v>Error?</v>
      </c>
    </row>
    <row r="1770" spans="1:5" x14ac:dyDescent="0.2">
      <c r="A1770" s="5">
        <v>1709</v>
      </c>
      <c r="B1770" s="138">
        <f>'Tax Sched 23'!D14</f>
        <v>1455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226786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72095</v>
      </c>
      <c r="C1792" s="2" t="s">
        <v>573</v>
      </c>
      <c r="D1792" s="2" t="str">
        <f t="shared" si="27"/>
        <v>Error?</v>
      </c>
    </row>
    <row r="1793" spans="1:4" x14ac:dyDescent="0.2">
      <c r="A1793" s="5">
        <v>1732</v>
      </c>
      <c r="B1793" s="138">
        <f>'Tax Sched 23'!F5</f>
        <v>19591</v>
      </c>
      <c r="C1793" s="2" t="s">
        <v>573</v>
      </c>
      <c r="D1793" s="2" t="str">
        <f t="shared" si="27"/>
        <v>Error?</v>
      </c>
    </row>
    <row r="1794" spans="1:4" x14ac:dyDescent="0.2">
      <c r="A1794" s="5">
        <v>1733</v>
      </c>
      <c r="B1794" s="138">
        <f>'Tax Sched 23'!F6</f>
        <v>19654</v>
      </c>
      <c r="C1794" s="2" t="s">
        <v>573</v>
      </c>
      <c r="D1794" s="2" t="str">
        <f t="shared" si="27"/>
        <v>Error?</v>
      </c>
    </row>
    <row r="1795" spans="1:4" x14ac:dyDescent="0.2">
      <c r="A1795" s="5">
        <v>1734</v>
      </c>
      <c r="B1795" s="138">
        <f>'Tax Sched 23'!F7</f>
        <v>9404</v>
      </c>
      <c r="C1795" s="2" t="s">
        <v>573</v>
      </c>
      <c r="D1795" s="2" t="str">
        <f t="shared" si="27"/>
        <v>Error?</v>
      </c>
    </row>
    <row r="1796" spans="1:4" x14ac:dyDescent="0.2">
      <c r="A1796" s="5">
        <v>1735</v>
      </c>
      <c r="B1796" s="138">
        <f>'Tax Sched 23'!F8</f>
        <v>10021</v>
      </c>
      <c r="C1796" s="2" t="s">
        <v>573</v>
      </c>
      <c r="D1796" s="2" t="str">
        <f t="shared" si="27"/>
        <v>Error?</v>
      </c>
    </row>
    <row r="1797" spans="1:4" x14ac:dyDescent="0.2">
      <c r="A1797" s="5">
        <v>1736</v>
      </c>
      <c r="B1797" s="138">
        <f>'Tax Sched 23'!F10</f>
        <v>3918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72497</v>
      </c>
      <c r="C1800" s="2" t="s">
        <v>573</v>
      </c>
      <c r="D1800" s="2" t="str">
        <f t="shared" si="27"/>
        <v>Error?</v>
      </c>
    </row>
    <row r="1801" spans="1:4" x14ac:dyDescent="0.2">
      <c r="A1801" s="5">
        <v>1740</v>
      </c>
      <c r="B1801" s="138">
        <f>'Tax Sched 23'!F12</f>
        <v>3918</v>
      </c>
      <c r="C1801" s="2" t="s">
        <v>573</v>
      </c>
      <c r="D1801" s="2" t="str">
        <f t="shared" si="27"/>
        <v>Error?</v>
      </c>
    </row>
    <row r="1802" spans="1:4" x14ac:dyDescent="0.2">
      <c r="A1802" s="5">
        <v>1741</v>
      </c>
      <c r="B1802" s="138">
        <f>'Tax Sched 23'!F14</f>
        <v>1567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232618</v>
      </c>
      <c r="C1807" s="2" t="s">
        <v>573</v>
      </c>
      <c r="D1807" s="2" t="str">
        <f t="shared" si="27"/>
        <v>Error?</v>
      </c>
    </row>
    <row r="1808" spans="1:4" x14ac:dyDescent="0.2">
      <c r="A1808" s="5">
        <v>1747</v>
      </c>
      <c r="B1808" s="138">
        <f>'Tax Sched 23'!E4</f>
        <v>72095</v>
      </c>
      <c r="D1808" s="2" t="str">
        <f t="shared" si="27"/>
        <v>Error?</v>
      </c>
    </row>
    <row r="1809" spans="1:4" x14ac:dyDescent="0.2">
      <c r="A1809" s="5">
        <v>1748</v>
      </c>
      <c r="B1809" s="138">
        <f>'Tax Sched 23'!E5</f>
        <v>19591</v>
      </c>
      <c r="D1809" s="2" t="str">
        <f t="shared" si="27"/>
        <v>Error?</v>
      </c>
    </row>
    <row r="1810" spans="1:4" x14ac:dyDescent="0.2">
      <c r="A1810" s="5">
        <v>1749</v>
      </c>
      <c r="B1810" s="138">
        <f>'Tax Sched 23'!E6</f>
        <v>19654</v>
      </c>
      <c r="D1810" s="2" t="str">
        <f t="shared" si="27"/>
        <v>Error?</v>
      </c>
    </row>
    <row r="1811" spans="1:4" x14ac:dyDescent="0.2">
      <c r="A1811" s="5">
        <v>1750</v>
      </c>
      <c r="B1811" s="138">
        <f>'Tax Sched 23'!E7</f>
        <v>9404</v>
      </c>
      <c r="D1811" s="2" t="str">
        <f t="shared" si="27"/>
        <v>Error?</v>
      </c>
    </row>
    <row r="1812" spans="1:4" x14ac:dyDescent="0.2">
      <c r="A1812" s="5">
        <v>1751</v>
      </c>
      <c r="B1812" s="138">
        <f>'Tax Sched 23'!E8</f>
        <v>10021</v>
      </c>
      <c r="D1812" s="2" t="str">
        <f t="shared" si="27"/>
        <v>Error?</v>
      </c>
    </row>
    <row r="1813" spans="1:4" x14ac:dyDescent="0.2">
      <c r="A1813" s="5">
        <v>1752</v>
      </c>
      <c r="B1813" s="138">
        <f>'Tax Sched 23'!E10</f>
        <v>3918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72497</v>
      </c>
      <c r="D1816" s="2" t="str">
        <f t="shared" si="27"/>
        <v>Error?</v>
      </c>
    </row>
    <row r="1817" spans="1:4" x14ac:dyDescent="0.2">
      <c r="A1817" s="5">
        <v>1756</v>
      </c>
      <c r="B1817" s="138">
        <f>'Tax Sched 23'!E12</f>
        <v>3918</v>
      </c>
      <c r="D1817" s="2" t="str">
        <f t="shared" si="27"/>
        <v>Error?</v>
      </c>
    </row>
    <row r="1818" spans="1:4" x14ac:dyDescent="0.2">
      <c r="A1818" s="5">
        <v>1757</v>
      </c>
      <c r="B1818" s="138">
        <f>'Tax Sched 23'!E14</f>
        <v>1567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232618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1455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1455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84206</v>
      </c>
      <c r="D2008" s="2" t="str">
        <f t="shared" si="30"/>
        <v>Error?</v>
      </c>
    </row>
    <row r="2009" spans="1:4" x14ac:dyDescent="0.2">
      <c r="A2009" s="5">
        <v>1948</v>
      </c>
      <c r="B2009" s="138">
        <f>'Cap Outlay Deprec 26'!C8</f>
        <v>4578611</v>
      </c>
      <c r="D2009" s="2" t="str">
        <f t="shared" si="30"/>
        <v>Error?</v>
      </c>
    </row>
    <row r="2010" spans="1:4" x14ac:dyDescent="0.2">
      <c r="A2010" s="5">
        <v>1949</v>
      </c>
      <c r="B2010" s="138">
        <f>'Cap Outlay Deprec 26'!C10</f>
        <v>443054</v>
      </c>
      <c r="D2010" s="2" t="str">
        <f t="shared" si="30"/>
        <v>Error?</v>
      </c>
    </row>
    <row r="2011" spans="1:4" x14ac:dyDescent="0.2">
      <c r="A2011" s="5">
        <v>1950</v>
      </c>
      <c r="B2011" s="138">
        <f>'Cap Outlay Deprec 26'!C12</f>
        <v>550180</v>
      </c>
      <c r="D2011" s="2" t="str">
        <f t="shared" si="30"/>
        <v>Error?</v>
      </c>
    </row>
    <row r="2012" spans="1:4" x14ac:dyDescent="0.2">
      <c r="A2012" s="5">
        <v>1951</v>
      </c>
      <c r="B2012" s="138">
        <f>'Cap Outlay Deprec 26'!C13</f>
        <v>190585</v>
      </c>
      <c r="D2012" s="2" t="str">
        <f t="shared" si="30"/>
        <v>Error?</v>
      </c>
    </row>
    <row r="2013" spans="1:4" x14ac:dyDescent="0.2">
      <c r="A2013" s="5">
        <v>1952</v>
      </c>
      <c r="B2013" s="138">
        <f>'Cap Outlay Deprec 26'!C16</f>
        <v>5887253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21200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21200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84206</v>
      </c>
      <c r="C2026" s="2" t="s">
        <v>573</v>
      </c>
      <c r="D2026" s="2" t="str">
        <f t="shared" si="30"/>
        <v>Error?</v>
      </c>
    </row>
    <row r="2027" spans="1:4" x14ac:dyDescent="0.2">
      <c r="A2027" s="5">
        <v>1966</v>
      </c>
      <c r="B2027" s="138">
        <f>'Cap Outlay Deprec 26'!F8</f>
        <v>4578611</v>
      </c>
      <c r="C2027" s="2" t="s">
        <v>573</v>
      </c>
      <c r="D2027" s="2" t="str">
        <f t="shared" si="30"/>
        <v>Error?</v>
      </c>
    </row>
    <row r="2028" spans="1:4" x14ac:dyDescent="0.2">
      <c r="A2028" s="5">
        <v>1967</v>
      </c>
      <c r="B2028" s="138">
        <f>'Cap Outlay Deprec 26'!F10</f>
        <v>443054</v>
      </c>
      <c r="C2028" s="2" t="s">
        <v>573</v>
      </c>
      <c r="D2028" s="2" t="str">
        <f t="shared" si="30"/>
        <v>Error?</v>
      </c>
    </row>
    <row r="2029" spans="1:4" x14ac:dyDescent="0.2">
      <c r="A2029" s="5">
        <v>1968</v>
      </c>
      <c r="B2029" s="138">
        <f>'Cap Outlay Deprec 26'!F12</f>
        <v>571380</v>
      </c>
      <c r="C2029" s="2" t="s">
        <v>573</v>
      </c>
      <c r="D2029" s="2" t="str">
        <f t="shared" si="30"/>
        <v>Error?</v>
      </c>
    </row>
    <row r="2030" spans="1:4" x14ac:dyDescent="0.2">
      <c r="A2030" s="5">
        <v>1969</v>
      </c>
      <c r="B2030" s="138">
        <f>'Cap Outlay Deprec 26'!F13</f>
        <v>190585</v>
      </c>
      <c r="C2030" s="2" t="s">
        <v>573</v>
      </c>
      <c r="D2030" s="2" t="str">
        <f t="shared" si="30"/>
        <v>Error?</v>
      </c>
    </row>
    <row r="2031" spans="1:4" x14ac:dyDescent="0.2">
      <c r="A2031" s="5">
        <v>1970</v>
      </c>
      <c r="B2031" s="138">
        <f>'Cap Outlay Deprec 26'!F16</f>
        <v>5908453</v>
      </c>
      <c r="C2031" s="2" t="s">
        <v>573</v>
      </c>
      <c r="D2031" s="2" t="str">
        <f t="shared" si="30"/>
        <v>Error?</v>
      </c>
    </row>
    <row r="2032" spans="1:4" x14ac:dyDescent="0.2">
      <c r="A2032" s="10">
        <v>1971</v>
      </c>
      <c r="D2032" s="2" t="str">
        <f t="shared" si="30"/>
        <v>OK</v>
      </c>
    </row>
    <row r="2033" spans="1:4" x14ac:dyDescent="0.2">
      <c r="A2033" s="5">
        <v>1972</v>
      </c>
      <c r="B2033" s="138">
        <f>'Cap Outlay Deprec 26'!H8</f>
        <v>1096683</v>
      </c>
      <c r="D2033" s="2" t="str">
        <f t="shared" si="30"/>
        <v>Error?</v>
      </c>
    </row>
    <row r="2034" spans="1:4" x14ac:dyDescent="0.2">
      <c r="A2034" s="5">
        <v>1973</v>
      </c>
      <c r="B2034" s="138">
        <f>'Cap Outlay Deprec 26'!H10</f>
        <v>215789</v>
      </c>
      <c r="D2034" s="2" t="str">
        <f t="shared" si="30"/>
        <v>Error?</v>
      </c>
    </row>
    <row r="2035" spans="1:4" x14ac:dyDescent="0.2">
      <c r="A2035" s="5">
        <v>1974</v>
      </c>
      <c r="B2035" s="138">
        <f>'Cap Outlay Deprec 26'!H12</f>
        <v>487363</v>
      </c>
      <c r="D2035" s="2" t="str">
        <f t="shared" si="30"/>
        <v>Error?</v>
      </c>
    </row>
    <row r="2036" spans="1:4" x14ac:dyDescent="0.2">
      <c r="A2036" s="5">
        <v>1975</v>
      </c>
      <c r="B2036" s="138">
        <f>'Cap Outlay Deprec 26'!H13</f>
        <v>190585</v>
      </c>
      <c r="D2036" s="2" t="str">
        <f t="shared" si="30"/>
        <v>Error?</v>
      </c>
    </row>
    <row r="2037" spans="1:4" x14ac:dyDescent="0.2">
      <c r="A2037" s="5">
        <v>1976</v>
      </c>
      <c r="B2037" s="138">
        <f>'Cap Outlay Deprec 26'!H16</f>
        <v>2028288</v>
      </c>
      <c r="C2037" s="2" t="s">
        <v>573</v>
      </c>
      <c r="D2037" s="2" t="str">
        <f t="shared" si="30"/>
        <v>Error?</v>
      </c>
    </row>
    <row r="2038" spans="1:4" x14ac:dyDescent="0.2">
      <c r="A2038" s="10">
        <v>1977</v>
      </c>
      <c r="D2038" s="2" t="str">
        <f t="shared" si="30"/>
        <v>OK</v>
      </c>
    </row>
    <row r="2039" spans="1:4" x14ac:dyDescent="0.2">
      <c r="A2039" s="5">
        <v>1978</v>
      </c>
      <c r="B2039" s="138">
        <f>'Cap Outlay Deprec 26'!I8</f>
        <v>91572</v>
      </c>
      <c r="D2039" s="2" t="str">
        <f t="shared" si="30"/>
        <v>Error?</v>
      </c>
    </row>
    <row r="2040" spans="1:4" x14ac:dyDescent="0.2">
      <c r="A2040" s="5">
        <v>1979</v>
      </c>
      <c r="B2040" s="138">
        <f>'Cap Outlay Deprec 26'!I10</f>
        <v>22153</v>
      </c>
      <c r="D2040" s="2" t="str">
        <f t="shared" si="30"/>
        <v>Error?</v>
      </c>
    </row>
    <row r="2041" spans="1:4" x14ac:dyDescent="0.2">
      <c r="A2041" s="5">
        <v>1980</v>
      </c>
      <c r="B2041" s="138">
        <f>'Cap Outlay Deprec 26'!I12</f>
        <v>9716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124815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1188255</v>
      </c>
      <c r="C2051" s="2" t="s">
        <v>573</v>
      </c>
      <c r="D2051" s="2" t="str">
        <f t="shared" si="31"/>
        <v>Error?</v>
      </c>
    </row>
    <row r="2052" spans="1:4" x14ac:dyDescent="0.2">
      <c r="A2052" s="5">
        <v>1991</v>
      </c>
      <c r="B2052" s="138">
        <f>'Cap Outlay Deprec 26'!K10</f>
        <v>237942</v>
      </c>
      <c r="C2052" s="2" t="s">
        <v>573</v>
      </c>
      <c r="D2052" s="2" t="str">
        <f t="shared" si="31"/>
        <v>Error?</v>
      </c>
    </row>
    <row r="2053" spans="1:4" x14ac:dyDescent="0.2">
      <c r="A2053" s="5">
        <v>1992</v>
      </c>
      <c r="B2053" s="138">
        <f>'Cap Outlay Deprec 26'!K12</f>
        <v>497079</v>
      </c>
      <c r="C2053" s="2" t="s">
        <v>573</v>
      </c>
      <c r="D2053" s="2" t="str">
        <f t="shared" si="31"/>
        <v>Error?</v>
      </c>
    </row>
    <row r="2054" spans="1:4" x14ac:dyDescent="0.2">
      <c r="A2054" s="5">
        <v>1993</v>
      </c>
      <c r="B2054" s="138">
        <f>'Cap Outlay Deprec 26'!K13</f>
        <v>190585</v>
      </c>
      <c r="C2054" s="2" t="s">
        <v>573</v>
      </c>
      <c r="D2054" s="2" t="str">
        <f t="shared" si="31"/>
        <v>Error?</v>
      </c>
    </row>
    <row r="2055" spans="1:4" x14ac:dyDescent="0.2">
      <c r="A2055" s="5">
        <v>1994</v>
      </c>
      <c r="B2055" s="138">
        <f>'Cap Outlay Deprec 26'!K16</f>
        <v>2153103</v>
      </c>
      <c r="C2055" s="2" t="s">
        <v>573</v>
      </c>
      <c r="D2055" s="2" t="str">
        <f t="shared" si="31"/>
        <v>Error?</v>
      </c>
    </row>
    <row r="2056" spans="1:4" x14ac:dyDescent="0.2">
      <c r="A2056" s="5">
        <v>1995</v>
      </c>
      <c r="B2056" s="138">
        <f>'Cap Outlay Deprec 26'!L5</f>
        <v>84206</v>
      </c>
      <c r="C2056" s="2" t="s">
        <v>573</v>
      </c>
      <c r="D2056" s="2" t="str">
        <f t="shared" si="31"/>
        <v>Error?</v>
      </c>
    </row>
    <row r="2057" spans="1:4" x14ac:dyDescent="0.2">
      <c r="A2057" s="5">
        <v>1996</v>
      </c>
      <c r="B2057" s="138">
        <f>'Cap Outlay Deprec 26'!L8</f>
        <v>3390356</v>
      </c>
      <c r="C2057" s="2" t="s">
        <v>573</v>
      </c>
      <c r="D2057" s="2" t="str">
        <f t="shared" si="31"/>
        <v>Error?</v>
      </c>
    </row>
    <row r="2058" spans="1:4" x14ac:dyDescent="0.2">
      <c r="A2058" s="5">
        <v>1997</v>
      </c>
      <c r="B2058" s="138">
        <f>'Cap Outlay Deprec 26'!L10</f>
        <v>205112</v>
      </c>
      <c r="C2058" s="2" t="s">
        <v>573</v>
      </c>
      <c r="D2058" s="2" t="str">
        <f t="shared" si="31"/>
        <v>Error?</v>
      </c>
    </row>
    <row r="2059" spans="1:4" x14ac:dyDescent="0.2">
      <c r="A2059" s="5">
        <v>1998</v>
      </c>
      <c r="B2059" s="138">
        <f>'Cap Outlay Deprec 26'!L12</f>
        <v>74301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3755350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24455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3426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59815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3669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143534</v>
      </c>
      <c r="C2551" s="2" t="s">
        <v>573</v>
      </c>
      <c r="D2551" s="2" t="str">
        <f t="shared" si="38"/>
        <v>Error?</v>
      </c>
    </row>
    <row r="2552" spans="1:4" x14ac:dyDescent="0.2">
      <c r="A2552" s="10">
        <v>2491</v>
      </c>
      <c r="D2552" s="2" t="str">
        <f t="shared" si="38"/>
        <v>OK</v>
      </c>
    </row>
    <row r="2553" spans="1:4" x14ac:dyDescent="0.2">
      <c r="A2553" s="5">
        <v>2492</v>
      </c>
      <c r="B2553" s="138">
        <f>'Acct Summary 7-8'!C6</f>
        <v>665424</v>
      </c>
      <c r="C2553" s="2" t="s">
        <v>573</v>
      </c>
      <c r="D2553" s="2" t="str">
        <f t="shared" si="38"/>
        <v>Error?</v>
      </c>
    </row>
    <row r="2554" spans="1:4" x14ac:dyDescent="0.2">
      <c r="A2554" s="5">
        <v>2493</v>
      </c>
      <c r="B2554" s="138">
        <f>'Acct Summary 7-8'!C7</f>
        <v>111831</v>
      </c>
      <c r="C2554" s="2" t="s">
        <v>573</v>
      </c>
      <c r="D2554" s="2" t="str">
        <f t="shared" si="38"/>
        <v>Error?</v>
      </c>
    </row>
    <row r="2555" spans="1:4" x14ac:dyDescent="0.2">
      <c r="A2555" s="5">
        <v>2494</v>
      </c>
      <c r="B2555" s="138">
        <f>'Acct Summary 7-8'!C8</f>
        <v>920789</v>
      </c>
      <c r="C2555" s="2" t="s">
        <v>573</v>
      </c>
      <c r="D2555" s="2" t="str">
        <f t="shared" si="38"/>
        <v>Error?</v>
      </c>
    </row>
    <row r="2556" spans="1:4" x14ac:dyDescent="0.2">
      <c r="A2556" s="5">
        <v>2495</v>
      </c>
      <c r="B2556" s="138">
        <f>'Acct Summary 7-8'!C12</f>
        <v>609962</v>
      </c>
      <c r="C2556" s="2" t="s">
        <v>573</v>
      </c>
      <c r="D2556" s="2" t="str">
        <f t="shared" si="38"/>
        <v>Error?</v>
      </c>
    </row>
    <row r="2557" spans="1:4" x14ac:dyDescent="0.2">
      <c r="A2557" s="5">
        <v>2496</v>
      </c>
      <c r="B2557" s="138">
        <f>'Acct Summary 7-8'!C13</f>
        <v>247539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24455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881956</v>
      </c>
      <c r="C2561" s="2" t="s">
        <v>573</v>
      </c>
      <c r="D2561" s="2" t="str">
        <f t="shared" si="39"/>
        <v>Error?</v>
      </c>
    </row>
    <row r="2562" spans="1:4" x14ac:dyDescent="0.2">
      <c r="A2562" s="5">
        <v>2501</v>
      </c>
      <c r="B2562" s="138">
        <f>'Acct Summary 7-8'!C20</f>
        <v>38833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21797</v>
      </c>
      <c r="C2564" s="2" t="s">
        <v>573</v>
      </c>
      <c r="D2564" s="2" t="str">
        <f t="shared" si="39"/>
        <v>Error?</v>
      </c>
    </row>
    <row r="2565" spans="1:4" x14ac:dyDescent="0.2">
      <c r="A2565" s="10">
        <v>2504</v>
      </c>
      <c r="D2565" s="2" t="str">
        <f t="shared" si="39"/>
        <v>OK</v>
      </c>
    </row>
    <row r="2566" spans="1:4" x14ac:dyDescent="0.2">
      <c r="A2566" s="5">
        <v>2505</v>
      </c>
      <c r="B2566" s="138">
        <f>'Acct Summary 7-8'!D6</f>
        <v>67873</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89670</v>
      </c>
      <c r="C2568" s="2" t="s">
        <v>573</v>
      </c>
      <c r="D2568" s="2" t="str">
        <f t="shared" si="39"/>
        <v>Error?</v>
      </c>
    </row>
    <row r="2569" spans="1:4" x14ac:dyDescent="0.2">
      <c r="A2569" s="5">
        <v>2508</v>
      </c>
      <c r="B2569" s="138">
        <f>'Acct Summary 7-8'!D13</f>
        <v>87359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87359</v>
      </c>
      <c r="C2573" s="2" t="s">
        <v>573</v>
      </c>
      <c r="D2573" s="2" t="str">
        <f t="shared" si="39"/>
        <v>Error?</v>
      </c>
    </row>
    <row r="2574" spans="1:4" x14ac:dyDescent="0.2">
      <c r="A2574" s="5">
        <v>2513</v>
      </c>
      <c r="B2574" s="138">
        <f>'Acct Summary 7-8'!D20</f>
        <v>2311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8723</v>
      </c>
      <c r="C2591" s="2" t="s">
        <v>573</v>
      </c>
      <c r="D2591" s="2" t="str">
        <f t="shared" si="39"/>
        <v>Error?</v>
      </c>
    </row>
    <row r="2592" spans="1:4" x14ac:dyDescent="0.2">
      <c r="A2592" s="10">
        <v>2531</v>
      </c>
      <c r="D2592" s="2" t="str">
        <f t="shared" si="39"/>
        <v>OK</v>
      </c>
    </row>
    <row r="2593" spans="1:4" x14ac:dyDescent="0.2">
      <c r="A2593" s="5">
        <v>2532</v>
      </c>
      <c r="B2593" s="138">
        <f>'Acct Summary 7-8'!F6</f>
        <v>51399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60122</v>
      </c>
      <c r="C2595" s="2" t="s">
        <v>573</v>
      </c>
      <c r="D2595" s="2" t="str">
        <f t="shared" si="39"/>
        <v>Error?</v>
      </c>
    </row>
    <row r="2596" spans="1:4" x14ac:dyDescent="0.2">
      <c r="A2596" s="5">
        <v>2535</v>
      </c>
      <c r="B2596" s="138">
        <f>'Acct Summary 7-8'!F13</f>
        <v>63863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63863</v>
      </c>
      <c r="C2600" s="2" t="s">
        <v>573</v>
      </c>
      <c r="D2600" s="2" t="str">
        <f t="shared" si="39"/>
        <v>Error?</v>
      </c>
    </row>
    <row r="2601" spans="1:4" x14ac:dyDescent="0.2">
      <c r="A2601" s="5">
        <v>2540</v>
      </c>
      <c r="B2601" s="138">
        <f>'Acct Summary 7-8'!F20</f>
        <v>-3741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28795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28795</v>
      </c>
      <c r="C2606" s="2" t="s">
        <v>573</v>
      </c>
      <c r="D2606" s="2" t="str">
        <f t="shared" si="39"/>
        <v>Error?</v>
      </c>
    </row>
    <row r="2607" spans="1:4" x14ac:dyDescent="0.2">
      <c r="A2607" s="5">
        <v>2546</v>
      </c>
      <c r="B2607" s="138">
        <f>'Acct Summary 7-8'!G12</f>
        <v>7321</v>
      </c>
      <c r="C2607" s="2" t="s">
        <v>573</v>
      </c>
      <c r="D2607" s="2" t="str">
        <f t="shared" si="39"/>
        <v>Error?</v>
      </c>
    </row>
    <row r="2608" spans="1:4" x14ac:dyDescent="0.2">
      <c r="A2608" s="5">
        <v>2547</v>
      </c>
      <c r="B2608" s="138">
        <f>'Acct Summary 7-8'!G13</f>
        <v>18095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25416</v>
      </c>
      <c r="C2612" s="2" t="s">
        <v>573</v>
      </c>
      <c r="D2612" s="2" t="str">
        <f t="shared" si="39"/>
        <v>Error?</v>
      </c>
    </row>
    <row r="2613" spans="1:4" x14ac:dyDescent="0.2">
      <c r="A2613" s="5">
        <v>2552</v>
      </c>
      <c r="B2613" s="138">
        <f>'Acct Summary 7-8'!G20</f>
        <v>3379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20085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20085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21025</v>
      </c>
      <c r="C2634" s="2" t="s">
        <v>573</v>
      </c>
      <c r="D2634" s="2" t="str">
        <f t="shared" si="40"/>
        <v>Error?</v>
      </c>
    </row>
    <row r="2635" spans="1:4" x14ac:dyDescent="0.2">
      <c r="A2635" s="5">
        <v>2574</v>
      </c>
      <c r="B2635" s="138">
        <f>'Acct Summary 7-8'!E17</f>
        <v>21025</v>
      </c>
      <c r="C2635" s="2" t="s">
        <v>573</v>
      </c>
      <c r="D2635" s="2" t="str">
        <f t="shared" si="40"/>
        <v>Error?</v>
      </c>
    </row>
    <row r="2636" spans="1:4" x14ac:dyDescent="0.2">
      <c r="A2636" s="5">
        <v>2575</v>
      </c>
      <c r="B2636" s="138">
        <f>'Acct Summary 7-8'!E20</f>
        <v>-940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24455</v>
      </c>
      <c r="C2789" s="2" t="s">
        <v>573</v>
      </c>
      <c r="D2789" s="2" t="str">
        <f t="shared" si="42"/>
        <v>Error?</v>
      </c>
    </row>
    <row r="2790" spans="1:4" x14ac:dyDescent="0.2">
      <c r="A2790" s="5">
        <v>2729</v>
      </c>
      <c r="B2790" s="138">
        <f>'Expenditures 15-22'!E102</f>
        <v>24455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10431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10139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10431</v>
      </c>
      <c r="D2912" s="2" t="str">
        <f t="shared" si="44"/>
        <v>Error?</v>
      </c>
    </row>
    <row r="2913" spans="1:4" x14ac:dyDescent="0.2">
      <c r="A2913" s="5">
        <v>2852</v>
      </c>
      <c r="B2913" s="138">
        <f>'Assets-Liab 5-6'!I41</f>
        <v>10431</v>
      </c>
      <c r="C2913" s="2" t="s">
        <v>573</v>
      </c>
      <c r="D2913" s="2" t="str">
        <f t="shared" si="44"/>
        <v>Error?</v>
      </c>
    </row>
    <row r="2914" spans="1:4" x14ac:dyDescent="0.2">
      <c r="A2914" s="5">
        <v>2853</v>
      </c>
      <c r="B2914" s="138">
        <f>'Assets-Liab 5-6'!L33</f>
        <v>10139</v>
      </c>
      <c r="D2914" s="2" t="str">
        <f t="shared" si="44"/>
        <v>Error?</v>
      </c>
    </row>
    <row r="2915" spans="1:4" x14ac:dyDescent="0.2">
      <c r="A2915" s="10">
        <v>2854</v>
      </c>
      <c r="D2915" s="2" t="str">
        <f t="shared" si="44"/>
        <v>OK</v>
      </c>
    </row>
    <row r="2916" spans="1:4" x14ac:dyDescent="0.2">
      <c r="A2916" s="5">
        <v>2855</v>
      </c>
      <c r="B2916" s="138">
        <f>'Assets-Liab 5-6'!L34</f>
        <v>10139</v>
      </c>
      <c r="C2916" s="2" t="s">
        <v>573</v>
      </c>
      <c r="D2916" s="2" t="str">
        <f t="shared" si="44"/>
        <v>Error?</v>
      </c>
    </row>
    <row r="2917" spans="1:4" x14ac:dyDescent="0.2">
      <c r="A2917" s="5">
        <v>2856</v>
      </c>
      <c r="B2917" s="138">
        <f>'Assets-Liab 5-6'!L41</f>
        <v>10139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24455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24455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23317</v>
      </c>
      <c r="D3055" s="2" t="str">
        <f t="shared" si="46"/>
        <v>Error?</v>
      </c>
    </row>
    <row r="3056" spans="1:4" x14ac:dyDescent="0.2">
      <c r="A3056" s="5">
        <v>2995</v>
      </c>
      <c r="B3056" s="138">
        <f>'Expenditures 15-22'!D10</f>
        <v>3362</v>
      </c>
      <c r="D3056" s="2" t="str">
        <f t="shared" si="46"/>
        <v>Error?</v>
      </c>
    </row>
    <row r="3057" spans="1:4" x14ac:dyDescent="0.2">
      <c r="A3057" s="5">
        <v>2996</v>
      </c>
      <c r="B3057" s="138">
        <f>'Expenditures 15-22'!E10</f>
        <v>4225</v>
      </c>
      <c r="D3057" s="2" t="str">
        <f t="shared" si="46"/>
        <v>Error?</v>
      </c>
    </row>
    <row r="3058" spans="1:4" x14ac:dyDescent="0.2">
      <c r="A3058" s="5">
        <v>2997</v>
      </c>
      <c r="B3058" s="138">
        <f>'Expenditures 15-22'!F10</f>
        <v>7625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38529</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3635</v>
      </c>
      <c r="C3225" s="2" t="s">
        <v>573</v>
      </c>
      <c r="D3225" s="2" t="str">
        <f t="shared" si="49"/>
        <v>Error?</v>
      </c>
    </row>
    <row r="3226" spans="1:4" x14ac:dyDescent="0.2">
      <c r="A3226" s="5">
        <v>3165</v>
      </c>
      <c r="B3226" s="138">
        <f>'Acct Summary 7-8'!I8</f>
        <v>3635</v>
      </c>
      <c r="C3226" s="2" t="s">
        <v>573</v>
      </c>
      <c r="D3226" s="2" t="str">
        <f t="shared" si="49"/>
        <v>Error?</v>
      </c>
    </row>
    <row r="3227" spans="1:4" x14ac:dyDescent="0.2">
      <c r="A3227" s="5">
        <v>3166</v>
      </c>
      <c r="B3227" s="138">
        <f>'Acct Summary 7-8'!I20</f>
        <v>3635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38833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2311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-3741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3379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3635</v>
      </c>
      <c r="C3320" s="2" t="s">
        <v>573</v>
      </c>
      <c r="D3320" s="2" t="str">
        <f t="shared" si="50"/>
        <v>Error?</v>
      </c>
    </row>
    <row r="3321" spans="1:4" x14ac:dyDescent="0.2">
      <c r="A3321" s="5">
        <v>3260</v>
      </c>
      <c r="B3321" s="138">
        <f>'Acct Summary 7-8'!I79</f>
        <v>6796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10431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33726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3830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14982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52538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5646</v>
      </c>
      <c r="D3387" s="2" t="str">
        <f t="shared" si="51"/>
        <v>Error?</v>
      </c>
    </row>
    <row r="3388" spans="1:4" x14ac:dyDescent="0.2">
      <c r="A3388" s="5">
        <v>3327</v>
      </c>
      <c r="B3388" s="138">
        <f>'Expenditures 15-22'!D217</f>
        <v>1441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5646</v>
      </c>
      <c r="C3390" s="2" t="s">
        <v>573</v>
      </c>
      <c r="D3390" s="2" t="str">
        <f t="shared" si="51"/>
        <v>Error?</v>
      </c>
    </row>
    <row r="3391" spans="1:4" x14ac:dyDescent="0.2">
      <c r="A3391" s="5">
        <v>3330</v>
      </c>
      <c r="B3391" s="138">
        <f>'Expenditures 15-22'!K217</f>
        <v>1441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528243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6801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3669</v>
      </c>
      <c r="D3417" s="2" t="str">
        <f t="shared" si="52"/>
        <v>Error?</v>
      </c>
    </row>
    <row r="3418" spans="1:4" x14ac:dyDescent="0.2">
      <c r="A3418" s="10">
        <v>3357</v>
      </c>
      <c r="D3418" s="2" t="str">
        <f t="shared" si="52"/>
        <v>OK</v>
      </c>
    </row>
    <row r="3419" spans="1:4" x14ac:dyDescent="0.2">
      <c r="A3419" s="5">
        <v>3358</v>
      </c>
      <c r="B3419" s="138">
        <f>'Assets-Liab 5-6'!F4</f>
        <v>52017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59815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10431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10139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16056</v>
      </c>
      <c r="C3446" s="2" t="s">
        <v>573</v>
      </c>
      <c r="D3446" s="2" t="str">
        <f t="shared" si="52"/>
        <v>Error?</v>
      </c>
    </row>
    <row r="3447" spans="1:4" x14ac:dyDescent="0.2">
      <c r="A3447" s="5">
        <v>3386</v>
      </c>
      <c r="B3447" s="138">
        <f>'Tax Sched 23'!D16</f>
        <v>16056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16035</v>
      </c>
      <c r="C3449" s="2" t="s">
        <v>573</v>
      </c>
      <c r="D3449" s="2" t="str">
        <f t="shared" si="52"/>
        <v>Error?</v>
      </c>
    </row>
    <row r="3450" spans="1:4" x14ac:dyDescent="0.2">
      <c r="A3450" s="5">
        <v>3389</v>
      </c>
      <c r="B3450" s="138">
        <f>'Tax Sched 23'!E16</f>
        <v>16035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9328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9328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9328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9328</v>
      </c>
      <c r="C3568" s="2" t="s">
        <v>573</v>
      </c>
      <c r="D3568" s="2" t="str">
        <f t="shared" si="54"/>
        <v>Error?</v>
      </c>
    </row>
    <row r="3569" spans="1:4" x14ac:dyDescent="0.2">
      <c r="A3569" s="5">
        <v>3508</v>
      </c>
      <c r="B3569" s="138">
        <f>'Acct Summary 7-8'!K4</f>
        <v>3635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3635</v>
      </c>
      <c r="C3571" s="2" t="s">
        <v>573</v>
      </c>
      <c r="D3571" s="2" t="str">
        <f t="shared" si="54"/>
        <v>Error?</v>
      </c>
    </row>
    <row r="3572" spans="1:4" x14ac:dyDescent="0.2">
      <c r="A3572" s="5">
        <v>3511</v>
      </c>
      <c r="B3572" s="138">
        <f>'Acct Summary 7-8'!K13</f>
        <v>2561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2561</v>
      </c>
      <c r="C3575" s="2" t="s">
        <v>573</v>
      </c>
      <c r="D3575" s="2" t="str">
        <f t="shared" si="54"/>
        <v>Error?</v>
      </c>
    </row>
    <row r="3576" spans="1:4" x14ac:dyDescent="0.2">
      <c r="A3576" s="5">
        <v>3515</v>
      </c>
      <c r="B3576" s="138">
        <f>'Acct Summary 7-8'!K20</f>
        <v>1074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1074</v>
      </c>
      <c r="C3588" s="2" t="s">
        <v>573</v>
      </c>
      <c r="D3588" s="2" t="str">
        <f t="shared" si="55"/>
        <v>Error?</v>
      </c>
    </row>
    <row r="3589" spans="1:4" x14ac:dyDescent="0.2">
      <c r="A3589" s="5">
        <v>3528</v>
      </c>
      <c r="B3589" s="138">
        <f>'Acct Summary 7-8'!K79</f>
        <v>8254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9328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2561</v>
      </c>
      <c r="D3632" s="2" t="str">
        <f t="shared" si="55"/>
        <v>Error?</v>
      </c>
    </row>
    <row r="3633" spans="1:4" x14ac:dyDescent="0.2">
      <c r="A3633" s="5">
        <v>3572</v>
      </c>
      <c r="B3633" s="138">
        <f>'Expenditures 15-22'!E350</f>
        <v>2561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2561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2561</v>
      </c>
      <c r="C3669" s="2" t="s">
        <v>573</v>
      </c>
      <c r="D3669" s="2" t="str">
        <f t="shared" si="56"/>
        <v>Error?</v>
      </c>
    </row>
    <row r="3670" spans="1:4" x14ac:dyDescent="0.2">
      <c r="A3670" s="5">
        <v>3609</v>
      </c>
      <c r="B3670" s="138">
        <f>'Expenditures 15-22'!K350</f>
        <v>2561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2561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2561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1074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3624</v>
      </c>
      <c r="C3725" s="2" t="s">
        <v>573</v>
      </c>
      <c r="D3725" s="2" t="str">
        <f t="shared" si="57"/>
        <v>Error?</v>
      </c>
    </row>
    <row r="3726" spans="1:4" x14ac:dyDescent="0.2">
      <c r="A3726" s="5">
        <v>3665</v>
      </c>
      <c r="B3726" s="138">
        <f>'Tax Sched 23'!D13</f>
        <v>3624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3918</v>
      </c>
      <c r="C3728" s="2" t="s">
        <v>573</v>
      </c>
      <c r="D3728" s="2" t="str">
        <f t="shared" si="57"/>
        <v>Error?</v>
      </c>
    </row>
    <row r="3729" spans="1:4" x14ac:dyDescent="0.2">
      <c r="A3729" s="5">
        <v>3668</v>
      </c>
      <c r="B3729" s="138">
        <f>'Tax Sched 23'!E13</f>
        <v>3918</v>
      </c>
      <c r="D3729" s="2" t="str">
        <f t="shared" si="57"/>
        <v>Error?</v>
      </c>
    </row>
    <row r="3730" spans="1:4" x14ac:dyDescent="0.2">
      <c r="A3730" s="5">
        <v>3669</v>
      </c>
      <c r="B3730" s="138">
        <f>'ICR Computation 30'!E10</f>
        <v>41591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392981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1313770</v>
      </c>
      <c r="C4122" s="2" t="s">
        <v>573</v>
      </c>
      <c r="D4122" s="2" t="str">
        <f t="shared" si="63"/>
        <v>Error?</v>
      </c>
    </row>
    <row r="4123" spans="1:4" x14ac:dyDescent="0.2">
      <c r="A4123" s="5">
        <v>4062</v>
      </c>
      <c r="B4123" s="138">
        <f>'Acct Summary 7-8'!D10</f>
        <v>89670</v>
      </c>
      <c r="C4123" s="2" t="s">
        <v>573</v>
      </c>
      <c r="D4123" s="2" t="str">
        <f t="shared" si="63"/>
        <v>Error?</v>
      </c>
    </row>
    <row r="4124" spans="1:4" x14ac:dyDescent="0.2">
      <c r="A4124" s="5">
        <v>4063</v>
      </c>
      <c r="B4124" s="138">
        <f>'Acct Summary 7-8'!E10</f>
        <v>20085</v>
      </c>
      <c r="C4124" s="2" t="s">
        <v>573</v>
      </c>
      <c r="D4124" s="2" t="str">
        <f t="shared" si="63"/>
        <v>Error?</v>
      </c>
    </row>
    <row r="4125" spans="1:4" x14ac:dyDescent="0.2">
      <c r="A4125" s="5">
        <v>4064</v>
      </c>
      <c r="B4125" s="138">
        <f>'Acct Summary 7-8'!F10</f>
        <v>60122</v>
      </c>
      <c r="C4125" s="2" t="s">
        <v>573</v>
      </c>
      <c r="D4125" s="2" t="str">
        <f t="shared" si="63"/>
        <v>Error?</v>
      </c>
    </row>
    <row r="4126" spans="1:4" x14ac:dyDescent="0.2">
      <c r="A4126" s="5">
        <v>4065</v>
      </c>
      <c r="B4126" s="138">
        <f>'Acct Summary 7-8'!G10</f>
        <v>28795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3635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3635</v>
      </c>
      <c r="C4130" s="2" t="s">
        <v>573</v>
      </c>
      <c r="D4130" s="2" t="str">
        <f t="shared" si="63"/>
        <v>Error?</v>
      </c>
    </row>
    <row r="4131" spans="1:4" x14ac:dyDescent="0.2">
      <c r="A4131" s="5">
        <v>4070</v>
      </c>
      <c r="B4131" s="138">
        <f>'Acct Summary 7-8'!C18</f>
        <v>392981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1274937</v>
      </c>
      <c r="C4136" s="2" t="s">
        <v>573</v>
      </c>
      <c r="D4136" s="2" t="str">
        <f t="shared" si="63"/>
        <v>Error?</v>
      </c>
    </row>
    <row r="4137" spans="1:4" x14ac:dyDescent="0.2">
      <c r="A4137" s="5">
        <v>4076</v>
      </c>
      <c r="B4137" s="138">
        <f>'Acct Summary 7-8'!D19</f>
        <v>87359</v>
      </c>
      <c r="C4137" s="2" t="s">
        <v>573</v>
      </c>
      <c r="D4137" s="2" t="str">
        <f t="shared" si="63"/>
        <v>Error?</v>
      </c>
    </row>
    <row r="4138" spans="1:4" x14ac:dyDescent="0.2">
      <c r="A4138" s="5">
        <v>4077</v>
      </c>
      <c r="B4138" s="138">
        <f>'Acct Summary 7-8'!E19</f>
        <v>21025</v>
      </c>
      <c r="C4138" s="2" t="s">
        <v>573</v>
      </c>
      <c r="D4138" s="2" t="str">
        <f t="shared" si="63"/>
        <v>Error?</v>
      </c>
    </row>
    <row r="4139" spans="1:4" x14ac:dyDescent="0.2">
      <c r="A4139" s="5">
        <v>4078</v>
      </c>
      <c r="B4139" s="138">
        <f>'Acct Summary 7-8'!F19</f>
        <v>63863</v>
      </c>
      <c r="C4139" s="2" t="s">
        <v>573</v>
      </c>
      <c r="D4139" s="2" t="str">
        <f t="shared" si="63"/>
        <v>Error?</v>
      </c>
    </row>
    <row r="4140" spans="1:4" x14ac:dyDescent="0.2">
      <c r="A4140" s="5">
        <v>4079</v>
      </c>
      <c r="B4140" s="138">
        <f>'Acct Summary 7-8'!G19</f>
        <v>25416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2561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35000</v>
      </c>
      <c r="C4171" s="2" t="s">
        <v>573</v>
      </c>
      <c r="D4171" s="2" t="str">
        <f t="shared" si="64"/>
        <v>Error?</v>
      </c>
    </row>
    <row r="4172" spans="1:4" x14ac:dyDescent="0.2">
      <c r="A4172" s="5">
        <v>4111</v>
      </c>
      <c r="B4172" s="138">
        <f>'Short-Term Long-Term Debt 24'!J49</f>
        <v>31331</v>
      </c>
      <c r="C4172" s="2" t="s">
        <v>573</v>
      </c>
      <c r="D4172" s="2" t="str">
        <f t="shared" si="64"/>
        <v>Error?</v>
      </c>
    </row>
    <row r="4173" spans="1:4" x14ac:dyDescent="0.2">
      <c r="A4173" s="5">
        <v>4112</v>
      </c>
      <c r="B4173" s="138">
        <f>'Short-Term Long-Term Debt 24'!H49</f>
        <v>19000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1290</v>
      </c>
      <c r="C4268" s="2" t="s">
        <v>573</v>
      </c>
      <c r="D4268" s="2" t="str">
        <f t="shared" si="65"/>
        <v>Error?</v>
      </c>
    </row>
    <row r="4269" spans="1:5" x14ac:dyDescent="0.2">
      <c r="A4269" s="12">
        <v>4208</v>
      </c>
      <c r="B4269" s="138">
        <f>'FP Info 3'!J16</f>
        <v>597492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3876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2285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13450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21200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15953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7836412</v>
      </c>
      <c r="D4995" s="2" t="str">
        <f t="shared" si="77"/>
        <v>Error?</v>
      </c>
    </row>
    <row r="4996" spans="1:4" x14ac:dyDescent="0.2">
      <c r="A4996" s="12">
        <v>4935</v>
      </c>
      <c r="B4996" s="138">
        <f>'FP Info 3'!H31</f>
        <v>540712.42800000007</v>
      </c>
      <c r="D4996" s="2" t="str">
        <f t="shared" si="77"/>
        <v>Error?</v>
      </c>
    </row>
    <row r="4997" spans="1:4" x14ac:dyDescent="0.2">
      <c r="A4997" s="12">
        <v>4936</v>
      </c>
      <c r="B4997" s="138">
        <f>'FP Info 3'!H37</f>
        <v>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66872</v>
      </c>
      <c r="D5061" s="2" t="str">
        <f t="shared" si="78"/>
        <v>Error?</v>
      </c>
    </row>
    <row r="5062" spans="1:4" x14ac:dyDescent="0.2">
      <c r="A5062" s="10">
        <v>5001</v>
      </c>
      <c r="D5062" s="2" t="str">
        <f t="shared" si="78"/>
        <v>OK</v>
      </c>
    </row>
    <row r="5063" spans="1:4" x14ac:dyDescent="0.2">
      <c r="A5063" s="5">
        <v>5002</v>
      </c>
      <c r="B5063" s="138">
        <f>'Revenues 9-14'!C7</f>
        <v>1455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68327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43905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43905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7326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7326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1456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13522</v>
      </c>
      <c r="C5096" s="2" t="s">
        <v>573</v>
      </c>
      <c r="D5096" s="2" t="str">
        <f t="shared" si="78"/>
        <v>Error?</v>
      </c>
    </row>
    <row r="5097" spans="1:4" x14ac:dyDescent="0.2">
      <c r="A5097" s="5">
        <v>5036</v>
      </c>
      <c r="B5097" s="138">
        <f>'Revenues 9-14'!C77</f>
        <v>3342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3342</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781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5764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567</v>
      </c>
      <c r="D5119" s="2" t="str">
        <f t="shared" ref="D5119:D5182" si="79">IF(ISBLANK(B5119),"OK",IF(A5119-B5119=0,"OK","Error?"))</f>
        <v>Error?</v>
      </c>
    </row>
    <row r="5120" spans="1:4" x14ac:dyDescent="0.2">
      <c r="A5120" s="5">
        <v>5059</v>
      </c>
      <c r="B5120" s="138">
        <f>'Revenues 9-14'!C108</f>
        <v>7112</v>
      </c>
      <c r="C5120" s="2" t="s">
        <v>573</v>
      </c>
      <c r="D5120" s="2" t="str">
        <f t="shared" si="79"/>
        <v>Error?</v>
      </c>
    </row>
    <row r="5121" spans="1:4" x14ac:dyDescent="0.2">
      <c r="A5121" s="5">
        <v>5060</v>
      </c>
      <c r="B5121" s="138">
        <f>'Revenues 9-14'!C109</f>
        <v>143534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576526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576526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871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66827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88898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665424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33082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18837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51919</v>
      </c>
      <c r="C5246" s="2" t="s">
        <v>573</v>
      </c>
      <c r="D5246" s="2" t="str">
        <f t="shared" si="80"/>
        <v>Error?</v>
      </c>
    </row>
    <row r="5247" spans="1:4" x14ac:dyDescent="0.2">
      <c r="A5247" s="5">
        <v>5186</v>
      </c>
      <c r="B5247" s="138">
        <f>'Revenues 9-14'!C200</f>
        <v>24348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24348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111831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111831</v>
      </c>
      <c r="C5326" s="2" t="s">
        <v>573</v>
      </c>
      <c r="D5326" s="2" t="str">
        <f t="shared" si="82"/>
        <v>Error?</v>
      </c>
    </row>
    <row r="5327" spans="1:5" x14ac:dyDescent="0.2">
      <c r="A5327" s="5">
        <v>5266</v>
      </c>
      <c r="B5327" s="138">
        <f>'Revenues 9-14'!C268</f>
        <v>920789</v>
      </c>
      <c r="C5327" s="2" t="s">
        <v>573</v>
      </c>
      <c r="D5327" s="2" t="str">
        <f t="shared" si="82"/>
        <v>Error?</v>
      </c>
    </row>
    <row r="5328" spans="1:5" x14ac:dyDescent="0.2">
      <c r="A5328" s="5">
        <v>5267</v>
      </c>
      <c r="B5328" s="138">
        <f>'Revenues 9-14'!D5</f>
        <v>18173</v>
      </c>
      <c r="D5328" s="2" t="str">
        <f t="shared" si="82"/>
        <v>Error?</v>
      </c>
    </row>
    <row r="5329" spans="1:4" x14ac:dyDescent="0.2">
      <c r="A5329" s="10">
        <v>5268</v>
      </c>
      <c r="D5329" s="2" t="str">
        <f t="shared" si="82"/>
        <v>OK</v>
      </c>
    </row>
    <row r="5330" spans="1:4" x14ac:dyDescent="0.2">
      <c r="A5330" s="5">
        <v>5269</v>
      </c>
      <c r="B5330" s="138">
        <f>'Revenues 9-14'!D6</f>
        <v>3624</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21797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21797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67873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67873</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67873</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89670</v>
      </c>
      <c r="C5508" s="2" t="s">
        <v>573</v>
      </c>
      <c r="D5508" s="2" t="str">
        <f t="shared" si="85"/>
        <v>Error?</v>
      </c>
    </row>
    <row r="5509" spans="1:4" x14ac:dyDescent="0.2">
      <c r="A5509" s="5">
        <v>5448</v>
      </c>
      <c r="B5509" s="138">
        <f>'Revenues 9-14'!E5</f>
        <v>20085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20085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20085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20085</v>
      </c>
      <c r="C5552" s="2" t="s">
        <v>573</v>
      </c>
      <c r="D5552" s="2" t="str">
        <f t="shared" si="85"/>
        <v>Error?</v>
      </c>
    </row>
    <row r="5553" spans="1:4" x14ac:dyDescent="0.2">
      <c r="A5553" s="5">
        <v>5492</v>
      </c>
      <c r="B5553" s="138">
        <f>'Revenues 9-14'!F5</f>
        <v>8723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8723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8723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49671</v>
      </c>
      <c r="D5615" s="2" t="str">
        <f t="shared" si="86"/>
        <v>Error?</v>
      </c>
    </row>
    <row r="5616" spans="1:4" x14ac:dyDescent="0.2">
      <c r="A5616" s="10">
        <v>5555</v>
      </c>
      <c r="D5616" s="2" t="str">
        <f t="shared" si="86"/>
        <v>OK</v>
      </c>
    </row>
    <row r="5617" spans="1:5" x14ac:dyDescent="0.2">
      <c r="A5617" s="5">
        <v>5556</v>
      </c>
      <c r="B5617" s="138">
        <f>'Revenues 9-14'!F153</f>
        <v>1728</v>
      </c>
      <c r="D5617" s="2" t="str">
        <f t="shared" si="86"/>
        <v>Error?</v>
      </c>
    </row>
    <row r="5618" spans="1:5" x14ac:dyDescent="0.2">
      <c r="A5618" s="5">
        <v>5557</v>
      </c>
      <c r="B5618" s="138">
        <f>'Revenues 9-14'!F155</f>
        <v>51399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51399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51399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60122</v>
      </c>
      <c r="C5720" s="2" t="s">
        <v>573</v>
      </c>
      <c r="D5720" s="2" t="str">
        <f t="shared" si="88"/>
        <v>Error?</v>
      </c>
    </row>
    <row r="5721" spans="1:4" x14ac:dyDescent="0.2">
      <c r="A5721" s="5">
        <v>5660</v>
      </c>
      <c r="B5721" s="138">
        <f>'Revenues 9-14'!G5</f>
        <v>12044</v>
      </c>
      <c r="D5721" s="2" t="str">
        <f t="shared" si="88"/>
        <v>Error?</v>
      </c>
    </row>
    <row r="5722" spans="1:4" x14ac:dyDescent="0.2">
      <c r="A5722" s="5">
        <v>5661</v>
      </c>
      <c r="B5722" s="138">
        <f>'Revenues 9-14'!G7</f>
        <v>0</v>
      </c>
      <c r="D5722" s="2" t="str">
        <f t="shared" si="88"/>
        <v>Error?</v>
      </c>
    </row>
    <row r="5723" spans="1:4" x14ac:dyDescent="0.2">
      <c r="A5723" s="5">
        <v>5662</v>
      </c>
      <c r="B5723" s="138">
        <f>'Revenues 9-14'!G8</f>
        <v>16056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28100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695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695</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28795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3635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3635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3635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3635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3635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3635</v>
      </c>
      <c r="C6023" s="2" t="s">
        <v>573</v>
      </c>
      <c r="D6023" s="2" t="str">
        <f t="shared" si="93"/>
        <v>Error?</v>
      </c>
    </row>
    <row r="6024" spans="1:5" x14ac:dyDescent="0.2">
      <c r="A6024" s="5">
        <v>5963</v>
      </c>
      <c r="B6024" s="138">
        <f>'Revenues 9-14'!G109</f>
        <v>28795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3635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3635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12066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5364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110.03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12558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12558</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12558</v>
      </c>
      <c r="D6216" s="2" t="str">
        <f t="shared" si="96"/>
        <v>Error?</v>
      </c>
      <c r="E6216" s="2" t="s">
        <v>190</v>
      </c>
    </row>
    <row r="6217" spans="1:5" x14ac:dyDescent="0.2">
      <c r="A6217">
        <v>6156</v>
      </c>
      <c r="B6217" s="138">
        <f>'Assets-Liab 5-6'!J4</f>
        <v>12558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72484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72484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72484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65098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65098</v>
      </c>
      <c r="D6229" s="2" t="str">
        <f t="shared" si="96"/>
        <v>Error?</v>
      </c>
      <c r="E6229" s="2" t="s">
        <v>190</v>
      </c>
    </row>
    <row r="6230" spans="1:5" x14ac:dyDescent="0.2">
      <c r="A6230">
        <v>6169</v>
      </c>
      <c r="B6230" s="138">
        <f>'Acct Summary 7-8'!J20</f>
        <v>7386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7386</v>
      </c>
      <c r="D6263" s="2" t="str">
        <f t="shared" si="96"/>
        <v>Error?</v>
      </c>
      <c r="E6263" s="2" t="s">
        <v>190</v>
      </c>
    </row>
    <row r="6264" spans="1:5" x14ac:dyDescent="0.2">
      <c r="A6264">
        <v>6203</v>
      </c>
      <c r="B6264" s="138">
        <f>'Acct Summary 7-8'!J79</f>
        <v>5172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12558</v>
      </c>
      <c r="D6266" s="2" t="str">
        <f t="shared" si="96"/>
        <v>Error?</v>
      </c>
      <c r="E6266" s="2" t="s">
        <v>190</v>
      </c>
    </row>
    <row r="6267" spans="1:5" x14ac:dyDescent="0.2">
      <c r="A6267">
        <v>6206</v>
      </c>
      <c r="B6267" s="138">
        <f>'Acct Summary 7-8'!C82</f>
        <v>38833</v>
      </c>
      <c r="D6267" s="2" t="str">
        <f t="shared" si="96"/>
        <v>Error?</v>
      </c>
      <c r="E6267" s="2" t="s">
        <v>190</v>
      </c>
    </row>
    <row r="6268" spans="1:5" x14ac:dyDescent="0.2">
      <c r="A6268">
        <v>6207</v>
      </c>
      <c r="B6268" s="138">
        <f>'Acct Summary 7-8'!D82</f>
        <v>2311</v>
      </c>
      <c r="D6268" s="2" t="str">
        <f t="shared" si="96"/>
        <v>Error?</v>
      </c>
      <c r="E6268" s="2" t="s">
        <v>190</v>
      </c>
    </row>
    <row r="6269" spans="1:5" x14ac:dyDescent="0.2">
      <c r="A6269">
        <v>6208</v>
      </c>
      <c r="B6269" s="138">
        <f>'Acct Summary 7-8'!E82</f>
        <v>-940</v>
      </c>
      <c r="D6269" s="2" t="str">
        <f t="shared" si="96"/>
        <v>Error?</v>
      </c>
      <c r="E6269" s="2" t="s">
        <v>190</v>
      </c>
    </row>
    <row r="6270" spans="1:5" x14ac:dyDescent="0.2">
      <c r="A6270">
        <v>6209</v>
      </c>
      <c r="B6270" s="138">
        <f>'Acct Summary 7-8'!F82</f>
        <v>-3741</v>
      </c>
      <c r="D6270" s="2" t="str">
        <f t="shared" si="96"/>
        <v>Error?</v>
      </c>
      <c r="E6270" s="2" t="s">
        <v>190</v>
      </c>
    </row>
    <row r="6271" spans="1:5" x14ac:dyDescent="0.2">
      <c r="A6271">
        <v>6210</v>
      </c>
      <c r="B6271" s="138">
        <f>'Acct Summary 7-8'!G82</f>
        <v>3379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3635</v>
      </c>
      <c r="D6273" s="2" t="str">
        <f t="shared" si="97"/>
        <v>Error?</v>
      </c>
      <c r="E6273" s="2" t="s">
        <v>190</v>
      </c>
    </row>
    <row r="6274" spans="1:5" x14ac:dyDescent="0.2">
      <c r="A6274">
        <v>6213</v>
      </c>
      <c r="B6274" s="138">
        <f>'Acct Summary 7-8'!J82</f>
        <v>7386</v>
      </c>
      <c r="D6274" s="2" t="str">
        <f t="shared" si="97"/>
        <v>Error?</v>
      </c>
      <c r="E6274" s="2" t="s">
        <v>190</v>
      </c>
    </row>
    <row r="6275" spans="1:5" x14ac:dyDescent="0.2">
      <c r="A6275">
        <v>6214</v>
      </c>
      <c r="B6275" s="138">
        <f>'Acct Summary 7-8'!K82</f>
        <v>1074</v>
      </c>
      <c r="D6275" s="2" t="str">
        <f t="shared" si="97"/>
        <v>Error?</v>
      </c>
      <c r="E6275" s="2" t="s">
        <v>190</v>
      </c>
    </row>
    <row r="6276" spans="1:5" x14ac:dyDescent="0.2">
      <c r="A6276">
        <v>6215</v>
      </c>
      <c r="B6276" s="138">
        <f>'Acct Summary 7-8'!C83</f>
        <v>7.3513515560073683E-2</v>
      </c>
      <c r="D6276" s="2" t="str">
        <f t="shared" si="97"/>
        <v>Error?</v>
      </c>
      <c r="E6276" s="2" t="s">
        <v>190</v>
      </c>
    </row>
    <row r="6277" spans="1:5" x14ac:dyDescent="0.2">
      <c r="A6277">
        <v>6216</v>
      </c>
      <c r="B6277" s="138">
        <f>'Acct Summary 7-8'!D83</f>
        <v>0.33980297015144834</v>
      </c>
      <c r="D6277" s="2" t="str">
        <f t="shared" si="97"/>
        <v>Error?</v>
      </c>
      <c r="E6277" s="2" t="s">
        <v>190</v>
      </c>
    </row>
    <row r="6278" spans="1:5" x14ac:dyDescent="0.2">
      <c r="A6278">
        <v>6217</v>
      </c>
      <c r="B6278" s="138">
        <f>'Acct Summary 7-8'!E83</f>
        <v>-0.25620059961842462</v>
      </c>
      <c r="D6278" s="2" t="str">
        <f t="shared" si="97"/>
        <v>Error?</v>
      </c>
      <c r="E6278" s="2" t="s">
        <v>190</v>
      </c>
    </row>
    <row r="6279" spans="1:5" x14ac:dyDescent="0.2">
      <c r="A6279">
        <v>6218</v>
      </c>
      <c r="B6279" s="138">
        <f>'Acct Summary 7-8'!F83</f>
        <v>-7.1918795778303249E-2</v>
      </c>
      <c r="D6279" s="2" t="str">
        <f t="shared" si="97"/>
        <v>Error?</v>
      </c>
      <c r="E6279" s="2" t="s">
        <v>190</v>
      </c>
    </row>
    <row r="6280" spans="1:5" x14ac:dyDescent="0.2">
      <c r="A6280">
        <v>6219</v>
      </c>
      <c r="B6280" s="138">
        <f>'Acct Summary 7-8'!G83</f>
        <v>5.6490846777564156E-2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0.34848049084459781</v>
      </c>
      <c r="D6282" s="2" t="str">
        <f t="shared" si="97"/>
        <v>Error?</v>
      </c>
      <c r="E6282" s="2" t="s">
        <v>190</v>
      </c>
    </row>
    <row r="6283" spans="1:5" x14ac:dyDescent="0.2">
      <c r="A6283">
        <v>6222</v>
      </c>
      <c r="B6283" s="138">
        <f>'Acct Summary 7-8'!J83</f>
        <v>0.58815097945532724</v>
      </c>
      <c r="D6283" s="2" t="str">
        <f t="shared" si="97"/>
        <v>Error?</v>
      </c>
      <c r="E6283" s="2" t="s">
        <v>190</v>
      </c>
    </row>
    <row r="6284" spans="1:5" x14ac:dyDescent="0.2">
      <c r="A6284">
        <v>6223</v>
      </c>
      <c r="B6284" s="138">
        <f>'Acct Summary 7-8'!K83</f>
        <v>0.11513722126929674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72484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72484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72484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53978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62704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65098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72484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12156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12156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2128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2128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15291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15291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35523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35523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65098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65098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65098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65098</v>
      </c>
      <c r="D7224" s="2" t="str">
        <f t="shared" si="111"/>
        <v>Error?</v>
      </c>
    </row>
    <row r="7225" spans="1:4" x14ac:dyDescent="0.2">
      <c r="A7225">
        <v>7164</v>
      </c>
      <c r="B7225" s="138">
        <f>'Expenditures 15-22'!K343</f>
        <v>7386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7096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1495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135</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40617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40617</v>
      </c>
      <c r="D7618" s="2" t="str">
        <f t="shared" si="124"/>
        <v>Error?</v>
      </c>
      <c r="E7618" s="2" t="s">
        <v>19</v>
      </c>
    </row>
    <row r="7619" spans="1:5" x14ac:dyDescent="0.2">
      <c r="A7619">
        <f t="shared" si="123"/>
        <v>7558</v>
      </c>
      <c r="B7619" s="138">
        <f>'Cap Outlay Deprec 26'!H14</f>
        <v>37868</v>
      </c>
      <c r="D7619" s="2" t="str">
        <f t="shared" si="124"/>
        <v>Error?</v>
      </c>
      <c r="E7619" s="2" t="s">
        <v>19</v>
      </c>
    </row>
    <row r="7620" spans="1:5" x14ac:dyDescent="0.2">
      <c r="A7620">
        <f t="shared" si="123"/>
        <v>7559</v>
      </c>
      <c r="B7620" s="138">
        <f>'Cap Outlay Deprec 26'!I14</f>
        <v>1374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39242</v>
      </c>
      <c r="D7622" s="2" t="str">
        <f t="shared" si="124"/>
        <v>Error?</v>
      </c>
      <c r="E7622" s="2" t="s">
        <v>19</v>
      </c>
    </row>
    <row r="7623" spans="1:5" x14ac:dyDescent="0.2">
      <c r="A7623">
        <f t="shared" si="123"/>
        <v>7562</v>
      </c>
      <c r="B7623" s="138">
        <f>'Cap Outlay Deprec 26'!L14</f>
        <v>1375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124815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1455</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Cypress SD 64</v>
      </c>
      <c r="B7" s="2383"/>
      <c r="C7" s="2383"/>
      <c r="D7" s="2420"/>
      <c r="E7" s="2421">
        <f>COVER!A13</f>
        <v>21044064002</v>
      </c>
      <c r="F7" s="2422"/>
      <c r="G7" s="2389" t="str">
        <f>COVER!T23</f>
        <v>066-005023</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BEUSSINK HICKAM &amp; KOCHEL PC</v>
      </c>
      <c r="H9" s="2396"/>
      <c r="I9" s="2396"/>
      <c r="J9" s="2396"/>
      <c r="K9" s="2396"/>
      <c r="L9" s="2397"/>
    </row>
    <row r="10" spans="1:29" ht="13.5" customHeight="1" x14ac:dyDescent="0.2">
      <c r="A10" s="2379" t="str">
        <f>COVER!A38</f>
        <v>KIMBERLY SHOEMAKER</v>
      </c>
      <c r="B10" s="2380"/>
      <c r="C10" s="2380"/>
      <c r="D10" s="2380"/>
      <c r="E10" s="2380"/>
      <c r="F10" s="2381"/>
      <c r="G10" s="2395" t="str">
        <f>COVER!T17</f>
        <v>139 W VIENNA ST - PO BOX 556</v>
      </c>
      <c r="H10" s="2408"/>
      <c r="I10" s="2408"/>
      <c r="J10" s="2408"/>
      <c r="K10" s="2408"/>
      <c r="L10" s="2409"/>
    </row>
    <row r="11" spans="1:29" ht="13.5" customHeight="1" x14ac:dyDescent="0.2">
      <c r="A11" s="1184" t="s">
        <v>1519</v>
      </c>
      <c r="B11" s="1185"/>
      <c r="C11" s="1186"/>
      <c r="D11" s="1191"/>
      <c r="E11" s="1186"/>
      <c r="F11" s="1190"/>
      <c r="G11" s="2395" t="str">
        <f>COVER!T19</f>
        <v>ANNA</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office@bhcpa1.com</v>
      </c>
      <c r="J13" s="2417"/>
      <c r="K13" s="2417"/>
      <c r="L13" s="2418"/>
    </row>
    <row r="14" spans="1:29" ht="13.5" customHeight="1" x14ac:dyDescent="0.2">
      <c r="A14" s="2395" t="str">
        <f>COVER!A19</f>
        <v>4580 MT PISGAH RD</v>
      </c>
      <c r="B14" s="2408"/>
      <c r="C14" s="2408"/>
      <c r="D14" s="2408"/>
      <c r="E14" s="2408"/>
      <c r="F14" s="2409"/>
      <c r="G14" s="1195" t="s">
        <v>1185</v>
      </c>
      <c r="H14" s="1193"/>
      <c r="I14" s="1193"/>
      <c r="J14" s="1193"/>
      <c r="K14" s="1193"/>
      <c r="L14" s="1194"/>
    </row>
    <row r="15" spans="1:29" ht="13.5" customHeight="1" x14ac:dyDescent="0.2">
      <c r="A15" s="2395" t="str">
        <f>COVER!A21</f>
        <v>CYPRESS</v>
      </c>
      <c r="B15" s="2408"/>
      <c r="C15" s="2408"/>
      <c r="D15" s="2408"/>
      <c r="E15" s="2408"/>
      <c r="F15" s="2409"/>
      <c r="G15" s="2405" t="str">
        <f>COVER!T15</f>
        <v>SCOTT A HICKAM CPA</v>
      </c>
      <c r="H15" s="2406"/>
      <c r="I15" s="2406"/>
      <c r="J15" s="2406"/>
      <c r="K15" s="2406"/>
      <c r="L15" s="2407"/>
    </row>
    <row r="16" spans="1:29" ht="12.2" customHeight="1" x14ac:dyDescent="0.2">
      <c r="A16" s="2385">
        <f>COVER!A25</f>
        <v>62923</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618-833-2721</v>
      </c>
      <c r="H18" s="2383"/>
      <c r="I18" s="2383"/>
      <c r="J18" s="2383"/>
      <c r="K18" s="2382" t="str">
        <f>COVER!X21</f>
        <v>618-833-7077</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Cypress SD 64</v>
      </c>
      <c r="B1" s="2419"/>
      <c r="C1" s="2419"/>
      <c r="D1" s="2419"/>
    </row>
    <row r="2" spans="1:11" s="1212" customFormat="1" ht="12.75" x14ac:dyDescent="0.2">
      <c r="A2" s="2424">
        <f>'Single Audit Cover'!E7</f>
        <v>21044064002</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Cypress SD 64</v>
      </c>
      <c r="B1" s="2427"/>
      <c r="C1" s="2427"/>
      <c r="D1" s="2427"/>
      <c r="E1" s="2427"/>
    </row>
    <row r="2" spans="1:5" x14ac:dyDescent="0.2">
      <c r="A2" s="2428">
        <f>'Single Audit Cover'!E7</f>
        <v>21044064002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111831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5364</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-2285</v>
      </c>
    </row>
    <row r="19" spans="1:4" ht="13.5" thickBot="1" x14ac:dyDescent="0.25">
      <c r="A19" s="1262" t="s">
        <v>1235</v>
      </c>
      <c r="D19" s="1263">
        <f>SUM(D10:D17)</f>
        <v>114910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114910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114910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Cypress SD 64</v>
      </c>
      <c r="C1" s="2431"/>
      <c r="D1" s="2431"/>
      <c r="E1" s="2431"/>
      <c r="F1" s="2431"/>
      <c r="G1" s="2431"/>
      <c r="H1" s="2431"/>
      <c r="I1" s="2431"/>
      <c r="J1" s="2431"/>
      <c r="K1" s="2431"/>
      <c r="L1" s="2431"/>
      <c r="M1" s="2431"/>
    </row>
    <row r="2" spans="2:14" ht="15" x14ac:dyDescent="0.2">
      <c r="B2" s="2432">
        <f>'Single Audit Cover'!E7</f>
        <v>21044064002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Cypress SD 64</v>
      </c>
      <c r="B1" s="2436"/>
      <c r="C1" s="2436"/>
      <c r="D1" s="2436"/>
      <c r="E1" s="2436"/>
      <c r="F1" s="2436"/>
    </row>
    <row r="2" spans="1:7" ht="13.5" customHeight="1" x14ac:dyDescent="0.2">
      <c r="A2" s="2432">
        <f>'Single Audit Cover'!E7</f>
        <v>21044064002</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6" colorId="8" zoomScale="110" zoomScaleNormal="110" workbookViewId="0">
      <selection activeCell="C9" sqref="C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Cypress SD 64</v>
      </c>
      <c r="C1" s="2452"/>
      <c r="D1" s="2452"/>
      <c r="E1" s="2452"/>
      <c r="F1" s="2452"/>
      <c r="G1" s="2452"/>
      <c r="H1" s="2452"/>
      <c r="I1" s="2452"/>
      <c r="J1" s="1406"/>
    </row>
    <row r="2" spans="2:10" s="317" customFormat="1" ht="12.75" customHeight="1" x14ac:dyDescent="0.2">
      <c r="B2" s="2453">
        <f>'Single Audit Cover'!E7</f>
        <v>21044064002</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Cypress SD 64</v>
      </c>
      <c r="C1" s="2451"/>
      <c r="D1" s="2451"/>
      <c r="E1" s="2451"/>
      <c r="F1" s="2451"/>
      <c r="G1" s="2451"/>
      <c r="H1" s="2451"/>
      <c r="I1" s="2451"/>
      <c r="J1" s="2451"/>
      <c r="K1" s="2451"/>
      <c r="L1" s="1371"/>
      <c r="M1" s="1371"/>
    </row>
    <row r="2" spans="1:13" ht="12" customHeight="1" x14ac:dyDescent="0.2">
      <c r="B2" s="2453">
        <f>'Single Audit Cover'!E7</f>
        <v>21044064002</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Cypress SD 64</v>
      </c>
      <c r="C1" s="2478"/>
      <c r="D1" s="2478"/>
      <c r="E1" s="2478"/>
      <c r="F1" s="2478"/>
      <c r="G1" s="2478"/>
      <c r="H1" s="2478"/>
      <c r="I1" s="2478"/>
      <c r="J1" s="2478"/>
      <c r="K1" s="2478"/>
      <c r="L1" s="1449"/>
    </row>
    <row r="2" spans="1:12" ht="12.75" customHeight="1" x14ac:dyDescent="0.2">
      <c r="B2" s="2479">
        <f>'Single Audit Cover'!E7</f>
        <v>21044064002</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Cypress SD 64</v>
      </c>
      <c r="C1" s="2451"/>
      <c r="D1" s="2451"/>
      <c r="E1" s="1469"/>
    </row>
    <row r="2" spans="2:5" s="1279" customFormat="1" ht="12.75" customHeight="1" x14ac:dyDescent="0.2">
      <c r="B2" s="2453">
        <f>'Single Audit Cover'!E7</f>
        <v>21044064002</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11" sqref="B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7836412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f>0.92/100</f>
        <v>9.1999999999999998E-3</v>
      </c>
      <c r="E10" s="356" t="s">
        <v>1005</v>
      </c>
      <c r="F10" s="355">
        <f>0.25/100</f>
        <v>2.5000000000000001E-3</v>
      </c>
      <c r="G10" s="356" t="s">
        <v>1005</v>
      </c>
      <c r="H10" s="355">
        <f>0.12/100</f>
        <v>1.1999999999999999E-3</v>
      </c>
      <c r="I10" s="356" t="s">
        <v>1006</v>
      </c>
      <c r="J10" s="1732">
        <f>ROUND(D10+F10+H10,5)</f>
        <v>1.29E-2</v>
      </c>
      <c r="K10" s="222"/>
      <c r="L10" s="355">
        <f>0.05/100</f>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1074216</v>
      </c>
      <c r="E16" s="356"/>
      <c r="F16" s="1733">
        <f>SUM('Acct Summary 7-8'!C17,'Acct Summary 7-8'!D17,'Acct Summary 7-8'!F17)</f>
        <v>1033178</v>
      </c>
      <c r="G16" s="356"/>
      <c r="H16" s="1733">
        <f>SUM(D16-F16)</f>
        <v>41038</v>
      </c>
      <c r="I16" s="222"/>
      <c r="J16" s="1733">
        <f>SUM('Acct Summary 7-8'!C81,'Acct Summary 7-8'!D81,'Acct Summary 7-8'!F81,'Acct Summary 7-8'!I81)</f>
        <v>597492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540712.42800000007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36" sqref="D3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Cypress SD 64</v>
      </c>
      <c r="E7" s="391"/>
      <c r="G7" s="252"/>
      <c r="H7" s="387"/>
      <c r="I7" s="387"/>
      <c r="J7" s="387"/>
      <c r="K7" s="387"/>
      <c r="L7" s="329"/>
      <c r="M7" s="329"/>
      <c r="N7" s="329"/>
      <c r="O7" s="329"/>
      <c r="P7" s="329"/>
    </row>
    <row r="8" spans="1:18" ht="12.75" x14ac:dyDescent="0.2">
      <c r="A8" s="329"/>
      <c r="B8" s="329"/>
      <c r="C8" s="389" t="s">
        <v>1125</v>
      </c>
      <c r="D8" s="392">
        <f>COVER!A13</f>
        <v>21044064002</v>
      </c>
      <c r="E8" s="393"/>
      <c r="G8" s="329"/>
      <c r="H8" s="329"/>
      <c r="I8" s="329"/>
      <c r="J8" s="329"/>
      <c r="K8" s="329"/>
      <c r="L8" s="329"/>
      <c r="M8" s="329"/>
      <c r="N8" s="329"/>
      <c r="O8" s="329"/>
      <c r="P8" s="329"/>
    </row>
    <row r="9" spans="1:18" ht="12.75" x14ac:dyDescent="0.2">
      <c r="A9" s="329"/>
      <c r="B9" s="329"/>
      <c r="C9" s="389" t="s">
        <v>713</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597492</v>
      </c>
      <c r="I12" s="404"/>
      <c r="J12" s="404"/>
      <c r="K12" s="405">
        <f>TRUNC((H12/H13*100000),5)/100000</f>
        <v>0.55621215839999993</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1074216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1033178</v>
      </c>
      <c r="I17" s="404"/>
      <c r="J17" s="416"/>
      <c r="K17" s="405">
        <f>TRUNC((H17/H18*100000),5)/100000</f>
        <v>0.96179725490000001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1074216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597492</v>
      </c>
      <c r="I24" s="422"/>
      <c r="J24" s="422"/>
      <c r="K24" s="423">
        <f>TRUNC(((H24/H25*100000)/100000),2)</f>
        <v>208.18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2869.9388899999999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85926.257580000005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35000</v>
      </c>
      <c r="I32" s="420"/>
      <c r="J32" s="420"/>
      <c r="K32" s="423">
        <f>TRUNC(100-((((H32/H33*100))*100)/100),2)</f>
        <v>93.52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540712.42800000007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f>121116+154508+2619+250000</f>
        <v>528243</v>
      </c>
      <c r="D4" s="466">
        <v>6801</v>
      </c>
      <c r="E4" s="466">
        <v>3669</v>
      </c>
      <c r="F4" s="466">
        <v>52017</v>
      </c>
      <c r="G4" s="466">
        <v>59815</v>
      </c>
      <c r="H4" s="466">
        <v>0</v>
      </c>
      <c r="I4" s="466">
        <v>10431</v>
      </c>
      <c r="J4" s="467">
        <v>12558</v>
      </c>
      <c r="K4" s="466">
        <v>9328</v>
      </c>
      <c r="L4" s="466">
        <v>10139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528243</v>
      </c>
      <c r="D13" s="1737">
        <f t="shared" ref="D13:L13" si="0">SUM(D4:D12)</f>
        <v>6801</v>
      </c>
      <c r="E13" s="1737">
        <f t="shared" si="0"/>
        <v>3669</v>
      </c>
      <c r="F13" s="1737">
        <f t="shared" si="0"/>
        <v>52017</v>
      </c>
      <c r="G13" s="1737">
        <f t="shared" si="0"/>
        <v>59815</v>
      </c>
      <c r="H13" s="1737">
        <f t="shared" si="0"/>
        <v>0</v>
      </c>
      <c r="I13" s="1737">
        <f t="shared" si="0"/>
        <v>10431</v>
      </c>
      <c r="J13" s="1737">
        <f t="shared" si="0"/>
        <v>12558</v>
      </c>
      <c r="K13" s="1737">
        <f t="shared" si="0"/>
        <v>9328</v>
      </c>
      <c r="L13" s="1737">
        <f t="shared" si="0"/>
        <v>10139</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84206</v>
      </c>
      <c r="N16" s="484"/>
    </row>
    <row r="17" spans="1:14" s="485" customFormat="1" ht="12.75" customHeight="1" x14ac:dyDescent="0.2">
      <c r="A17" s="482" t="s">
        <v>1403</v>
      </c>
      <c r="B17" s="483">
        <v>230</v>
      </c>
      <c r="C17" s="477"/>
      <c r="D17" s="477"/>
      <c r="E17" s="477"/>
      <c r="F17" s="477"/>
      <c r="G17" s="477"/>
      <c r="H17" s="477"/>
      <c r="I17" s="477"/>
      <c r="J17" s="477"/>
      <c r="K17" s="477"/>
      <c r="L17" s="477"/>
      <c r="M17" s="467">
        <v>4578611</v>
      </c>
      <c r="N17" s="484"/>
    </row>
    <row r="18" spans="1:14" s="485" customFormat="1" ht="12.75" customHeight="1" x14ac:dyDescent="0.2">
      <c r="A18" s="482" t="s">
        <v>1404</v>
      </c>
      <c r="B18" s="483">
        <v>240</v>
      </c>
      <c r="C18" s="477"/>
      <c r="D18" s="477"/>
      <c r="E18" s="477"/>
      <c r="F18" s="477"/>
      <c r="G18" s="477"/>
      <c r="H18" s="477"/>
      <c r="I18" s="477"/>
      <c r="J18" s="477"/>
      <c r="K18" s="477"/>
      <c r="L18" s="477"/>
      <c r="M18" s="467">
        <v>443054</v>
      </c>
      <c r="N18" s="484"/>
    </row>
    <row r="19" spans="1:14" s="485" customFormat="1" ht="12.75" customHeight="1" x14ac:dyDescent="0.2">
      <c r="A19" s="482" t="s">
        <v>1405</v>
      </c>
      <c r="B19" s="483">
        <v>250</v>
      </c>
      <c r="C19" s="477"/>
      <c r="D19" s="477"/>
      <c r="E19" s="477"/>
      <c r="F19" s="477"/>
      <c r="G19" s="477"/>
      <c r="H19" s="477"/>
      <c r="I19" s="477"/>
      <c r="J19" s="477"/>
      <c r="K19" s="477"/>
      <c r="L19" s="477"/>
      <c r="M19" s="467">
        <f>17404+553976+40617+190585</f>
        <v>802582</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3669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31331</v>
      </c>
    </row>
    <row r="23" spans="1:14" ht="13.5" customHeight="1" thickBot="1" x14ac:dyDescent="0.25">
      <c r="A23" s="1736" t="s">
        <v>643</v>
      </c>
      <c r="B23" s="1741"/>
      <c r="C23" s="468"/>
      <c r="D23" s="468"/>
      <c r="E23" s="468"/>
      <c r="F23" s="468"/>
      <c r="G23" s="468"/>
      <c r="H23" s="468"/>
      <c r="I23" s="468"/>
      <c r="J23" s="468"/>
      <c r="K23" s="468"/>
      <c r="L23" s="468"/>
      <c r="M23" s="1688">
        <f>SUM(M15:M22)</f>
        <v>5908453</v>
      </c>
      <c r="N23" s="1688">
        <f>SUM(N21:N22)</f>
        <v>35000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10139</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10139</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35000</v>
      </c>
    </row>
    <row r="37" spans="1:14" ht="13.5" thickBot="1" x14ac:dyDescent="0.25">
      <c r="A37" s="1736" t="s">
        <v>653</v>
      </c>
      <c r="B37" s="1741"/>
      <c r="C37" s="477"/>
      <c r="D37" s="477"/>
      <c r="E37" s="477"/>
      <c r="F37" s="477"/>
      <c r="G37" s="477"/>
      <c r="H37" s="477"/>
      <c r="I37" s="477"/>
      <c r="J37" s="477"/>
      <c r="K37" s="477"/>
      <c r="L37" s="480"/>
      <c r="M37" s="468"/>
      <c r="N37" s="1688">
        <f>SUM(N36:N36)</f>
        <v>35000</v>
      </c>
    </row>
    <row r="38" spans="1:14" s="329" customFormat="1" ht="13.5" customHeight="1" thickTop="1" x14ac:dyDescent="0.2">
      <c r="A38" s="496" t="s">
        <v>420</v>
      </c>
      <c r="B38" s="483">
        <v>714</v>
      </c>
      <c r="C38" s="466">
        <v>0</v>
      </c>
      <c r="D38" s="466">
        <v>3426</v>
      </c>
      <c r="E38" s="466">
        <v>3669</v>
      </c>
      <c r="F38" s="466">
        <v>0</v>
      </c>
      <c r="G38" s="466">
        <v>59815</v>
      </c>
      <c r="H38" s="466">
        <v>0</v>
      </c>
      <c r="I38" s="466">
        <v>0</v>
      </c>
      <c r="J38" s="467">
        <v>12558</v>
      </c>
      <c r="K38" s="466">
        <v>9328</v>
      </c>
      <c r="L38" s="481">
        <v>0</v>
      </c>
      <c r="M38" s="497"/>
      <c r="N38" s="497"/>
    </row>
    <row r="39" spans="1:14" s="329" customFormat="1" ht="13.5" customHeight="1" x14ac:dyDescent="0.2">
      <c r="A39" s="496" t="s">
        <v>342</v>
      </c>
      <c r="B39" s="483">
        <v>730</v>
      </c>
      <c r="C39" s="466">
        <f>528243</f>
        <v>528243</v>
      </c>
      <c r="D39" s="466">
        <f>6801-3426</f>
        <v>3375</v>
      </c>
      <c r="E39" s="466">
        <v>0</v>
      </c>
      <c r="F39" s="466">
        <v>52017</v>
      </c>
      <c r="G39" s="466">
        <v>0</v>
      </c>
      <c r="H39" s="466">
        <v>0</v>
      </c>
      <c r="I39" s="466">
        <v>10431</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5908453</v>
      </c>
      <c r="N40" s="497"/>
    </row>
    <row r="41" spans="1:14" ht="13.5" customHeight="1" thickBot="1" x14ac:dyDescent="0.25">
      <c r="A41" s="1736" t="s">
        <v>655</v>
      </c>
      <c r="B41" s="1706"/>
      <c r="C41" s="1688">
        <f>(SUM(C34,C37,C38,C39))</f>
        <v>528243</v>
      </c>
      <c r="D41" s="1688">
        <f t="shared" ref="D41:L41" si="2">SUM(D34,D37,D38:D39)</f>
        <v>6801</v>
      </c>
      <c r="E41" s="1688">
        <f t="shared" si="2"/>
        <v>3669</v>
      </c>
      <c r="F41" s="1688">
        <f t="shared" si="2"/>
        <v>52017</v>
      </c>
      <c r="G41" s="1688">
        <f t="shared" si="2"/>
        <v>59815</v>
      </c>
      <c r="H41" s="1688">
        <f t="shared" si="2"/>
        <v>0</v>
      </c>
      <c r="I41" s="1688">
        <f t="shared" si="2"/>
        <v>10431</v>
      </c>
      <c r="J41" s="1688">
        <f t="shared" si="2"/>
        <v>12558</v>
      </c>
      <c r="K41" s="1688">
        <f t="shared" si="2"/>
        <v>9328</v>
      </c>
      <c r="L41" s="1688">
        <f t="shared" si="2"/>
        <v>10139</v>
      </c>
      <c r="M41" s="1688">
        <f>SUM(M40)</f>
        <v>5908453</v>
      </c>
      <c r="N41" s="1688">
        <f>SUM(N37)</f>
        <v>35000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143534</v>
      </c>
      <c r="D4" s="1742">
        <f>'Revenues 9-14'!D109</f>
        <v>21797</v>
      </c>
      <c r="E4" s="1742">
        <f>'Revenues 9-14'!E109</f>
        <v>20085</v>
      </c>
      <c r="F4" s="1742">
        <f>'Revenues 9-14'!F109</f>
        <v>8723</v>
      </c>
      <c r="G4" s="1742">
        <f>'Revenues 9-14'!G109</f>
        <v>28795</v>
      </c>
      <c r="H4" s="1742">
        <f>'Revenues 9-14'!H109</f>
        <v>0</v>
      </c>
      <c r="I4" s="1742">
        <f>'Revenues 9-14'!I109</f>
        <v>3635</v>
      </c>
      <c r="J4" s="1742">
        <f>'Revenues 9-14'!J109</f>
        <v>72484</v>
      </c>
      <c r="K4" s="1742">
        <f>'Revenues 9-14'!K109</f>
        <v>3635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665424</v>
      </c>
      <c r="D6" s="1743">
        <f>'Revenues 9-14'!D170</f>
        <v>67873</v>
      </c>
      <c r="E6" s="1743">
        <f>'Revenues 9-14'!E170</f>
        <v>0</v>
      </c>
      <c r="F6" s="1743">
        <f>'Revenues 9-14'!F170</f>
        <v>51399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111831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920789</v>
      </c>
      <c r="D8" s="1688">
        <f t="shared" ref="D8:K8" si="0">SUM(D4:D7)</f>
        <v>89670</v>
      </c>
      <c r="E8" s="1688">
        <f t="shared" si="0"/>
        <v>20085</v>
      </c>
      <c r="F8" s="1688">
        <f t="shared" si="0"/>
        <v>60122</v>
      </c>
      <c r="G8" s="1688">
        <f t="shared" si="0"/>
        <v>28795</v>
      </c>
      <c r="H8" s="1688">
        <f t="shared" si="0"/>
        <v>0</v>
      </c>
      <c r="I8" s="1688">
        <f t="shared" si="0"/>
        <v>3635</v>
      </c>
      <c r="J8" s="1688">
        <f t="shared" si="0"/>
        <v>72484</v>
      </c>
      <c r="K8" s="1688">
        <f t="shared" si="0"/>
        <v>3635</v>
      </c>
      <c r="L8" s="347"/>
    </row>
    <row r="9" spans="1:13" ht="15.75" thickTop="1" x14ac:dyDescent="0.2">
      <c r="A9" s="514" t="s">
        <v>1653</v>
      </c>
      <c r="B9" s="515">
        <v>3998</v>
      </c>
      <c r="C9" s="481">
        <v>392981</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1313770</v>
      </c>
      <c r="D10" s="1688">
        <f t="shared" ref="D10:K10" si="1">SUM(D8:D9)</f>
        <v>89670</v>
      </c>
      <c r="E10" s="1688">
        <f t="shared" si="1"/>
        <v>20085</v>
      </c>
      <c r="F10" s="1688">
        <f t="shared" si="1"/>
        <v>60122</v>
      </c>
      <c r="G10" s="1688">
        <f t="shared" si="1"/>
        <v>28795</v>
      </c>
      <c r="H10" s="1688">
        <f t="shared" si="1"/>
        <v>0</v>
      </c>
      <c r="I10" s="1688">
        <f t="shared" si="1"/>
        <v>3635</v>
      </c>
      <c r="J10" s="1688">
        <f t="shared" si="1"/>
        <v>72484</v>
      </c>
      <c r="K10" s="1688">
        <f t="shared" si="1"/>
        <v>3635</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609962</v>
      </c>
      <c r="D12" s="520" t="s">
        <v>1169</v>
      </c>
      <c r="E12" s="468" t="s">
        <v>1169</v>
      </c>
      <c r="F12" s="468" t="s">
        <v>1169</v>
      </c>
      <c r="G12" s="1742">
        <f>'Expenditures 15-22'!K229</f>
        <v>7321</v>
      </c>
      <c r="H12" s="521"/>
      <c r="I12" s="468" t="s">
        <v>1169</v>
      </c>
      <c r="J12" s="468" t="s">
        <v>1169</v>
      </c>
      <c r="K12" s="521" t="s">
        <v>1169</v>
      </c>
      <c r="L12" s="347"/>
    </row>
    <row r="13" spans="1:13" ht="15.75" customHeight="1" x14ac:dyDescent="0.2">
      <c r="A13" s="1576" t="s">
        <v>457</v>
      </c>
      <c r="B13" s="1578">
        <v>2000</v>
      </c>
      <c r="C13" s="1743">
        <f>'Expenditures 15-22'!K74</f>
        <v>247539</v>
      </c>
      <c r="D13" s="1743">
        <f>'Expenditures 15-22'!K129</f>
        <v>87359</v>
      </c>
      <c r="E13" s="469" t="s">
        <v>1169</v>
      </c>
      <c r="F13" s="1743">
        <f>'Expenditures 15-22'!K184</f>
        <v>63863</v>
      </c>
      <c r="G13" s="1743">
        <f>'Expenditures 15-22'!K279</f>
        <v>18095</v>
      </c>
      <c r="H13" s="1743">
        <f>'Expenditures 15-22'!K303</f>
        <v>0</v>
      </c>
      <c r="I13" s="468" t="s">
        <v>1169</v>
      </c>
      <c r="J13" s="1743">
        <f>'Expenditures 15-22'!K330</f>
        <v>65098</v>
      </c>
      <c r="K13" s="1747">
        <f>'Expenditures 15-22'!K352</f>
        <v>2561</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24455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21025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881956</v>
      </c>
      <c r="D17" s="1688">
        <f t="shared" si="2"/>
        <v>87359</v>
      </c>
      <c r="E17" s="1688">
        <f t="shared" si="2"/>
        <v>21025</v>
      </c>
      <c r="F17" s="1688">
        <f t="shared" si="2"/>
        <v>63863</v>
      </c>
      <c r="G17" s="1688">
        <f t="shared" si="2"/>
        <v>25416</v>
      </c>
      <c r="H17" s="1688">
        <f t="shared" si="2"/>
        <v>0</v>
      </c>
      <c r="I17" s="468"/>
      <c r="J17" s="1688">
        <f>SUM(J12:J16)</f>
        <v>65098</v>
      </c>
      <c r="K17" s="1688">
        <f>SUM(K12:K16)</f>
        <v>2561</v>
      </c>
      <c r="L17" s="347"/>
    </row>
    <row r="18" spans="1:12" ht="15" customHeight="1" thickTop="1" x14ac:dyDescent="0.2">
      <c r="A18" s="1744" t="s">
        <v>1654</v>
      </c>
      <c r="B18" s="1745">
        <v>4180</v>
      </c>
      <c r="C18" s="1742">
        <f t="shared" ref="C18:H18" si="3">C9</f>
        <v>392981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1274937</v>
      </c>
      <c r="D19" s="1688">
        <f t="shared" si="4"/>
        <v>87359</v>
      </c>
      <c r="E19" s="1688">
        <f t="shared" si="4"/>
        <v>21025</v>
      </c>
      <c r="F19" s="1688">
        <f t="shared" si="4"/>
        <v>63863</v>
      </c>
      <c r="G19" s="1688">
        <f t="shared" si="4"/>
        <v>25416</v>
      </c>
      <c r="H19" s="1688">
        <f t="shared" si="4"/>
        <v>0</v>
      </c>
      <c r="I19" s="468"/>
      <c r="J19" s="1688">
        <f>SUM(J17:J18)</f>
        <v>65098</v>
      </c>
      <c r="K19" s="1688">
        <f>SUM(K17:K18)</f>
        <v>2561</v>
      </c>
      <c r="L19" s="347"/>
    </row>
    <row r="20" spans="1:12" ht="16.5" thickTop="1" thickBot="1" x14ac:dyDescent="0.25">
      <c r="A20" s="2124" t="s">
        <v>1655</v>
      </c>
      <c r="B20" s="2125"/>
      <c r="C20" s="1746">
        <f>C8-C17</f>
        <v>38833</v>
      </c>
      <c r="D20" s="1746">
        <f t="shared" ref="D20:K20" si="5">D8-D17</f>
        <v>2311</v>
      </c>
      <c r="E20" s="1746">
        <f t="shared" si="5"/>
        <v>-940</v>
      </c>
      <c r="F20" s="1746">
        <f t="shared" si="5"/>
        <v>-3741</v>
      </c>
      <c r="G20" s="1746">
        <f t="shared" si="5"/>
        <v>3379</v>
      </c>
      <c r="H20" s="1746">
        <f t="shared" si="5"/>
        <v>0</v>
      </c>
      <c r="I20" s="1746">
        <f t="shared" si="5"/>
        <v>3635</v>
      </c>
      <c r="J20" s="1746">
        <f t="shared" si="5"/>
        <v>7386</v>
      </c>
      <c r="K20" s="1746">
        <f t="shared" si="5"/>
        <v>1074</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1794</v>
      </c>
      <c r="B30" s="527">
        <v>7160</v>
      </c>
      <c r="C30" s="477"/>
      <c r="D30" s="467">
        <v>0</v>
      </c>
      <c r="E30" s="477"/>
      <c r="F30" s="477"/>
      <c r="G30" s="477"/>
      <c r="H30" s="477"/>
      <c r="I30" s="477"/>
      <c r="J30" s="477"/>
      <c r="K30" s="477"/>
      <c r="L30" s="524"/>
    </row>
    <row r="31" spans="1:12" s="485" customFormat="1" ht="26.25" x14ac:dyDescent="0.2">
      <c r="A31" s="1489" t="s">
        <v>1798</v>
      </c>
      <c r="B31" s="527">
        <v>7170</v>
      </c>
      <c r="C31" s="477"/>
      <c r="D31" s="477"/>
      <c r="E31" s="474">
        <v>0</v>
      </c>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38833</v>
      </c>
      <c r="D78" s="1702">
        <f t="shared" si="9"/>
        <v>2311</v>
      </c>
      <c r="E78" s="1702">
        <f t="shared" si="9"/>
        <v>-940</v>
      </c>
      <c r="F78" s="1702">
        <f t="shared" si="9"/>
        <v>-3741</v>
      </c>
      <c r="G78" s="1702">
        <f t="shared" si="9"/>
        <v>3379</v>
      </c>
      <c r="H78" s="1702">
        <f t="shared" si="9"/>
        <v>0</v>
      </c>
      <c r="I78" s="1702">
        <f t="shared" si="9"/>
        <v>3635</v>
      </c>
      <c r="J78" s="1702">
        <f t="shared" si="9"/>
        <v>7386</v>
      </c>
      <c r="K78" s="1702">
        <f t="shared" si="9"/>
        <v>1074</v>
      </c>
      <c r="L78" s="533"/>
    </row>
    <row r="79" spans="1:12" ht="13.5" thickTop="1" x14ac:dyDescent="0.2">
      <c r="A79" s="1494" t="s">
        <v>1949</v>
      </c>
      <c r="B79" s="534"/>
      <c r="C79" s="478">
        <v>489410</v>
      </c>
      <c r="D79" s="535">
        <v>4490</v>
      </c>
      <c r="E79" s="535">
        <v>4609</v>
      </c>
      <c r="F79" s="535">
        <v>55758</v>
      </c>
      <c r="G79" s="535">
        <v>56436</v>
      </c>
      <c r="H79" s="535">
        <v>0</v>
      </c>
      <c r="I79" s="535">
        <v>6796</v>
      </c>
      <c r="J79" s="535">
        <v>5172</v>
      </c>
      <c r="K79" s="535">
        <v>8254</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8">
        <f>(SUM(C78:C80))</f>
        <v>528243</v>
      </c>
      <c r="D81" s="1688">
        <f>SUM(D78:D80)</f>
        <v>6801</v>
      </c>
      <c r="E81" s="1688">
        <f t="shared" ref="E81:K81" si="10">SUM(E78:E80)</f>
        <v>3669</v>
      </c>
      <c r="F81" s="1688">
        <f t="shared" si="10"/>
        <v>52017</v>
      </c>
      <c r="G81" s="1688">
        <f t="shared" si="10"/>
        <v>59815</v>
      </c>
      <c r="H81" s="1688">
        <f t="shared" si="10"/>
        <v>0</v>
      </c>
      <c r="I81" s="1688">
        <f t="shared" si="10"/>
        <v>10431</v>
      </c>
      <c r="J81" s="1688">
        <f t="shared" si="10"/>
        <v>12558</v>
      </c>
      <c r="K81" s="1688">
        <f t="shared" si="10"/>
        <v>9328</v>
      </c>
      <c r="L81" s="347"/>
    </row>
    <row r="82" spans="1:12" ht="0.75" customHeight="1" thickTop="1" thickBot="1" x14ac:dyDescent="0.25">
      <c r="A82" s="536" t="s">
        <v>343</v>
      </c>
      <c r="B82" s="537"/>
      <c r="C82" s="538">
        <f>(C81-C79)</f>
        <v>38833</v>
      </c>
      <c r="D82" s="538">
        <f t="shared" ref="D82:K82" si="11">(D81-D79)</f>
        <v>2311</v>
      </c>
      <c r="E82" s="538">
        <f t="shared" si="11"/>
        <v>-940</v>
      </c>
      <c r="F82" s="538">
        <f t="shared" si="11"/>
        <v>-3741</v>
      </c>
      <c r="G82" s="538">
        <f t="shared" si="11"/>
        <v>3379</v>
      </c>
      <c r="H82" s="538">
        <f t="shared" si="11"/>
        <v>0</v>
      </c>
      <c r="I82" s="538">
        <f t="shared" si="11"/>
        <v>3635</v>
      </c>
      <c r="J82" s="538">
        <f t="shared" si="11"/>
        <v>7386</v>
      </c>
      <c r="K82" s="538">
        <f t="shared" si="11"/>
        <v>1074</v>
      </c>
    </row>
    <row r="83" spans="1:12" ht="14.25" hidden="1" thickTop="1" thickBot="1" x14ac:dyDescent="0.25">
      <c r="A83" s="539" t="s">
        <v>344</v>
      </c>
      <c r="B83" s="464"/>
      <c r="C83" s="540">
        <f>C82/C81</f>
        <v>7.3513515560073683E-2</v>
      </c>
      <c r="D83" s="540">
        <f t="shared" ref="D83:K83" si="12">D82/D81</f>
        <v>0.33980297015144834</v>
      </c>
      <c r="E83" s="540">
        <f t="shared" si="12"/>
        <v>-0.25620059961842462</v>
      </c>
      <c r="F83" s="540">
        <f t="shared" si="12"/>
        <v>-7.1918795778303249E-2</v>
      </c>
      <c r="G83" s="540">
        <f t="shared" si="12"/>
        <v>5.6490846777564156E-2</v>
      </c>
      <c r="H83" s="540" t="e">
        <f t="shared" si="12"/>
        <v>#DIV/0!</v>
      </c>
      <c r="I83" s="540">
        <f t="shared" si="12"/>
        <v>0.34848049084459781</v>
      </c>
      <c r="J83" s="540">
        <f t="shared" si="12"/>
        <v>0.58815097945532724</v>
      </c>
      <c r="K83" s="540">
        <f t="shared" si="12"/>
        <v>0.11513722126929674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&amp;L&amp;8&amp;F&amp;C&amp;8The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3"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66872</v>
      </c>
      <c r="D5" s="481">
        <v>18173</v>
      </c>
      <c r="E5" s="466">
        <v>20085</v>
      </c>
      <c r="F5" s="548">
        <v>8723</v>
      </c>
      <c r="G5" s="466">
        <v>12044</v>
      </c>
      <c r="H5" s="466">
        <v>0</v>
      </c>
      <c r="I5" s="466">
        <v>3635</v>
      </c>
      <c r="J5" s="467">
        <v>72484</v>
      </c>
      <c r="K5" s="466">
        <v>3635</v>
      </c>
    </row>
    <row r="6" spans="1:12" ht="15" x14ac:dyDescent="0.2">
      <c r="A6" s="463" t="s">
        <v>1662</v>
      </c>
      <c r="B6" s="470">
        <v>1130</v>
      </c>
      <c r="C6" s="466"/>
      <c r="D6" s="466">
        <v>3624</v>
      </c>
      <c r="E6" s="475"/>
      <c r="F6" s="475"/>
      <c r="G6" s="468"/>
      <c r="H6" s="468"/>
      <c r="I6" s="468"/>
      <c r="J6" s="468"/>
      <c r="K6" s="468"/>
    </row>
    <row r="7" spans="1:12" x14ac:dyDescent="0.2">
      <c r="A7" s="463" t="s">
        <v>110</v>
      </c>
      <c r="B7" s="549">
        <v>1140</v>
      </c>
      <c r="C7" s="466">
        <v>1455</v>
      </c>
      <c r="D7" s="466"/>
      <c r="E7" s="468"/>
      <c r="F7" s="467"/>
      <c r="G7" s="467"/>
      <c r="H7" s="467"/>
      <c r="I7" s="468"/>
      <c r="J7" s="468"/>
      <c r="K7" s="468"/>
    </row>
    <row r="8" spans="1:12" x14ac:dyDescent="0.2">
      <c r="A8" s="463" t="s">
        <v>413</v>
      </c>
      <c r="B8" s="470">
        <v>1150</v>
      </c>
      <c r="C8" s="475"/>
      <c r="D8" s="475"/>
      <c r="E8" s="477"/>
      <c r="F8" s="477"/>
      <c r="G8" s="481">
        <v>16056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68327</v>
      </c>
      <c r="D12" s="1707">
        <f t="shared" si="0"/>
        <v>21797</v>
      </c>
      <c r="E12" s="1707">
        <f t="shared" si="0"/>
        <v>20085</v>
      </c>
      <c r="F12" s="1707">
        <f t="shared" si="0"/>
        <v>8723</v>
      </c>
      <c r="G12" s="1707">
        <f t="shared" si="0"/>
        <v>28100</v>
      </c>
      <c r="H12" s="1707">
        <f t="shared" si="0"/>
        <v>0</v>
      </c>
      <c r="I12" s="1707">
        <f t="shared" si="0"/>
        <v>3635</v>
      </c>
      <c r="J12" s="1707">
        <f t="shared" si="0"/>
        <v>72484</v>
      </c>
      <c r="K12" s="1688">
        <f t="shared" si="0"/>
        <v>3635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43905</v>
      </c>
      <c r="D16" s="466"/>
      <c r="E16" s="466"/>
      <c r="F16" s="466"/>
      <c r="G16" s="466">
        <v>695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43905</v>
      </c>
      <c r="D18" s="1710">
        <f t="shared" ref="D18:K18" si="1">SUM(D14:D17)</f>
        <v>0</v>
      </c>
      <c r="E18" s="1710">
        <f t="shared" si="1"/>
        <v>0</v>
      </c>
      <c r="F18" s="1710">
        <f t="shared" si="1"/>
        <v>0</v>
      </c>
      <c r="G18" s="1710">
        <f t="shared" si="1"/>
        <v>695</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7326</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7326</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12066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1456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13522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3342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3342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781</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5764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567</v>
      </c>
      <c r="D107" s="466"/>
      <c r="E107" s="466"/>
      <c r="F107" s="466"/>
      <c r="G107" s="466"/>
      <c r="H107" s="466"/>
      <c r="I107" s="466"/>
      <c r="J107" s="467"/>
      <c r="K107" s="466"/>
    </row>
    <row r="108" spans="1:12" ht="12.75" customHeight="1" thickBot="1" x14ac:dyDescent="0.25">
      <c r="A108" s="1708" t="s">
        <v>487</v>
      </c>
      <c r="B108" s="1712"/>
      <c r="C108" s="1707">
        <f>SUM(C95:C107)</f>
        <v>7112</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143534</v>
      </c>
      <c r="D109" s="1715">
        <f t="shared" si="4"/>
        <v>21797</v>
      </c>
      <c r="E109" s="1715">
        <f t="shared" si="4"/>
        <v>20085</v>
      </c>
      <c r="F109" s="1715">
        <f t="shared" si="4"/>
        <v>8723</v>
      </c>
      <c r="G109" s="1715">
        <f t="shared" si="4"/>
        <v>28795</v>
      </c>
      <c r="H109" s="1715">
        <f t="shared" si="4"/>
        <v>0</v>
      </c>
      <c r="I109" s="1715">
        <f t="shared" si="4"/>
        <v>3635</v>
      </c>
      <c r="J109" s="1715">
        <f t="shared" si="4"/>
        <v>72484</v>
      </c>
      <c r="K109" s="1702">
        <f t="shared" si="4"/>
        <v>3635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576526</v>
      </c>
      <c r="D117" s="481">
        <v>67873</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576526</v>
      </c>
      <c r="D122" s="1707">
        <f t="shared" si="5"/>
        <v>67873</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871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49671</v>
      </c>
      <c r="G152" s="467"/>
      <c r="H152" s="468"/>
      <c r="I152" s="468"/>
      <c r="J152" s="468"/>
      <c r="K152" s="468"/>
    </row>
    <row r="153" spans="1:11" ht="12.75" customHeight="1" x14ac:dyDescent="0.2">
      <c r="A153" s="463" t="s">
        <v>1057</v>
      </c>
      <c r="B153" s="562">
        <v>3510</v>
      </c>
      <c r="C153" s="551"/>
      <c r="D153" s="466"/>
      <c r="E153" s="561"/>
      <c r="F153" s="466">
        <v>1728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51399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66827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21200</v>
      </c>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88898</v>
      </c>
      <c r="D169" s="1722">
        <f t="shared" si="6"/>
        <v>0</v>
      </c>
      <c r="E169" s="1722">
        <f t="shared" si="6"/>
        <v>0</v>
      </c>
      <c r="F169" s="1722">
        <f t="shared" si="6"/>
        <v>51399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665424</v>
      </c>
      <c r="D170" s="1715">
        <f t="shared" si="7"/>
        <v>67873</v>
      </c>
      <c r="E170" s="1715">
        <f t="shared" si="7"/>
        <v>0</v>
      </c>
      <c r="F170" s="1715">
        <f t="shared" si="7"/>
        <v>51399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33082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18837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51919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24348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24348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13450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3876</v>
      </c>
      <c r="D263" s="576"/>
      <c r="E263" s="468"/>
      <c r="F263" s="576"/>
      <c r="G263" s="576"/>
      <c r="H263" s="468"/>
      <c r="I263" s="468"/>
      <c r="J263" s="468"/>
      <c r="K263" s="468"/>
    </row>
    <row r="264" spans="1:11" ht="12.75" customHeight="1" thickTop="1" thickBot="1" x14ac:dyDescent="0.25">
      <c r="A264" s="463" t="s">
        <v>377</v>
      </c>
      <c r="B264" s="470">
        <v>4992</v>
      </c>
      <c r="C264" s="575">
        <v>2285</v>
      </c>
      <c r="D264" s="576"/>
      <c r="E264" s="468"/>
      <c r="F264" s="576"/>
      <c r="G264" s="576"/>
      <c r="H264" s="468"/>
      <c r="I264" s="468"/>
      <c r="J264" s="468"/>
      <c r="K264" s="468"/>
    </row>
    <row r="265" spans="1:11" s="593" customFormat="1" ht="12.75" customHeight="1" thickTop="1" thickBot="1" x14ac:dyDescent="0.25">
      <c r="A265" s="563" t="s">
        <v>75</v>
      </c>
      <c r="B265" s="557">
        <v>4999</v>
      </c>
      <c r="C265" s="575">
        <f>5182+10771</f>
        <v>15953</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111831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111831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920789</v>
      </c>
      <c r="D268" s="1715">
        <f t="shared" si="12"/>
        <v>89670</v>
      </c>
      <c r="E268" s="1715">
        <f t="shared" si="12"/>
        <v>20085</v>
      </c>
      <c r="F268" s="1715">
        <f t="shared" si="12"/>
        <v>60122</v>
      </c>
      <c r="G268" s="1715">
        <f t="shared" si="12"/>
        <v>28795</v>
      </c>
      <c r="H268" s="1715">
        <f t="shared" si="12"/>
        <v>0</v>
      </c>
      <c r="I268" s="1715">
        <f t="shared" si="12"/>
        <v>3635</v>
      </c>
      <c r="J268" s="1715">
        <f t="shared" si="12"/>
        <v>72484</v>
      </c>
      <c r="K268" s="1702">
        <f t="shared" si="12"/>
        <v>3635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&amp;L&amp;8&amp;F&amp;C&amp;8The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E50" sqref="E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319994+13405+207+37069</f>
        <v>370675</v>
      </c>
      <c r="D5" s="466">
        <f>33699+3254+2237+1161</f>
        <v>40351</v>
      </c>
      <c r="E5" s="466">
        <f>3586</f>
        <v>3586</v>
      </c>
      <c r="F5" s="466">
        <v>21991</v>
      </c>
      <c r="G5" s="466"/>
      <c r="H5" s="466">
        <v>1579</v>
      </c>
      <c r="I5" s="467"/>
      <c r="J5" s="467"/>
      <c r="K5" s="1671">
        <f>SUM(C5:J5)</f>
        <v>438182</v>
      </c>
      <c r="L5" s="466">
        <v>423700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53978</v>
      </c>
      <c r="D7" s="467">
        <v>7096</v>
      </c>
      <c r="E7" s="467"/>
      <c r="F7" s="467">
        <v>1495</v>
      </c>
      <c r="G7" s="467"/>
      <c r="H7" s="467">
        <v>135</v>
      </c>
      <c r="I7" s="467"/>
      <c r="J7" s="467"/>
      <c r="K7" s="1671">
        <f t="shared" ref="K7:K32" si="0">SUM(C7:J7)</f>
        <v>62704</v>
      </c>
      <c r="L7" s="466">
        <v>70000</v>
      </c>
    </row>
    <row r="8" spans="1:14" x14ac:dyDescent="0.2">
      <c r="A8" s="1504" t="s">
        <v>164</v>
      </c>
      <c r="B8" s="614">
        <v>1200</v>
      </c>
      <c r="C8" s="466">
        <v>33726</v>
      </c>
      <c r="D8" s="466">
        <v>3830</v>
      </c>
      <c r="E8" s="466">
        <v>14982</v>
      </c>
      <c r="F8" s="466"/>
      <c r="G8" s="466"/>
      <c r="H8" s="466"/>
      <c r="I8" s="467"/>
      <c r="J8" s="467"/>
      <c r="K8" s="1671">
        <f t="shared" si="0"/>
        <v>52538</v>
      </c>
      <c r="L8" s="466">
        <v>50957</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23317</v>
      </c>
      <c r="D10" s="466">
        <v>3362</v>
      </c>
      <c r="E10" s="466">
        <v>4225</v>
      </c>
      <c r="F10" s="466">
        <v>7625</v>
      </c>
      <c r="G10" s="466"/>
      <c r="H10" s="466"/>
      <c r="I10" s="467"/>
      <c r="J10" s="467"/>
      <c r="K10" s="1671">
        <f t="shared" si="0"/>
        <v>38529</v>
      </c>
      <c r="L10" s="466">
        <v>38250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6669</v>
      </c>
      <c r="D14" s="466">
        <v>561</v>
      </c>
      <c r="E14" s="466">
        <v>4500</v>
      </c>
      <c r="F14" s="466">
        <v>4774</v>
      </c>
      <c r="G14" s="466"/>
      <c r="H14" s="466">
        <v>1505</v>
      </c>
      <c r="I14" s="467"/>
      <c r="J14" s="467"/>
      <c r="K14" s="1671">
        <f t="shared" si="0"/>
        <v>18009</v>
      </c>
      <c r="L14" s="466">
        <v>14139</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v>800</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488365</v>
      </c>
      <c r="D33" s="1670">
        <f t="shared" ref="D33:L33" si="1">SUM(D5:D32)</f>
        <v>55200</v>
      </c>
      <c r="E33" s="1670">
        <f t="shared" si="1"/>
        <v>27293</v>
      </c>
      <c r="F33" s="1670">
        <f t="shared" si="1"/>
        <v>35885</v>
      </c>
      <c r="G33" s="1670">
        <f t="shared" si="1"/>
        <v>0</v>
      </c>
      <c r="H33" s="1670">
        <f t="shared" si="1"/>
        <v>3219</v>
      </c>
      <c r="I33" s="1670">
        <f t="shared" si="1"/>
        <v>0</v>
      </c>
      <c r="J33" s="1670">
        <f t="shared" si="1"/>
        <v>0</v>
      </c>
      <c r="K33" s="1670">
        <f t="shared" si="1"/>
        <v>609962</v>
      </c>
      <c r="L33" s="1670">
        <f t="shared" si="1"/>
        <v>597846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4215</v>
      </c>
      <c r="D38" s="466"/>
      <c r="E38" s="466">
        <v>2620</v>
      </c>
      <c r="F38" s="466"/>
      <c r="G38" s="466"/>
      <c r="H38" s="466"/>
      <c r="I38" s="467"/>
      <c r="J38" s="467"/>
      <c r="K38" s="1671">
        <f t="shared" si="2"/>
        <v>6835</v>
      </c>
      <c r="L38" s="466">
        <v>5000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28928</v>
      </c>
      <c r="F40" s="466"/>
      <c r="G40" s="466"/>
      <c r="H40" s="466"/>
      <c r="I40" s="467"/>
      <c r="J40" s="467"/>
      <c r="K40" s="1671">
        <f t="shared" si="2"/>
        <v>28928</v>
      </c>
      <c r="L40" s="466">
        <v>27500</v>
      </c>
    </row>
    <row r="41" spans="1:14" x14ac:dyDescent="0.2">
      <c r="A41" s="1504" t="s">
        <v>1669</v>
      </c>
      <c r="B41" s="614">
        <v>2190</v>
      </c>
      <c r="C41" s="466">
        <v>638</v>
      </c>
      <c r="D41" s="466"/>
      <c r="E41" s="466">
        <v>791</v>
      </c>
      <c r="F41" s="466"/>
      <c r="G41" s="466"/>
      <c r="H41" s="466"/>
      <c r="I41" s="467"/>
      <c r="J41" s="467"/>
      <c r="K41" s="1671">
        <f t="shared" si="2"/>
        <v>1429</v>
      </c>
      <c r="L41" s="466"/>
    </row>
    <row r="42" spans="1:14" ht="12.75" customHeight="1" thickBot="1" x14ac:dyDescent="0.25">
      <c r="A42" s="1668" t="s">
        <v>560</v>
      </c>
      <c r="B42" s="1669" t="s">
        <v>716</v>
      </c>
      <c r="C42" s="1670">
        <f>SUM(C36:C41)</f>
        <v>4853</v>
      </c>
      <c r="D42" s="1670">
        <f t="shared" ref="D42:L42" si="3">SUM(D36:D41)</f>
        <v>0</v>
      </c>
      <c r="E42" s="1670">
        <f t="shared" si="3"/>
        <v>32339</v>
      </c>
      <c r="F42" s="1670">
        <f t="shared" si="3"/>
        <v>0</v>
      </c>
      <c r="G42" s="1670">
        <f t="shared" si="3"/>
        <v>0</v>
      </c>
      <c r="H42" s="1670">
        <f t="shared" si="3"/>
        <v>0</v>
      </c>
      <c r="I42" s="1670">
        <f t="shared" si="3"/>
        <v>0</v>
      </c>
      <c r="J42" s="1670">
        <f t="shared" si="3"/>
        <v>0</v>
      </c>
      <c r="K42" s="1670">
        <f t="shared" si="3"/>
        <v>37192</v>
      </c>
      <c r="L42" s="1670">
        <f t="shared" si="3"/>
        <v>32500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f>250+6082</f>
        <v>6332</v>
      </c>
      <c r="F49" s="481">
        <v>874</v>
      </c>
      <c r="G49" s="481"/>
      <c r="H49" s="481">
        <v>2076</v>
      </c>
      <c r="I49" s="467"/>
      <c r="J49" s="467"/>
      <c r="K49" s="1672">
        <f>SUM(C49:J49)</f>
        <v>9282</v>
      </c>
      <c r="L49" s="481">
        <v>5500</v>
      </c>
    </row>
    <row r="50" spans="1:14" x14ac:dyDescent="0.2">
      <c r="A50" s="1504" t="s">
        <v>818</v>
      </c>
      <c r="B50" s="614">
        <v>2320</v>
      </c>
      <c r="C50" s="466">
        <v>54459</v>
      </c>
      <c r="D50" s="466">
        <v>7380</v>
      </c>
      <c r="E50" s="466">
        <f>30309-21200</f>
        <v>9109</v>
      </c>
      <c r="F50" s="466">
        <v>2220</v>
      </c>
      <c r="G50" s="466">
        <v>21200</v>
      </c>
      <c r="H50" s="466">
        <v>518</v>
      </c>
      <c r="I50" s="467"/>
      <c r="J50" s="467"/>
      <c r="K50" s="1672">
        <f>SUM(C50:J50)</f>
        <v>94886</v>
      </c>
      <c r="L50" s="466">
        <v>61941</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54459</v>
      </c>
      <c r="D53" s="1670">
        <f t="shared" ref="D53:L53" si="5">SUM(D49:D52)</f>
        <v>7380</v>
      </c>
      <c r="E53" s="1670">
        <f t="shared" si="5"/>
        <v>15441</v>
      </c>
      <c r="F53" s="1670">
        <f t="shared" si="5"/>
        <v>3094</v>
      </c>
      <c r="G53" s="1670">
        <f t="shared" si="5"/>
        <v>21200</v>
      </c>
      <c r="H53" s="1670">
        <f t="shared" si="5"/>
        <v>2594</v>
      </c>
      <c r="I53" s="1670">
        <f t="shared" si="5"/>
        <v>0</v>
      </c>
      <c r="J53" s="1670">
        <f t="shared" si="5"/>
        <v>0</v>
      </c>
      <c r="K53" s="1670">
        <f t="shared" si="5"/>
        <v>104168</v>
      </c>
      <c r="L53" s="1670">
        <f t="shared" si="5"/>
        <v>67441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400</v>
      </c>
      <c r="D55" s="481"/>
      <c r="E55" s="481"/>
      <c r="F55" s="481">
        <v>100</v>
      </c>
      <c r="G55" s="481"/>
      <c r="H55" s="481"/>
      <c r="I55" s="467"/>
      <c r="J55" s="467"/>
      <c r="K55" s="1672">
        <f>SUM(C55:J55)</f>
        <v>500</v>
      </c>
      <c r="L55" s="481">
        <v>9225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400</v>
      </c>
      <c r="D57" s="1674">
        <f t="shared" ref="D57:K57" si="6">SUM(D55:D56)</f>
        <v>0</v>
      </c>
      <c r="E57" s="1674">
        <f t="shared" si="6"/>
        <v>0</v>
      </c>
      <c r="F57" s="1674">
        <f t="shared" si="6"/>
        <v>100</v>
      </c>
      <c r="G57" s="1674">
        <f t="shared" si="6"/>
        <v>0</v>
      </c>
      <c r="H57" s="1674">
        <f t="shared" si="6"/>
        <v>0</v>
      </c>
      <c r="I57" s="1674">
        <f t="shared" si="6"/>
        <v>0</v>
      </c>
      <c r="J57" s="1674">
        <f t="shared" si="6"/>
        <v>0</v>
      </c>
      <c r="K57" s="1674">
        <f t="shared" si="6"/>
        <v>500</v>
      </c>
      <c r="L57" s="1670">
        <f>SUM(L55:L56)</f>
        <v>9225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31076</v>
      </c>
      <c r="D59" s="481"/>
      <c r="E59" s="481"/>
      <c r="F59" s="481"/>
      <c r="G59" s="481"/>
      <c r="H59" s="481"/>
      <c r="I59" s="467"/>
      <c r="J59" s="467"/>
      <c r="K59" s="1672">
        <f t="shared" ref="K59:K64" si="7">SUM(C59:J59)</f>
        <v>31076</v>
      </c>
      <c r="L59" s="481">
        <v>32275</v>
      </c>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24884</v>
      </c>
      <c r="D63" s="466"/>
      <c r="E63" s="466">
        <v>5620</v>
      </c>
      <c r="F63" s="466">
        <f>41591+2209</f>
        <v>43800</v>
      </c>
      <c r="G63" s="466"/>
      <c r="H63" s="466">
        <v>299</v>
      </c>
      <c r="I63" s="467"/>
      <c r="J63" s="467"/>
      <c r="K63" s="1672">
        <f t="shared" si="7"/>
        <v>74603</v>
      </c>
      <c r="L63" s="466">
        <v>66800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55960</v>
      </c>
      <c r="D65" s="1670">
        <f t="shared" ref="D65:L65" si="8">SUM(D59:D64)</f>
        <v>0</v>
      </c>
      <c r="E65" s="1670">
        <f t="shared" si="8"/>
        <v>5620</v>
      </c>
      <c r="F65" s="1670">
        <f t="shared" si="8"/>
        <v>43800</v>
      </c>
      <c r="G65" s="1670">
        <f t="shared" si="8"/>
        <v>0</v>
      </c>
      <c r="H65" s="1670">
        <f t="shared" si="8"/>
        <v>299</v>
      </c>
      <c r="I65" s="1670">
        <f t="shared" si="8"/>
        <v>0</v>
      </c>
      <c r="J65" s="1670">
        <f t="shared" si="8"/>
        <v>0</v>
      </c>
      <c r="K65" s="1670">
        <f t="shared" si="8"/>
        <v>105679</v>
      </c>
      <c r="L65" s="1670">
        <f t="shared" si="8"/>
        <v>99075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115672</v>
      </c>
      <c r="D74" s="1677">
        <f t="shared" ref="D74:K74" si="10">SUM(D42,D47,D53,D57,D65,D72,D73)</f>
        <v>7380</v>
      </c>
      <c r="E74" s="1677">
        <f t="shared" si="10"/>
        <v>53400</v>
      </c>
      <c r="F74" s="1677">
        <f t="shared" si="10"/>
        <v>46994</v>
      </c>
      <c r="G74" s="1677">
        <f t="shared" si="10"/>
        <v>21200</v>
      </c>
      <c r="H74" s="1677">
        <f t="shared" si="10"/>
        <v>2893</v>
      </c>
      <c r="I74" s="1677">
        <f t="shared" si="10"/>
        <v>0</v>
      </c>
      <c r="J74" s="1677">
        <f t="shared" si="10"/>
        <v>0</v>
      </c>
      <c r="K74" s="1677">
        <f t="shared" si="10"/>
        <v>247539</v>
      </c>
      <c r="L74" s="1677">
        <f>SUM(L42,L47,L53,L57,L65,L72,L73)</f>
        <v>208241</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24455</v>
      </c>
      <c r="F79" s="616"/>
      <c r="G79" s="616"/>
      <c r="H79" s="466"/>
      <c r="I79" s="477"/>
      <c r="J79" s="477"/>
      <c r="K79" s="1671">
        <f t="shared" si="11"/>
        <v>24455</v>
      </c>
      <c r="L79" s="466">
        <v>35500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24455</v>
      </c>
      <c r="F84" s="616"/>
      <c r="G84" s="616"/>
      <c r="H84" s="1670">
        <f>SUM(H78:H83)</f>
        <v>0</v>
      </c>
      <c r="I84" s="477"/>
      <c r="J84" s="477"/>
      <c r="K84" s="1670">
        <f>SUM(K78:K83)</f>
        <v>24455</v>
      </c>
      <c r="L84" s="1670">
        <f>SUM(L78:L83)</f>
        <v>35500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24455</v>
      </c>
      <c r="F102" s="616"/>
      <c r="G102" s="616"/>
      <c r="H102" s="1677">
        <f>SUM(H84,H92,H100,H101)</f>
        <v>0</v>
      </c>
      <c r="I102" s="477"/>
      <c r="J102" s="477"/>
      <c r="K102" s="1677">
        <f>SUM(K84,K92,K100,K101)</f>
        <v>24455</v>
      </c>
      <c r="L102" s="1677">
        <f>SUM(L84,L92,L100,L101)</f>
        <v>35500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604037</v>
      </c>
      <c r="D114" s="1670">
        <f t="shared" ref="D114:K114" si="13">SUM(D33,D74,D75,D102,D112,D113)</f>
        <v>62580</v>
      </c>
      <c r="E114" s="1670">
        <f t="shared" si="13"/>
        <v>105148</v>
      </c>
      <c r="F114" s="1670">
        <f t="shared" si="13"/>
        <v>82879</v>
      </c>
      <c r="G114" s="1670">
        <f t="shared" si="13"/>
        <v>21200</v>
      </c>
      <c r="H114" s="1670">
        <f>SUM(H33,H74,H75,H102,H112,H113)</f>
        <v>6112</v>
      </c>
      <c r="I114" s="1670">
        <f t="shared" si="13"/>
        <v>0</v>
      </c>
      <c r="J114" s="1670">
        <f t="shared" si="13"/>
        <v>0</v>
      </c>
      <c r="K114" s="1670">
        <f t="shared" si="13"/>
        <v>881956</v>
      </c>
      <c r="L114" s="1670">
        <f>SUM(L33,L74,L75,L102,L112,L113)</f>
        <v>841587</v>
      </c>
    </row>
    <row r="115" spans="1:14" ht="13.5" thickTop="1" x14ac:dyDescent="0.2">
      <c r="A115" s="2154" t="s">
        <v>996</v>
      </c>
      <c r="B115" s="2155"/>
      <c r="C115" s="618"/>
      <c r="D115" s="618"/>
      <c r="E115" s="618"/>
      <c r="F115" s="618"/>
      <c r="G115" s="618"/>
      <c r="H115" s="618"/>
      <c r="I115" s="618"/>
      <c r="J115" s="618"/>
      <c r="K115" s="1684">
        <f>'Revenues 9-14'!C268-'Expenditures 15-22'!K114</f>
        <v>38833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v>10000</v>
      </c>
    </row>
    <row r="124" spans="1:14" ht="14.25" thickTop="1" thickBot="1" x14ac:dyDescent="0.25">
      <c r="A124" s="1504" t="s">
        <v>197</v>
      </c>
      <c r="B124" s="614">
        <v>2540</v>
      </c>
      <c r="C124" s="466">
        <v>30611</v>
      </c>
      <c r="D124" s="466"/>
      <c r="E124" s="466">
        <f>3620+8178+2615</f>
        <v>14413</v>
      </c>
      <c r="F124" s="466">
        <f>10763+5217+233+26122</f>
        <v>42335</v>
      </c>
      <c r="G124" s="466"/>
      <c r="H124" s="466"/>
      <c r="I124" s="467"/>
      <c r="J124" s="467"/>
      <c r="K124" s="1670">
        <f>SUM(C124:J124)</f>
        <v>87359</v>
      </c>
      <c r="L124" s="466">
        <v>79363</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30611</v>
      </c>
      <c r="D127" s="1670">
        <f t="shared" ref="D127:L127" si="14">SUM(D122:D126)</f>
        <v>0</v>
      </c>
      <c r="E127" s="1670">
        <f t="shared" si="14"/>
        <v>14413</v>
      </c>
      <c r="F127" s="1670">
        <f t="shared" si="14"/>
        <v>42335</v>
      </c>
      <c r="G127" s="1670">
        <f t="shared" si="14"/>
        <v>0</v>
      </c>
      <c r="H127" s="1670">
        <f t="shared" si="14"/>
        <v>0</v>
      </c>
      <c r="I127" s="1670">
        <f t="shared" si="14"/>
        <v>0</v>
      </c>
      <c r="J127" s="1670">
        <f t="shared" si="14"/>
        <v>0</v>
      </c>
      <c r="K127" s="1670">
        <f t="shared" si="14"/>
        <v>87359</v>
      </c>
      <c r="L127" s="1670">
        <f t="shared" si="14"/>
        <v>89363</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30611</v>
      </c>
      <c r="D129" s="1677">
        <f t="shared" ref="D129:L129" si="15">SUM(D120,D127,D128)</f>
        <v>0</v>
      </c>
      <c r="E129" s="1677">
        <f t="shared" si="15"/>
        <v>14413</v>
      </c>
      <c r="F129" s="1677">
        <f t="shared" si="15"/>
        <v>42335</v>
      </c>
      <c r="G129" s="1677">
        <f t="shared" si="15"/>
        <v>0</v>
      </c>
      <c r="H129" s="1677">
        <f t="shared" si="15"/>
        <v>0</v>
      </c>
      <c r="I129" s="1677">
        <f t="shared" si="15"/>
        <v>0</v>
      </c>
      <c r="J129" s="1677">
        <f t="shared" si="15"/>
        <v>0</v>
      </c>
      <c r="K129" s="1677">
        <f t="shared" si="15"/>
        <v>87359</v>
      </c>
      <c r="L129" s="1677">
        <f t="shared" si="15"/>
        <v>89363</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70">
        <f>SUM(C129,C130,C139,C149,C150)</f>
        <v>30611</v>
      </c>
      <c r="D151" s="1670">
        <f t="shared" ref="D151:K151" si="16">SUM(D129,D130,D139,D149,D150)</f>
        <v>0</v>
      </c>
      <c r="E151" s="1670">
        <f t="shared" si="16"/>
        <v>14413</v>
      </c>
      <c r="F151" s="1670">
        <f t="shared" si="16"/>
        <v>42335</v>
      </c>
      <c r="G151" s="1670">
        <f t="shared" si="16"/>
        <v>0</v>
      </c>
      <c r="H151" s="1670">
        <f t="shared" si="16"/>
        <v>0</v>
      </c>
      <c r="I151" s="1670">
        <f t="shared" si="16"/>
        <v>0</v>
      </c>
      <c r="J151" s="1670">
        <f t="shared" si="16"/>
        <v>0</v>
      </c>
      <c r="K151" s="1670">
        <f t="shared" si="16"/>
        <v>87359</v>
      </c>
      <c r="L151" s="1670">
        <f>SUM(L129,L130,L139,L149,L150)</f>
        <v>89363</v>
      </c>
    </row>
    <row r="152" spans="1:14" ht="12.75" customHeight="1" thickTop="1" x14ac:dyDescent="0.2">
      <c r="A152" s="2174" t="s">
        <v>1178</v>
      </c>
      <c r="B152" s="2175"/>
      <c r="C152" s="618"/>
      <c r="D152" s="618"/>
      <c r="E152" s="618"/>
      <c r="F152" s="618"/>
      <c r="G152" s="618"/>
      <c r="H152" s="618"/>
      <c r="I152" s="618"/>
      <c r="J152" s="616"/>
      <c r="K152" s="1684">
        <f>'Revenues 9-14'!D268-'Expenditures 15-22'!K151</f>
        <v>2311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1025</v>
      </c>
      <c r="I169" s="616"/>
      <c r="J169" s="616"/>
      <c r="K169" s="1671">
        <f>SUM(C169:H169)</f>
        <v>1025</v>
      </c>
      <c r="L169" s="656"/>
    </row>
    <row r="170" spans="1:14" ht="33.75" customHeight="1" x14ac:dyDescent="0.2">
      <c r="A170" s="669" t="s">
        <v>1670</v>
      </c>
      <c r="B170" s="671" t="s">
        <v>31</v>
      </c>
      <c r="C170" s="616"/>
      <c r="D170" s="616"/>
      <c r="E170" s="616"/>
      <c r="F170" s="616"/>
      <c r="G170" s="616"/>
      <c r="H170" s="569">
        <v>19000</v>
      </c>
      <c r="I170" s="616"/>
      <c r="J170" s="616"/>
      <c r="K170" s="1671">
        <f>SUM(C170:J170)</f>
        <v>19000</v>
      </c>
      <c r="L170" s="569">
        <v>19505</v>
      </c>
    </row>
    <row r="171" spans="1:14" ht="15.75" customHeight="1" x14ac:dyDescent="0.2">
      <c r="A171" s="621" t="s">
        <v>766</v>
      </c>
      <c r="B171" s="672" t="s">
        <v>84</v>
      </c>
      <c r="C171" s="616"/>
      <c r="D171" s="616"/>
      <c r="E171" s="466"/>
      <c r="F171" s="616"/>
      <c r="G171" s="616"/>
      <c r="H171" s="569">
        <v>1000</v>
      </c>
      <c r="I171" s="477"/>
      <c r="J171" s="616"/>
      <c r="K171" s="1671">
        <f>SUM(C171:J171)</f>
        <v>1000</v>
      </c>
      <c r="L171" s="569"/>
    </row>
    <row r="172" spans="1:14" ht="12.75" customHeight="1" thickBot="1" x14ac:dyDescent="0.25">
      <c r="A172" s="1668" t="s">
        <v>638</v>
      </c>
      <c r="B172" s="1669" t="s">
        <v>492</v>
      </c>
      <c r="C172" s="616"/>
      <c r="D172" s="616"/>
      <c r="E172" s="1677">
        <f>SUM(E168,E169,E170,E171)</f>
        <v>0</v>
      </c>
      <c r="F172" s="616"/>
      <c r="G172" s="616"/>
      <c r="H172" s="1677">
        <f>SUM(H168,H169,H170,H171)</f>
        <v>21025</v>
      </c>
      <c r="I172" s="638"/>
      <c r="J172" s="616"/>
      <c r="K172" s="1677">
        <f>SUM(K168,K169,K170,K171)</f>
        <v>21025</v>
      </c>
      <c r="L172" s="1677">
        <f>SUM(L168,L169,L170,L171)</f>
        <v>19505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21025</v>
      </c>
      <c r="I174" s="638"/>
      <c r="J174" s="616"/>
      <c r="K174" s="1677">
        <f>SUM(K160,K172,K173)</f>
        <v>21025</v>
      </c>
      <c r="L174" s="1677">
        <f>SUM(L160,L172,L173)</f>
        <v>19505</v>
      </c>
    </row>
    <row r="175" spans="1:14" ht="13.5" thickTop="1" x14ac:dyDescent="0.2">
      <c r="A175" s="2154" t="s">
        <v>996</v>
      </c>
      <c r="B175" s="2155"/>
      <c r="C175" s="616"/>
      <c r="D175" s="616"/>
      <c r="E175" s="616"/>
      <c r="F175" s="616"/>
      <c r="G175" s="616"/>
      <c r="H175" s="618"/>
      <c r="I175" s="616"/>
      <c r="J175" s="616"/>
      <c r="K175" s="1684">
        <f>'Revenues 9-14'!E268-'Expenditures 15-22'!K174</f>
        <v>-940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36324</v>
      </c>
      <c r="D182" s="466">
        <v>774</v>
      </c>
      <c r="E182" s="466">
        <f>1552+14146+1924</f>
        <v>17622</v>
      </c>
      <c r="F182" s="466">
        <f>446+8100</f>
        <v>8546</v>
      </c>
      <c r="G182" s="466"/>
      <c r="H182" s="466">
        <v>597</v>
      </c>
      <c r="I182" s="467"/>
      <c r="J182" s="467"/>
      <c r="K182" s="1671">
        <f>SUM(C182:J182)</f>
        <v>63863</v>
      </c>
      <c r="L182" s="466">
        <v>52707</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36324</v>
      </c>
      <c r="D184" s="1677">
        <f t="shared" ref="D184:J184" si="17">SUM(D180,D182,D183)</f>
        <v>774</v>
      </c>
      <c r="E184" s="1677">
        <f t="shared" si="17"/>
        <v>17622</v>
      </c>
      <c r="F184" s="1677">
        <f t="shared" si="17"/>
        <v>8546</v>
      </c>
      <c r="G184" s="1677">
        <f t="shared" si="17"/>
        <v>0</v>
      </c>
      <c r="H184" s="1677">
        <f t="shared" si="17"/>
        <v>597</v>
      </c>
      <c r="I184" s="1677">
        <f t="shared" si="17"/>
        <v>0</v>
      </c>
      <c r="J184" s="1677">
        <f t="shared" si="17"/>
        <v>0</v>
      </c>
      <c r="K184" s="1677">
        <f>SUM(K180,K182,K183)</f>
        <v>63863</v>
      </c>
      <c r="L184" s="1677">
        <f>SUM(L180, L182:L183)</f>
        <v>52707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36324</v>
      </c>
      <c r="D210" s="1670">
        <f>SUM(D184,D185)</f>
        <v>774</v>
      </c>
      <c r="E210" s="1670">
        <f>SUM(E184,E185,E196)</f>
        <v>17622</v>
      </c>
      <c r="F210" s="1670">
        <f>SUM(F184,F185)</f>
        <v>8546</v>
      </c>
      <c r="G210" s="1670">
        <f>SUM(G184,G185)</f>
        <v>0</v>
      </c>
      <c r="H210" s="1670">
        <f>SUM(H184,H185,H196,H208,H209)</f>
        <v>597</v>
      </c>
      <c r="I210" s="1670">
        <f>SUM(I184,I185)</f>
        <v>0</v>
      </c>
      <c r="J210" s="1670">
        <f>SUM(J184,J185)</f>
        <v>0</v>
      </c>
      <c r="K210" s="1671">
        <f>SUM(K184,K185,K196,K208,K209)</f>
        <v>63863</v>
      </c>
      <c r="L210" s="1670">
        <f>SUM(L184,L185,L196,L208,L209)</f>
        <v>52707</v>
      </c>
    </row>
    <row r="211" spans="1:14" ht="13.5" thickTop="1" x14ac:dyDescent="0.2">
      <c r="A211" s="2154" t="s">
        <v>996</v>
      </c>
      <c r="B211" s="2155"/>
      <c r="C211" s="618"/>
      <c r="D211" s="618"/>
      <c r="E211" s="618"/>
      <c r="F211" s="618"/>
      <c r="G211" s="618"/>
      <c r="H211" s="618"/>
      <c r="I211" s="616"/>
      <c r="J211" s="616"/>
      <c r="K211" s="1684">
        <f>'Revenues 9-14'!F268-'Expenditures 15-22'!K210</f>
        <v>-3741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5646</v>
      </c>
      <c r="E215" s="616"/>
      <c r="F215" s="616"/>
      <c r="G215" s="616"/>
      <c r="H215" s="616"/>
      <c r="I215" s="616"/>
      <c r="J215" s="616"/>
      <c r="K215" s="1671">
        <f>D215</f>
        <v>5646</v>
      </c>
      <c r="L215" s="466">
        <v>11600</v>
      </c>
    </row>
    <row r="216" spans="1:14" x14ac:dyDescent="0.2">
      <c r="A216" s="1504" t="s">
        <v>163</v>
      </c>
      <c r="B216" s="614" t="s">
        <v>967</v>
      </c>
      <c r="C216" s="616"/>
      <c r="D216" s="467"/>
      <c r="E216" s="616"/>
      <c r="F216" s="616"/>
      <c r="G216" s="616"/>
      <c r="H216" s="616"/>
      <c r="I216" s="616"/>
      <c r="J216" s="616"/>
      <c r="K216" s="1671">
        <f t="shared" ref="K216:K228" si="19">D216</f>
        <v>0</v>
      </c>
      <c r="L216" s="466">
        <v>1737</v>
      </c>
    </row>
    <row r="217" spans="1:14" x14ac:dyDescent="0.2">
      <c r="A217" s="1504" t="s">
        <v>164</v>
      </c>
      <c r="B217" s="614">
        <v>1200</v>
      </c>
      <c r="C217" s="616"/>
      <c r="D217" s="466">
        <v>1441</v>
      </c>
      <c r="E217" s="616"/>
      <c r="F217" s="616"/>
      <c r="G217" s="616"/>
      <c r="H217" s="616"/>
      <c r="I217" s="616"/>
      <c r="J217" s="616"/>
      <c r="K217" s="1671">
        <f t="shared" si="19"/>
        <v>1441</v>
      </c>
      <c r="L217" s="466">
        <v>2830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234</v>
      </c>
      <c r="E223" s="616"/>
      <c r="F223" s="616"/>
      <c r="G223" s="616"/>
      <c r="H223" s="616"/>
      <c r="I223" s="616"/>
      <c r="J223" s="616"/>
      <c r="K223" s="1671">
        <f t="shared" si="19"/>
        <v>234</v>
      </c>
      <c r="L223" s="466">
        <v>600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7321</v>
      </c>
      <c r="E229" s="616"/>
      <c r="F229" s="616"/>
      <c r="G229" s="616"/>
      <c r="H229" s="616"/>
      <c r="I229" s="616"/>
      <c r="J229" s="616"/>
      <c r="K229" s="1670">
        <f>SUM(K215:K228)</f>
        <v>7321</v>
      </c>
      <c r="L229" s="1670">
        <f>SUM(L215:L228)</f>
        <v>16767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565</v>
      </c>
      <c r="E234" s="616"/>
      <c r="F234" s="616"/>
      <c r="G234" s="616"/>
      <c r="H234" s="616"/>
      <c r="I234" s="616"/>
      <c r="J234" s="616"/>
      <c r="K234" s="1671">
        <f t="shared" si="20"/>
        <v>565</v>
      </c>
      <c r="L234" s="466">
        <v>1000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565</v>
      </c>
      <c r="E238" s="616"/>
      <c r="F238" s="616"/>
      <c r="G238" s="616"/>
      <c r="H238" s="616"/>
      <c r="I238" s="616"/>
      <c r="J238" s="616"/>
      <c r="K238" s="1670">
        <f>SUM(K232:K237)</f>
        <v>565</v>
      </c>
      <c r="L238" s="1670">
        <f>SUM(L232:L237)</f>
        <v>1000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931</v>
      </c>
      <c r="E246" s="616"/>
      <c r="F246" s="616"/>
      <c r="G246" s="616"/>
      <c r="H246" s="616"/>
      <c r="I246" s="616"/>
      <c r="J246" s="616"/>
      <c r="K246" s="1672">
        <f t="shared" ref="K246:K256" si="21">D246</f>
        <v>931</v>
      </c>
      <c r="L246" s="466">
        <v>956</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931</v>
      </c>
      <c r="E257" s="616"/>
      <c r="F257" s="616"/>
      <c r="G257" s="616"/>
      <c r="H257" s="616"/>
      <c r="I257" s="616"/>
      <c r="J257" s="616"/>
      <c r="K257" s="1670">
        <f>SUM(K245:K256)</f>
        <v>931</v>
      </c>
      <c r="L257" s="1670">
        <f>SUM(L245:L256)</f>
        <v>956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4839</v>
      </c>
      <c r="E263" s="616"/>
      <c r="F263" s="616"/>
      <c r="G263" s="616"/>
      <c r="H263" s="616"/>
      <c r="I263" s="616"/>
      <c r="J263" s="616"/>
      <c r="K263" s="1672">
        <f>D263</f>
        <v>4839</v>
      </c>
      <c r="L263" s="481">
        <v>5674</v>
      </c>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5211</v>
      </c>
      <c r="E266" s="616"/>
      <c r="F266" s="616"/>
      <c r="G266" s="616"/>
      <c r="H266" s="616"/>
      <c r="I266" s="616"/>
      <c r="J266" s="616"/>
      <c r="K266" s="1672">
        <f t="shared" si="22"/>
        <v>5211</v>
      </c>
      <c r="L266" s="466">
        <v>3100</v>
      </c>
    </row>
    <row r="267" spans="1:14" x14ac:dyDescent="0.2">
      <c r="A267" s="1504" t="s">
        <v>953</v>
      </c>
      <c r="B267" s="614">
        <v>2550</v>
      </c>
      <c r="C267" s="616"/>
      <c r="D267" s="466">
        <v>2555</v>
      </c>
      <c r="E267" s="616"/>
      <c r="F267" s="616"/>
      <c r="G267" s="616"/>
      <c r="H267" s="616"/>
      <c r="I267" s="616"/>
      <c r="J267" s="616"/>
      <c r="K267" s="1672">
        <f t="shared" si="22"/>
        <v>2555</v>
      </c>
      <c r="L267" s="466">
        <v>3491</v>
      </c>
    </row>
    <row r="268" spans="1:14" x14ac:dyDescent="0.2">
      <c r="A268" s="1504" t="s">
        <v>100</v>
      </c>
      <c r="B268" s="614">
        <v>2560</v>
      </c>
      <c r="C268" s="616"/>
      <c r="D268" s="466">
        <v>3994</v>
      </c>
      <c r="E268" s="616"/>
      <c r="F268" s="616"/>
      <c r="G268" s="616"/>
      <c r="H268" s="616"/>
      <c r="I268" s="616"/>
      <c r="J268" s="616"/>
      <c r="K268" s="1672">
        <f t="shared" si="22"/>
        <v>3994</v>
      </c>
      <c r="L268" s="466">
        <v>1203</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16599</v>
      </c>
      <c r="E270" s="616"/>
      <c r="F270" s="616"/>
      <c r="G270" s="616"/>
      <c r="H270" s="616"/>
      <c r="I270" s="616"/>
      <c r="J270" s="616"/>
      <c r="K270" s="1670">
        <f>SUM(K263:K269)</f>
        <v>16599</v>
      </c>
      <c r="L270" s="1670">
        <f>SUM(L263:L269)</f>
        <v>13468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18095</v>
      </c>
      <c r="E279" s="616"/>
      <c r="F279" s="616"/>
      <c r="G279" s="616"/>
      <c r="H279" s="616"/>
      <c r="I279" s="616"/>
      <c r="J279" s="616"/>
      <c r="K279" s="1677">
        <f>SUM(K238,K243,K257,K261,K270,K277,K278)</f>
        <v>18095</v>
      </c>
      <c r="L279" s="1677">
        <f>SUM(L238,L243,L257,L261,L270,L277,L278)</f>
        <v>15424</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25416</v>
      </c>
      <c r="E295" s="616"/>
      <c r="F295" s="616"/>
      <c r="G295" s="616"/>
      <c r="H295" s="1670">
        <f>H293</f>
        <v>0</v>
      </c>
      <c r="I295" s="616"/>
      <c r="J295" s="616"/>
      <c r="K295" s="1670">
        <f>SUM(K229,K279,K280,K285,K293,K294)</f>
        <v>25416</v>
      </c>
      <c r="L295" s="1670">
        <f>SUM(L229,L279,L280,L285,L293,L294)</f>
        <v>32191</v>
      </c>
    </row>
    <row r="296" spans="1:14" ht="13.5" thickTop="1" x14ac:dyDescent="0.2">
      <c r="A296" s="2154" t="s">
        <v>996</v>
      </c>
      <c r="B296" s="2155"/>
      <c r="C296" s="616"/>
      <c r="D296" s="618"/>
      <c r="E296" s="616"/>
      <c r="F296" s="616"/>
      <c r="G296" s="616"/>
      <c r="H296" s="687"/>
      <c r="I296" s="616"/>
      <c r="J296" s="616"/>
      <c r="K296" s="1684">
        <f>'Revenues 9-14'!G268-'Expenditures 15-22'!K295</f>
        <v>3379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12156</v>
      </c>
      <c r="F320" s="467"/>
      <c r="G320" s="467"/>
      <c r="H320" s="467"/>
      <c r="I320" s="467"/>
      <c r="J320" s="467"/>
      <c r="K320" s="1671">
        <f t="shared" ref="K320:K327" si="24">SUM(C320:J320)</f>
        <v>12156</v>
      </c>
      <c r="L320" s="467">
        <v>11181</v>
      </c>
      <c r="M320" s="665"/>
      <c r="N320" s="665"/>
    </row>
    <row r="321" spans="1:14" s="674" customFormat="1" x14ac:dyDescent="0.2">
      <c r="A321" s="1519" t="s">
        <v>300</v>
      </c>
      <c r="B321" s="697" t="s">
        <v>283</v>
      </c>
      <c r="C321" s="467"/>
      <c r="D321" s="467"/>
      <c r="E321" s="467">
        <v>2128</v>
      </c>
      <c r="F321" s="467"/>
      <c r="G321" s="467"/>
      <c r="H321" s="467"/>
      <c r="I321" s="467"/>
      <c r="J321" s="467"/>
      <c r="K321" s="1671">
        <f t="shared" si="24"/>
        <v>2128</v>
      </c>
      <c r="L321" s="467">
        <v>2500</v>
      </c>
      <c r="M321" s="665"/>
      <c r="N321" s="665"/>
    </row>
    <row r="322" spans="1:14" s="674" customFormat="1" x14ac:dyDescent="0.2">
      <c r="A322" s="1519" t="s">
        <v>238</v>
      </c>
      <c r="B322" s="697" t="s">
        <v>284</v>
      </c>
      <c r="C322" s="467"/>
      <c r="D322" s="467"/>
      <c r="E322" s="467">
        <v>15291</v>
      </c>
      <c r="F322" s="467"/>
      <c r="G322" s="467"/>
      <c r="H322" s="467"/>
      <c r="I322" s="467"/>
      <c r="J322" s="467"/>
      <c r="K322" s="1671">
        <f t="shared" si="24"/>
        <v>15291</v>
      </c>
      <c r="L322" s="467">
        <f>15291+1924</f>
        <v>17215</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35523</v>
      </c>
      <c r="F325" s="467"/>
      <c r="G325" s="467"/>
      <c r="H325" s="467"/>
      <c r="I325" s="467"/>
      <c r="J325" s="467"/>
      <c r="K325" s="1671">
        <f t="shared" si="24"/>
        <v>35523</v>
      </c>
      <c r="L325" s="467">
        <v>37733</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2000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65098</v>
      </c>
      <c r="F330" s="1670">
        <f t="shared" si="25"/>
        <v>0</v>
      </c>
      <c r="G330" s="1670">
        <f t="shared" si="25"/>
        <v>0</v>
      </c>
      <c r="H330" s="1670">
        <f t="shared" si="25"/>
        <v>0</v>
      </c>
      <c r="I330" s="1670">
        <f t="shared" si="25"/>
        <v>0</v>
      </c>
      <c r="J330" s="1670">
        <f t="shared" si="25"/>
        <v>0</v>
      </c>
      <c r="K330" s="1670">
        <f>SUM(K319:K329)</f>
        <v>65098</v>
      </c>
      <c r="L330" s="1670">
        <f>SUM(L319:L329)</f>
        <v>70629</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65098</v>
      </c>
      <c r="F342" s="1670">
        <f>SUM(F330)</f>
        <v>0</v>
      </c>
      <c r="G342" s="1670">
        <f>SUM(G330)</f>
        <v>0</v>
      </c>
      <c r="H342" s="1670">
        <f>SUM(H330,H334,H340)</f>
        <v>0</v>
      </c>
      <c r="I342" s="1670">
        <f>SUM(I330)</f>
        <v>0</v>
      </c>
      <c r="J342" s="1670">
        <f>SUM(J330)</f>
        <v>0</v>
      </c>
      <c r="K342" s="1670">
        <f>SUM(K330,K334,K340)</f>
        <v>65098</v>
      </c>
      <c r="L342" s="1677">
        <f>SUM(L330,L340,L341)</f>
        <v>70629</v>
      </c>
    </row>
    <row r="343" spans="1:14" ht="12.75" customHeight="1" thickTop="1" x14ac:dyDescent="0.2">
      <c r="A343" s="2167" t="s">
        <v>996</v>
      </c>
      <c r="B343" s="2168"/>
      <c r="C343" s="616"/>
      <c r="D343" s="616"/>
      <c r="E343" s="616"/>
      <c r="F343" s="616"/>
      <c r="G343" s="616"/>
      <c r="H343" s="616"/>
      <c r="I343" s="616"/>
      <c r="J343" s="616"/>
      <c r="K343" s="1684">
        <f>'Revenues 9-14'!J268-'Expenditures 15-22'!K342</f>
        <v>7386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2561</v>
      </c>
      <c r="F349" s="466"/>
      <c r="G349" s="466"/>
      <c r="H349" s="466"/>
      <c r="I349" s="467"/>
      <c r="J349" s="467"/>
      <c r="K349" s="1671">
        <f>SUM(C349:J349)</f>
        <v>2561</v>
      </c>
      <c r="L349" s="466">
        <v>200</v>
      </c>
    </row>
    <row r="350" spans="1:14" ht="12.75" customHeight="1" thickBot="1" x14ac:dyDescent="0.25">
      <c r="A350" s="1668" t="s">
        <v>719</v>
      </c>
      <c r="B350" s="1669" t="s">
        <v>35</v>
      </c>
      <c r="C350" s="1670">
        <f>SUM(C348:C349)</f>
        <v>0</v>
      </c>
      <c r="D350" s="1670">
        <f t="shared" ref="D350:L350" si="26">SUM(D348:D349)</f>
        <v>0</v>
      </c>
      <c r="E350" s="1670">
        <f t="shared" si="26"/>
        <v>2561</v>
      </c>
      <c r="F350" s="1670">
        <f t="shared" si="26"/>
        <v>0</v>
      </c>
      <c r="G350" s="1670">
        <f t="shared" si="26"/>
        <v>0</v>
      </c>
      <c r="H350" s="1670">
        <f t="shared" si="26"/>
        <v>0</v>
      </c>
      <c r="I350" s="1670">
        <f t="shared" si="26"/>
        <v>0</v>
      </c>
      <c r="J350" s="1670">
        <f t="shared" si="26"/>
        <v>0</v>
      </c>
      <c r="K350" s="1670">
        <f t="shared" si="26"/>
        <v>2561</v>
      </c>
      <c r="L350" s="1670">
        <f t="shared" si="26"/>
        <v>200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2561</v>
      </c>
      <c r="F352" s="1670">
        <f t="shared" si="27"/>
        <v>0</v>
      </c>
      <c r="G352" s="1670">
        <f t="shared" si="27"/>
        <v>0</v>
      </c>
      <c r="H352" s="1670">
        <f t="shared" si="27"/>
        <v>0</v>
      </c>
      <c r="I352" s="1670">
        <f t="shared" si="27"/>
        <v>0</v>
      </c>
      <c r="J352" s="1670">
        <f t="shared" si="27"/>
        <v>0</v>
      </c>
      <c r="K352" s="1670">
        <f t="shared" si="27"/>
        <v>2561</v>
      </c>
      <c r="L352" s="1670">
        <f t="shared" si="27"/>
        <v>200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2561</v>
      </c>
      <c r="F367" s="1670">
        <f t="shared" si="28"/>
        <v>0</v>
      </c>
      <c r="G367" s="1670">
        <f t="shared" si="28"/>
        <v>0</v>
      </c>
      <c r="H367" s="1670">
        <f t="shared" si="28"/>
        <v>0</v>
      </c>
      <c r="I367" s="1670">
        <f t="shared" si="28"/>
        <v>0</v>
      </c>
      <c r="J367" s="1670">
        <f t="shared" si="28"/>
        <v>0</v>
      </c>
      <c r="K367" s="1670">
        <f t="shared" si="28"/>
        <v>2561</v>
      </c>
      <c r="L367" s="1670">
        <f t="shared" si="28"/>
        <v>200</v>
      </c>
    </row>
    <row r="368" spans="1:14" ht="13.5" thickTop="1" x14ac:dyDescent="0.2">
      <c r="A368" s="2154" t="s">
        <v>996</v>
      </c>
      <c r="B368" s="2155"/>
      <c r="C368" s="654"/>
      <c r="D368" s="654"/>
      <c r="E368" s="626"/>
      <c r="F368" s="626"/>
      <c r="G368" s="626"/>
      <c r="H368" s="626"/>
      <c r="I368" s="626"/>
      <c r="J368" s="623"/>
      <c r="K368" s="1671">
        <f>'Revenues 9-14'!K268-'Expenditures 15-22'!K367</f>
        <v>1074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&amp;L&amp;8&amp;F&amp;C&amp;8The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http://purl.org/dc/elements/1.1/"/>
    <ds:schemaRef ds:uri="http://schemas.microsoft.com/office/2006/metadata/properties"/>
    <ds:schemaRef ds:uri="http://purl.org/dc/terms/"/>
    <ds:schemaRef ds:uri="http://purl.org/dc/dcmitype/"/>
    <ds:schemaRef ds:uri="d21dc803-237d-4c68-8692-8d731fd29118"/>
    <ds:schemaRef ds:uri="6ce3111e-7420-4802-b50a-75d4e9a0b980"/>
    <ds:schemaRef ds:uri="http://www.w3.org/XML/1998/namespace"/>
    <ds:schemaRef ds:uri="http://schemas.microsoft.com/office/infopath/2007/PartnerControls"/>
    <ds:schemaRef ds:uri="http://schemas.openxmlformats.org/package/2006/metadata/core-properties"/>
    <ds:schemaRef ds:uri="4d435f69-8686-490b-bd6d-b153bf22ab5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2019-11-18T23:05:12Z</cp:lastPrinted>
  <dcterms:created xsi:type="dcterms:W3CDTF">2003-10-29T19:06:34Z</dcterms:created>
  <dcterms:modified xsi:type="dcterms:W3CDTF">2019-12-27T19:14:40Z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