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AF32173-F706-445C-8EB7-0B6B58BCC8DD}"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1" sheetId="175" r:id="rId31"/>
    <sheet name="SF&amp;QC Sec-2.2" sheetId="183" r:id="rId32"/>
    <sheet name="SF&amp;QC Sec-2.3" sheetId="184" r:id="rId33"/>
    <sheet name="SF&amp;QC Sec-2.4" sheetId="185"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B4" i="184" l="1"/>
  <c r="B4" i="183"/>
  <c r="J34" i="127"/>
  <c r="M19" i="3" l="1"/>
  <c r="I13"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55" i="127"/>
  <c r="B56"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L22" i="37"/>
  <c r="D24" i="37"/>
  <c r="B4270" i="106" s="1"/>
  <c r="D4270" i="106" s="1"/>
  <c r="D17" i="7"/>
  <c r="B4104" i="106" s="1"/>
  <c r="D4104" i="106" s="1"/>
  <c r="F68" i="34" l="1"/>
  <c r="D9" i="7"/>
  <c r="B1767" i="106" s="1"/>
  <c r="D1767" i="106" s="1"/>
  <c r="F19" i="7"/>
  <c r="B1807" i="106" s="1"/>
  <c r="D1807" i="106" s="1"/>
  <c r="F70" i="34"/>
  <c r="F62" i="34"/>
  <c r="G38" i="108"/>
  <c r="F26" i="108"/>
  <c r="B6995" i="106"/>
  <c r="D6995" i="106" s="1"/>
  <c r="J22" i="37"/>
  <c r="F34" i="34"/>
  <c r="E38" i="108"/>
  <c r="G30" i="108"/>
  <c r="F28" i="108"/>
  <c r="F41" i="108" s="1"/>
  <c r="G43" i="108" s="1"/>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4" i="36" l="1"/>
  <c r="H151" i="29"/>
  <c r="B1273" i="106" s="1"/>
  <c r="D1273" i="106" s="1"/>
  <c r="C114" i="29"/>
  <c r="B757" i="106" s="1"/>
  <c r="D757" i="106" s="1"/>
  <c r="B5770" i="106"/>
  <c r="D5770" i="106" s="1"/>
  <c r="F174" i="34"/>
  <c r="B5527" i="106"/>
  <c r="D5527"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B6230" i="106" s="1"/>
  <c r="D6230" i="106" s="1"/>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<sst xmlns="http://schemas.openxmlformats.org/spreadsheetml/2006/main" count="5200" uniqueCount="2149">
  <si>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</si>
  <si>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</si>
  <si>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</si>
  <si>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</si>
  <si>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</si>
  <si>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</si>
  <si>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</si>
  <si>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</si>
  <si>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</si>
  <si>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</si>
  <si>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</si>
  <si>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</si>
  <si>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</si>
  <si>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</si>
  <si>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</si>
  <si>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</si>
  <si>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</si>
  <si>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</si>
  <si>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</si>
  <si>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</si>
  <si>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</si>
  <si>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</si>
  <si>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</si>
  <si>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</si>
  <si>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</si>
  <si>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</si>
  <si>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</si>
  <si>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</si>
  <si>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</si>
  <si>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</si>
  <si>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</si>
  <si>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</si>
  <si>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</si>
  <si>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</si>
  <si>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</si>
  <si>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</si>
  <si>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</si>
  <si>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</si>
  <si>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</si>
  <si>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</si>
  <si>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</si>
  <si>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</si>
  <si>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</si>
  <si>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</si>
  <si>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</si>
  <si>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</si>
  <si>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</si>
  <si>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</si>
  <si>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</si>
  <si>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</si>
  <si>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</si>
  <si>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</si>
  <si>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</si>
  <si>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</si>
  <si>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</si>
  <si>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</si>
  <si>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</si>
  <si>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</si>
  <si>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</si>
  <si>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</si>
  <si>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</si>
  <si>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</si>
  <si>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</si>
  <si>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</si>
  <si>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</si>
  <si>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</si>
  <si>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</si>
  <si>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</si>
  <si>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</si>
  <si>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</si>
  <si>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</si>
  <si>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</si>
  <si>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</si>
  <si>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</si>
  <si>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</si>
  <si>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</si>
  <si>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</si>
  <si>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</si>
  <si>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</si>
  <si>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</si>
  <si>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</si>
  <si>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</si>
  <si>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</si>
  <si>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</si>
  <si>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</si>
  <si>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</si>
  <si>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</si>
  <si>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</si>
  <si>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</si>
  <si>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</si>
  <si>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</si>
  <si>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</si>
  <si>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</si>
  <si>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</si>
  <si>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</si>
  <si>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</si>
  <si>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</si>
  <si>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</si>
  <si>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</si>
  <si>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</si>
  <si>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</si>
  <si>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</si>
  <si>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</si>
  <si>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</si>
  <si>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</si>
  <si>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</si>
  <si>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</si>
  <si>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</si>
  <si>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</si>
  <si>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</si>
  <si>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</si>
  <si>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</si>
  <si>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</si>
  <si>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</si>
  <si>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</si>
  <si>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</si>
  <si>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</si>
  <si>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</si>
  <si>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</si>
  <si>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</si>
  <si>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</si>
  <si>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</si>
  <si>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</si>
  <si>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</si>
  <si>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</si>
  <si>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</si>
  <si>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</si>
  <si>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</si>
  <si>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</si>
  <si>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</si>
  <si>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</si>
  <si>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</si>
  <si>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</si>
  <si>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</si>
  <si>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</si>
  <si>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</si>
  <si>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</si>
  <si>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</si>
  <si>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</si>
  <si>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</si>
  <si>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</si>
  <si>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</si>
  <si>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</si>
  <si>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</si>
  <si>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</si>
  <si>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</si>
  <si>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</si>
  <si>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</si>
  <si>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</si>
  <si>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</si>
  <si>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</si>
  <si>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</si>
  <si>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</si>
  <si>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</si>
  <si>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</si>
  <si>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</si>
  <si>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</si>
  <si>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</si>
  <si>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</si>
  <si>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</si>
  <si>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</si>
  <si>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</si>
  <si>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</si>
  <si>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</si>
  <si>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</si>
  <si>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</si>
  <si>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</si>
  <si>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</si>
  <si>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</si>
  <si>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</si>
  <si>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</si>
  <si>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</si>
  <si>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</si>
  <si>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</si>
  <si>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</si>
  <si>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</si>
  <si>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</si>
  <si>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</si>
  <si>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</si>
  <si>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</si>
  <si>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</si>
  <si>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</si>
  <si>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</si>
  <si>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</si>
  <si>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</si>
  <si>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</si>
  <si>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</si>
  <si>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</si>
  <si>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</si>
  <si>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</si>
  <si>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</si>
  <si>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</si>
  <si>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</si>
  <si>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</si>
  <si>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</si>
  <si>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</si>
  <si>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</si>
  <si>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</si>
  <si>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</si>
  <si>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</si>
  <si>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</si>
  <si>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</si>
  <si>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</si>
  <si>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</si>
  <si>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</si>
  <si>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</si>
  <si>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</si>
  <si>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</si>
  <si>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</si>
  <si>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</si>
  <si>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</si>
  <si>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</si>
  <si>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</si>
  <si>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</si>
  <si>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</si>
  <si>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</si>
  <si>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</si>
  <si>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</si>
  <si>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</si>
  <si>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</si>
  <si>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</si>
  <si>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</si>
  <si>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</si>
  <si>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</si>
  <si>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</si>
  <si>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</si>
  <si>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</si>
  <si>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</si>
  <si>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</si>
  <si>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</si>
  <si>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</si>
  <si>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</si>
  <si>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</si>
  <si>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</si>
  <si>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</si>
  <si>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</si>
  <si>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</si>
  <si>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</si>
  <si>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</si>
  <si>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</si>
  <si>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</si>
  <si>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</si>
  <si>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</si>
  <si>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</si>
  <si>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</si>
  <si>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</si>
  <si>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</si>
  <si>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</si>
  <si>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</si>
  <si>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</si>
  <si>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</si>
  <si>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</si>
  <si>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</si>
  <si>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</si>
  <si>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</si>
  <si>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</si>
  <si>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</si>
  <si>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</si>
  <si>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</si>
  <si>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</si>
  <si>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</si>
  <si>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</si>
  <si>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</si>
  <si>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</si>
  <si>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</si>
  <si>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</si>
  <si>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</si>
  <si>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</si>
  <si>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</si>
  <si>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</si>
  <si>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</si>
  <si>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</si>
  <si>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</si>
  <si>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</si>
  <si>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</si>
  <si>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</si>
  <si>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</si>
  <si>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</si>
  <si>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</si>
  <si>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</si>
  <si>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</si>
  <si>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</si>
  <si>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</si>
  <si>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</si>
  <si>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</si>
  <si>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</si>
  <si>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</si>
  <si>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</si>
  <si>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</si>
  <si>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</si>
  <si>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</si>
  <si>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</si>
  <si>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</si>
  <si>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</si>
  <si>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</si>
  <si>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</si>
  <si>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</si>
  <si>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</si>
  <si>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</si>
  <si>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</si>
  <si>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</si>
  <si>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</si>
  <si>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</si>
  <si>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</si>
  <si>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</si>
  <si>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</si>
  <si>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</si>
  <si>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</si>
  <si>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</si>
  <si>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</si>
  <si>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</si>
  <si>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</si>
  <si>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</si>
  <si>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</si>
  <si>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</si>
  <si>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</si>
  <si>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</si>
  <si>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</si>
  <si>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</si>
  <si>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</si>
  <si>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</si>
  <si>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</si>
  <si>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</si>
  <si>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</si>
  <si>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</si>
  <si>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</si>
  <si>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</si>
  <si>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</si>
  <si>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</si>
  <si>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</si>
  <si>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</si>
  <si>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</si>
  <si>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</si>
  <si>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</si>
  <si>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</si>
  <si>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</si>
  <si>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</si>
  <si>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</si>
  <si>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</si>
  <si>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</si>
  <si>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</si>
  <si>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</si>
  <si>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</si>
  <si>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</si>
  <si>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</si>
  <si>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</si>
  <si>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</si>
  <si>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</si>
  <si>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</si>
  <si>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</si>
  <si>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</si>
  <si>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</si>
  <si>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</si>
  <si>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</si>
  <si>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</si>
  <si>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</si>
  <si>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</si>
  <si>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</si>
  <si>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</si>
  <si>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</si>
  <si>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</si>
  <si>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</si>
  <si>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</si>
  <si>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</si>
  <si>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</si>
  <si>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</si>
  <si>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</si>
  <si>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</si>
  <si>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</si>
  <si>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</si>
  <si>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</si>
  <si>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</si>
  <si>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</si>
  <si>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</si>
  <si>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</si>
  <si>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</si>
  <si>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</si>
  <si>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</si>
  <si>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</si>
  <si>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</si>
  <si>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</si>
  <si>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</si>
  <si>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</si>
  <si>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</si>
  <si>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</si>
  <si>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</si>
  <si>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</si>
  <si>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</si>
  <si>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</si>
  <si>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</si>
  <si>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</si>
  <si>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</si>
  <si>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</si>
  <si>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</si>
  <si>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</si>
  <si>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</si>
  <si>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</si>
  <si>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</si>
  <si>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</si>
  <si>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</si>
  <si>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</si>
  <si>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</si>
  <si>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</si>
  <si>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</si>
  <si>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</si>
  <si>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</si>
  <si>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</si>
  <si>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</si>
  <si>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</si>
  <si>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</si>
  <si>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</si>
  <si>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</si>
  <si>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</si>
  <si>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</si>
  <si>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</si>
  <si>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</si>
  <si>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</si>
  <si>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</si>
  <si>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</si>
  <si>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</si>
  <si>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</si>
  <si>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</si>
  <si>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</si>
  <si>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</si>
  <si>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</si>
  <si>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</si>
  <si>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</si>
  <si>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</si>
  <si>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</si>
  <si>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</si>
  <si>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</si>
  <si>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</si>
  <si>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</si>
  <si>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</si>
  <si>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</si>
  <si>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</si>
  <si>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</si>
  <si>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</si>
  <si>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</si>
  <si>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</si>
  <si>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</si>
  <si>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</si>
  <si>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</si>
  <si>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</si>
  <si>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</si>
  <si>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</si>
  <si>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</si>
  <si>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</si>
  <si>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</si>
  <si>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</si>
  <si>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</si>
  <si>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</si>
  <si>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</si>
  <si>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</si>
  <si>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</si>
  <si>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</si>
  <si>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</si>
  <si>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</si>
  <si>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</si>
  <si>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</si>
  <si>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</si>
  <si>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</si>
  <si>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</si>
  <si>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</si>
  <si>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</si>
  <si>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</si>
  <si>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</si>
  <si>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</si>
  <si>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</si>
  <si>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</si>
  <si>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</si>
  <si>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</si>
  <si>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</si>
  <si>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</si>
  <si>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</si>
  <si>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</si>
  <si>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</si>
  <si>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</si>
  <si>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</si>
  <si>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</si>
  <si>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</si>
  <si>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</si>
  <si>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</si>
  <si>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</si>
  <si>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</si>
  <si>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</si>
  <si>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</si>
  <si>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</si>
  <si>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</si>
  <si>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</si>
  <si>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</si>
  <si>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</si>
  <si>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</si>
  <si>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</si>
  <si>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</si>
  <si>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</si>
  <si>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</si>
  <si>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</si>
  <si>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</si>
  <si>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</si>
  <si>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</si>
  <si>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</si>
  <si>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</si>
  <si>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</si>
  <si>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</si>
  <si>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</si>
  <si>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</si>
  <si>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</si>
  <si>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</si>
  <si>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</si>
  <si>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</si>
  <si>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</si>
  <si>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</si>
  <si>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</si>
  <si>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</si>
  <si>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</si>
  <si>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</si>
  <si>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</si>
  <si>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</si>
  <si>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</si>
  <si>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</si>
  <si>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</si>
  <si>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</si>
  <si>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</si>
  <si>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</si>
  <si>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</si>
  <si>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</si>
  <si>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</si>
  <si>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</si>
  <si>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</si>
  <si>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</si>
  <si>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</si>
  <si>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</si>
  <si>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</si>
  <si>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</si>
  <si>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</si>
  <si>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</si>
  <si>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</si>
  <si>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</si>
  <si>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</si>
  <si>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</si>
  <si>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</si>
  <si>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</si>
  <si>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</si>
  <si>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</si>
  <si>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</si>
  <si>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</si>
  <si>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</si>
  <si>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</si>
  <si>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</si>
  <si>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</si>
  <si>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</si>
  <si>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</si>
  <si>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</si>
  <si>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</si>
  <si>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</si>
  <si>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</si>
  <si>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</si>
  <si>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</si>
  <si>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</si>
  <si>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</si>
  <si>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</si>
  <si>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</si>
  <si>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</si>
  <si>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</si>
  <si>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</si>
  <si>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</si>
  <si>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</si>
  <si>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</si>
  <si>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</si>
  <si>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</si>
  <si>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</si>
  <si>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</si>
  <si>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</si>
  <si>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</si>
  <si>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</si>
  <si>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</si>
  <si>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</si>
  <si>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</si>
  <si>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</si>
  <si>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</si>
  <si>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</si>
  <si>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</si>
  <si>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</si>
  <si>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</si>
  <si>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</si>
  <si>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</si>
  <si>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</si>
  <si>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</si>
  <si>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</si>
  <si>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</si>
  <si>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</si>
  <si>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</si>
  <si>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</si>
  <si>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</si>
  <si>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</si>
  <si>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</si>
  <si>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</si>
  <si>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</si>
  <si>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</si>
  <si>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</si>
  <si>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</si>
  <si>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</si>
  <si>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</si>
  <si>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</si>
  <si>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</si>
  <si>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</si>
  <si>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</si>
  <si>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</si>
  <si>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</si>
  <si>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</si>
  <si>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</si>
  <si>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</si>
  <si>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</si>
  <si>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</si>
  <si>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</si>
  <si>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</si>
  <si>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</si>
  <si>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</si>
  <si>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</si>
  <si>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</si>
  <si>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</si>
  <si>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</si>
  <si>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</si>
  <si>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</si>
  <si>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</si>
  <si>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</si>
  <si>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</si>
  <si>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</si>
  <si>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</si>
  <si>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</si>
  <si>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</si>
  <si>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</si>
  <si>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</si>
  <si>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</si>
  <si>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</si>
  <si>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</si>
  <si>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</si>
  <si>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</si>
  <si>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</si>
  <si>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</si>
  <si>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</si>
  <si>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</si>
  <si>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</si>
  <si>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</si>
  <si>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</si>
  <si>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</si>
  <si>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</si>
  <si>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</si>
  <si>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</si>
  <si>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</si>
  <si>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</si>
  <si>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</si>
  <si>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</si>
  <si>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</si>
  <si>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</si>
  <si>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</si>
  <si>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</si>
  <si>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</si>
  <si>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</si>
  <si>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</si>
  <si>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</si>
  <si>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</si>
  <si>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</si>
  <si>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</si>
  <si>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</si>
  <si>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</si>
  <si>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</si>
  <si>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</si>
  <si>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</si>
  <si>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</si>
  <si>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</si>
  <si>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</si>
  <si>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</si>
  <si>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</si>
  <si>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</si>
  <si>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</si>
  <si>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</si>
  <si>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</si>
  <si>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</si>
  <si>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</si>
  <si>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</si>
  <si>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</si>
  <si>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</si>
  <si>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</si>
  <si>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</si>
  <si>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</si>
  <si>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</si>
  <si>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</si>
  <si>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</si>
  <si>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</si>
  <si>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</si>
  <si>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</si>
  <si>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</si>
  <si>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</si>
  <si>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</si>
  <si>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</si>
  <si>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</si>
  <si>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</si>
  <si>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</si>
  <si>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</si>
  <si>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</si>
  <si>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</si>
  <si>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</si>
  <si>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</si>
  <si>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</si>
  <si>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</si>
  <si>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</si>
  <si>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</si>
  <si>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</si>
  <si>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</si>
  <si>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</si>
  <si>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</si>
  <si>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</si>
  <si>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</si>
  <si>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</si>
  <si>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</si>
  <si>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</si>
  <si>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</si>
  <si>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</si>
  <si>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</si>
  <si>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</si>
  <si>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</si>
  <si>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</si>
  <si>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</si>
  <si>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</si>
  <si>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</si>
  <si>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</si>
  <si>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</si>
  <si>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</si>
  <si>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</si>
  <si>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</si>
  <si>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</si>
  <si>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</si>
  <si>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</si>
  <si>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</si>
  <si>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</si>
  <si>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</si>
  <si>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</si>
  <si>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</si>
  <si>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</si>
  <si>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</si>
  <si>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</si>
  <si>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</si>
  <si>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</si>
  <si>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</si>
  <si>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</si>
  <si>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</si>
  <si>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</si>
  <si>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</si>
  <si>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</si>
  <si>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</si>
  <si>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</si>
  <si>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</si>
  <si>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</si>
  <si>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</si>
  <si>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</si>
  <si>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</si>
  <si>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</si>
  <si>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</si>
  <si>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</si>
  <si>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</si>
  <si>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</si>
  <si>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</si>
  <si>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</si>
  <si>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</si>
  <si>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</si>
  <si>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</si>
  <si>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</si>
  <si>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</si>
  <si>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</si>
  <si>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</si>
  <si>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</si>
  <si>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</si>
  <si>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</si>
  <si>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</si>
  <si>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</si>
  <si>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</si>
  <si>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</si>
  <si>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</si>
  <si>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</si>
  <si>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</si>
  <si>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</si>
  <si>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</si>
  <si>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</si>
  <si>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</si>
  <si>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</si>
  <si>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</si>
  <si>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</si>
  <si>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</si>
  <si>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</si>
  <si>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</si>
  <si>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</si>
  <si>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</si>
  <si>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</si>
  <si>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</si>
  <si>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</si>
  <si>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</si>
  <si>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</si>
  <si>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</si>
  <si>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</si>
  <si>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</si>
  <si>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</si>
  <si>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</si>
  <si>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</si>
  <si>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</si>
  <si>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</si>
  <si>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</si>
  <si>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</si>
  <si>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</si>
  <si>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</si>
  <si>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</si>
  <si>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</si>
  <si>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</si>
  <si>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</si>
  <si>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</si>
  <si>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</si>
  <si>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</si>
  <si>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</si>
  <si>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</si>
  <si>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</si>
  <si>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</si>
  <si>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</si>
  <si>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</si>
  <si>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</si>
  <si>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</si>
  <si>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</si>
  <si>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</si>
  <si>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</si>
  <si>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</si>
  <si>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</si>
  <si>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</si>
  <si>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</si>
  <si>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</si>
  <si>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</si>
  <si>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</si>
  <si>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</si>
  <si>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</si>
  <si>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</si>
  <si>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</si>
  <si>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</si>
  <si>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</si>
  <si>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</si>
  <si>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</si>
  <si>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</si>
  <si>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</si>
  <si>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</si>
  <si>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</si>
  <si>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</si>
  <si>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</si>
  <si>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</si>
  <si>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</si>
  <si>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</si>
  <si>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</si>
  <si>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</si>
  <si>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</si>
  <si>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</si>
  <si>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</si>
  <si>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</si>
  <si>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</si>
  <si>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</si>
  <si>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</si>
  <si>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</si>
  <si>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</si>
  <si>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</si>
  <si>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</si>
  <si>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</si>
  <si>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</si>
  <si>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</si>
  <si>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</si>
  <si>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</si>
  <si>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</si>
  <si>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</si>
  <si>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</si>
  <si>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</si>
  <si>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</si>
  <si>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</si>
  <si>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</si>
  <si>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</si>
  <si>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</si>
  <si>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</si>
  <si>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</si>
  <si>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</si>
  <si>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</si>
  <si>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</si>
  <si>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</si>
  <si>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</si>
  <si>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</si>
  <si>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</si>
  <si>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</si>
  <si>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</si>
  <si>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</si>
  <si>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</si>
  <si>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</si>
  <si>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</si>
  <si>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</si>
  <si>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</si>
  <si>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</si>
  <si>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</si>
  <si>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</si>
  <si>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</si>
  <si>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</si>
  <si>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</si>
  <si>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</si>
  <si>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</si>
  <si>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</si>
  <si>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</si>
  <si>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</si>
  <si>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</si>
  <si>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</si>
  <si>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</si>
  <si>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</si>
  <si>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</si>
  <si>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</si>
  <si>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</si>
  <si>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</si>
  <si>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</si>
  <si>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</si>
  <si>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</si>
  <si>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</si>
  <si>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</si>
  <si>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</si>
  <si>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</si>
  <si>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</si>
  <si>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</si>
  <si>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</si>
  <si>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</si>
  <si>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</si>
  <si>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</si>
  <si>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</si>
  <si>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</si>
  <si>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</si>
  <si>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</si>
  <si>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</si>
  <si>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</si>
  <si>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</si>
  <si>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</si>
  <si>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</si>
  <si>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</si>
  <si>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</si>
  <si>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</si>
  <si>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</si>
  <si>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</si>
  <si>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</si>
  <si>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</si>
  <si>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</si>
  <si>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</si>
  <si>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</si>
  <si>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</si>
  <si>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</si>
  <si>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</si>
  <si>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</si>
  <si>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</si>
  <si>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</si>
  <si>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</si>
  <si>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</si>
  <si>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</si>
  <si>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</si>
  <si>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</si>
  <si>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</si>
  <si>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</si>
  <si>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</si>
  <si>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</si>
  <si>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</si>
  <si>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</si>
  <si>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</si>
  <si>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</si>
  <si>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</si>
  <si>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</si>
  <si>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</si>
  <si>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</si>
  <si>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</si>
  <si>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</si>
  <si>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</si>
  <si>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</si>
  <si>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</si>
  <si>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</si>
  <si>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</si>
  <si>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</si>
  <si>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</si>
  <si>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</si>
  <si>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</si>
  <si>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</si>
  <si>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</si>
  <si>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</si>
  <si>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</si>
  <si>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</si>
  <si>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</si>
  <si>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</si>
  <si>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</si>
  <si>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</si>
  <si>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</si>
  <si>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</si>
  <si>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</si>
  <si>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</si>
  <si>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</si>
  <si>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</si>
  <si>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</si>
  <si>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</si>
  <si>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</si>
  <si>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</si>
  <si>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</si>
  <si>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</si>
  <si>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</si>
  <si>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</si>
  <si>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</si>
  <si>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</si>
  <si>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</si>
  <si>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</si>
  <si>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</si>
  <si>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</si>
  <si>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</si>
  <si>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</si>
  <si>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</si>
  <si>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</si>
  <si>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</si>
  <si>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</si>
  <si>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</si>
  <si>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</si>
  <si>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</si>
  <si>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</si>
  <si>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</si>
  <si>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</si>
  <si>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</si>
  <si>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</si>
  <si>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</si>
  <si>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</si>
  <si>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</si>
  <si>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</si>
  <si>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</si>
  <si>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</si>
  <si>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</si>
  <si>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</si>
  <si>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</si>
  <si>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</si>
  <si>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</si>
  <si>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</si>
  <si>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</si>
  <si>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</si>
  <si>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</si>
  <si>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</si>
  <si>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</si>
  <si>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</si>
  <si>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</si>
  <si>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</si>
  <si>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</si>
  <si>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</si>
  <si>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</si>
  <si>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</si>
  <si>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</si>
  <si>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</si>
  <si>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</si>
  <si>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</si>
  <si>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</si>
  <si>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</si>
  <si>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</si>
  <si>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</si>
  <si>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</si>
  <si>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</si>
  <si>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</si>
  <si>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</si>
  <si>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</si>
  <si>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</si>
  <si>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</si>
  <si>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</si>
  <si>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</si>
  <si>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</si>
  <si>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</si>
  <si>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</si>
  <si>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</si>
  <si>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</si>
  <si>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</si>
  <si>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</si>
  <si>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</si>
  <si>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</si>
  <si>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</si>
  <si>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</si>
  <si>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</si>
  <si>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</si>
  <si>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</si>
  <si>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</si>
  <si>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</si>
  <si>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</si>
  <si>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</si>
  <si>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</si>
  <si>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</si>
  <si>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</si>
  <si>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</si>
  <si>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</si>
  <si>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</si>
  <si>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</si>
  <si>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</si>
  <si>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</si>
  <si>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</si>
  <si>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</si>
  <si>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</si>
  <si>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</si>
  <si>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</si>
  <si>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</si>
  <si>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</si>
  <si>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</si>
  <si>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</si>
  <si>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</si>
  <si>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</si>
  <si>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</si>
  <si>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</si>
  <si>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</si>
  <si>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</si>
  <si>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</si>
  <si>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</si>
  <si>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</si>
  <si>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</si>
  <si>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</si>
  <si>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</si>
  <si>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</si>
  <si>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</si>
  <si>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</si>
  <si>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</si>
  <si>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</si>
  <si>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</si>
  <si>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</si>
  <si>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</si>
  <si>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</si>
  <si>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</si>
  <si>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</si>
  <si>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</si>
  <si>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</si>
  <si>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</si>
  <si>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</si>
  <si>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</si>
  <si>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</si>
  <si>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</si>
  <si>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</si>
  <si>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</si>
  <si>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</si>
  <si>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</si>
  <si>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</si>
  <si>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</si>
  <si>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</si>
  <si>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</si>
  <si>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</si>
  <si>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</si>
  <si>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</si>
  <si>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</si>
  <si>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</si>
  <si>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</si>
  <si>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</si>
  <si>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</si>
  <si>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</si>
  <si>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</si>
  <si>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</si>
  <si>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</si>
  <si>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</si>
  <si>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</si>
  <si>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</si>
  <si>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</si>
  <si>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</si>
  <si>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</si>
  <si>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</si>
  <si>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</si>
  <si>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</si>
  <si>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</si>
  <si>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</si>
  <si>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</si>
  <si>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</si>
  <si>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</si>
  <si>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</si>
  <si>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</si>
  <si>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</si>
  <si>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</si>
  <si>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</si>
  <si>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</si>
  <si>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</si>
  <si>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</si>
  <si>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</si>
  <si>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</si>
  <si>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</si>
  <si>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</si>
  <si>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</si>
  <si>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</si>
  <si>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</si>
  <si>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</si>
  <si>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</si>
  <si>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</si>
  <si>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</si>
  <si>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</si>
  <si>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</si>
  <si>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</si>
  <si>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</si>
  <si>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</si>
  <si>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</si>
  <si>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</si>
  <si>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</si>
  <si>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</si>
  <si>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</si>
  <si>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</si>
  <si>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</si>
  <si>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</si>
  <si>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</si>
  <si>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</si>
  <si>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</si>
  <si>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</si>
  <si>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</si>
  <si>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</si>
  <si>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</si>
  <si>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</si>
  <si>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</si>
  <si>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</si>
  <si>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</si>
  <si>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</si>
  <si>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</si>
  <si>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</si>
  <si>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</si>
  <si>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</si>
  <si>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</si>
  <si>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</si>
  <si>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</si>
  <si>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</si>
  <si>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</si>
  <si>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</si>
  <si>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</si>
  <si>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</si>
  <si>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</si>
  <si>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</si>
  <si>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</si>
  <si>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</si>
  <si>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</si>
  <si>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</si>
  <si>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</si>
  <si>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</si>
  <si>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</si>
  <si>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</si>
  <si>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</si>
  <si>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</si>
  <si>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</si>
  <si>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</si>
  <si>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</si>
  <si>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</si>
  <si>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</si>
  <si>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</si>
  <si>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</si>
  <si>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</si>
  <si>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</si>
  <si>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</si>
  <si>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</si>
  <si>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</si>
  <si>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</si>
  <si>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</si>
  <si>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</si>
  <si>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</si>
  <si>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</si>
  <si>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</si>
  <si>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</si>
  <si>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</si>
  <si>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</si>
  <si>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</si>
  <si>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</si>
  <si>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</si>
  <si>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</si>
  <si>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</si>
  <si>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</si>
  <si>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</si>
  <si>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</si>
  <si>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</si>
  <si>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</si>
  <si>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</si>
  <si>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</si>
  <si>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</si>
  <si>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</si>
  <si>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</si>
  <si>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</si>
  <si>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</si>
  <si>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</si>
  <si>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</si>
  <si>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</si>
  <si>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</si>
  <si>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</si>
  <si>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</si>
  <si>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</si>
  <si>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</si>
  <si>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</si>
  <si>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</si>
  <si>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</si>
  <si>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</si>
  <si>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</si>
  <si>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</si>
  <si>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</si>
  <si>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</si>
  <si>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</si>
  <si>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</si>
  <si>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</si>
  <si>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</si>
  <si>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</si>
  <si>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</si>
  <si>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</si>
  <si>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</si>
  <si>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</si>
  <si>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</si>
  <si>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</si>
  <si>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</si>
  <si>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</si>
  <si>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</si>
  <si>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</si>
  <si>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</si>
  <si>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</si>
  <si>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</si>
  <si>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</si>
  <si>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</si>
  <si>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</si>
  <si>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</si>
  <si>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</si>
  <si>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</si>
  <si>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</si>
  <si>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</si>
  <si>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</si>
  <si>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</si>
  <si>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</si>
  <si>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</si>
  <si>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</si>
  <si>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</si>
  <si>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</si>
  <si>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</si>
  <si>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</si>
  <si>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</si>
  <si>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</si>
  <si>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</si>
  <si>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</si>
  <si>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</si>
  <si>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</si>
  <si>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</si>
  <si>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</si>
  <si>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</si>
  <si>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</si>
  <si>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</si>
  <si>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</si>
  <si>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</si>
  <si>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</si>
  <si>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</si>
  <si>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</si>
  <si>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</si>
  <si>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</si>
  <si>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</si>
  <si>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</si>
  <si>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</si>
  <si>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</si>
  <si>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</si>
  <si>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</si>
  <si>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</si>
  <si>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</si>
  <si>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</si>
  <si>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</si>
  <si>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</si>
  <si>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</si>
  <si>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</si>
  <si>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</si>
  <si>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</si>
  <si>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</si>
  <si>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</si>
  <si>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</si>
  <si>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</si>
  <si>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</si>
  <si>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</si>
  <si>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</si>
  <si>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</si>
  <si>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</si>
  <si>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</si>
  <si>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</si>
  <si>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</si>
  <si>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</si>
  <si>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</si>
  <si>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</si>
  <si>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</si>
  <si>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</si>
  <si>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</si>
  <si>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</si>
  <si>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</si>
  <si>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</si>
  <si>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</si>
  <si>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</si>
  <si>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</si>
  <si>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</si>
  <si>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</si>
  <si>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</si>
  <si>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</si>
  <si>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</si>
  <si>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</si>
  <si>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</si>
  <si>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</si>
  <si>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</si>
  <si>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</si>
  <si>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</si>
  <si>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</si>
  <si>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</si>
  <si>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</si>
  <si>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</si>
  <si>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</si>
  <si>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</si>
  <si>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</si>
  <si>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</si>
  <si>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</si>
  <si>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</si>
  <si>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</si>
  <si>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</si>
  <si>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</si>
  <si>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</si>
  <si>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</si>
  <si>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</si>
  <si>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</si>
  <si>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</si>
  <si>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</si>
  <si>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</si>
  <si>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</si>
  <si>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</si>
  <si>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</si>
  <si>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</si>
  <si>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</si>
  <si>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</si>
  <si>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</si>
  <si>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</si>
  <si>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</si>
  <si>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</si>
  <si>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</si>
  <si>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</si>
  <si>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</si>
  <si>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</si>
  <si>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</si>
  <si>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</si>
  <si>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</si>
  <si>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</si>
  <si>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</si>
  <si>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</si>
  <si>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</si>
  <si>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</si>
  <si>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</si>
  <si>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</si>
  <si>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</si>
  <si>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</si>
  <si>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</si>
  <si>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</si>
  <si>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</si>
  <si>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</si>
  <si>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</si>
  <si>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</si>
  <si>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</si>
  <si>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</si>
  <si>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</si>
  <si>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</si>
  <si>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</si>
  <si>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</si>
  <si>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</si>
  <si>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</si>
  <si>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</si>
  <si>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</si>
  <si>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</si>
  <si>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</si>
  <si>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</si>
  <si>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</si>
  <si>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</si>
  <si>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</si>
  <si>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</si>
  <si>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</si>
  <si>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</si>
  <si>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</si>
  <si>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</si>
  <si>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</si>
  <si>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</si>
  <si>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</si>
  <si>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</si>
  <si>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</si>
  <si>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</si>
  <si>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</si>
  <si>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</si>
  <si>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</si>
  <si>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</si>
  <si>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</si>
  <si>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</si>
  <si>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</si>
  <si>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</si>
  <si>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</si>
  <si>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</si>
  <si>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</si>
  <si>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</si>
  <si>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</si>
  <si>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</si>
  <si>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</si>
  <si>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</si>
  <si>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</si>
  <si>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</si>
  <si>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</si>
  <si>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</si>
  <si>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</si>
  <si>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</si>
  <si>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</si>
  <si>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</si>
  <si>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</si>
  <si>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</si>
  <si>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</si>
  <si>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</si>
  <si>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</si>
  <si>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</si>
  <si>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</si>
  <si>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</si>
  <si>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</si>
  <si>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</si>
  <si>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</si>
  <si>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</si>
  <si>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</si>
  <si>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</si>
  <si>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</si>
  <si>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</si>
  <si>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</si>
  <si>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</si>
  <si>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</si>
  <si>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</si>
  <si>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</si>
  <si>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</si>
  <si>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</si>
  <si>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</si>
  <si>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</si>
  <si>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</si>
  <si>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</si>
  <si>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</si>
  <si>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</si>
  <si>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</si>
  <si>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</si>
  <si>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</si>
  <si>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</si>
  <si>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</si>
  <si>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</si>
  <si>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</si>
  <si>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</si>
  <si>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</si>
  <si>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</si>
  <si>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</si>
  <si>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</si>
  <si>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</si>
  <si>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</si>
  <si>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</si>
  <si>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</si>
  <si>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</si>
  <si>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</si>
  <si>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</si>
  <si>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</si>
  <si>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</si>
  <si>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</si>
  <si>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</si>
  <si>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</si>
  <si>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</si>
  <si>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</si>
  <si>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</si>
  <si>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</si>
  <si>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</si>
  <si>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</si>
  <si>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</si>
  <si>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</si>
  <si>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</si>
  <si>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</si>
  <si>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</si>
  <si>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</si>
  <si>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</si>
  <si>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</si>
  <si>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</si>
  <si>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</si>
  <si>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</si>
  <si>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</si>
  <si>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</si>
  <si>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</si>
  <si>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</si>
  <si>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</si>
  <si>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</si>
  <si>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</si>
  <si>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</si>
  <si>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</si>
  <si>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</si>
  <si>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</si>
  <si>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</si>
  <si>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</si>
  <si>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</si>
  <si>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</si>
  <si>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</si>
  <si>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</si>
  <si>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</si>
  <si>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</si>
  <si>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</si>
  <si>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</si>
  <si>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</si>
  <si>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</si>
  <si>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</si>
  <si>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</si>
  <si>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</si>
  <si>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</si>
  <si>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</si>
  <si>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</si>
  <si>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</si>
  <si>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</si>
  <si>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</si>
  <si>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</si>
  <si>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</si>
  <si>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</si>
  <si>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</si>
  <si>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</si>
  <si>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</si>
  <si>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</si>
  <si>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</si>
  <si>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</si>
  <si>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</si>
  <si>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</si>
  <si>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</si>
  <si>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</si>
  <si>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</si>
  <si>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</si>
  <si>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</si>
  <si>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</si>
  <si>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</si>
  <si>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</si>
  <si>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</si>
  <si>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</si>
  <si>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</si>
  <si>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</si>
  <si>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</si>
  <si>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</si>
  <si>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</si>
  <si>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</si>
  <si>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</si>
  <si>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</si>
  <si>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</si>
  <si>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</si>
  <si>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</si>
  <si>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</si>
  <si>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</si>
  <si>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</si>
  <si>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</si>
  <si>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</si>
  <si>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</si>
  <si>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</si>
  <si>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</si>
  <si>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</si>
  <si>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</si>
  <si>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</si>
  <si>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</si>
  <si>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</si>
  <si>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</si>
  <si>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</si>
  <si>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</si>
  <si>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</si>
  <si>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</si>
  <si>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</si>
  <si>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</si>
  <si>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</si>
  <si>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</si>
  <si>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</si>
  <si>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</si>
  <si>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</si>
  <si>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</si>
  <si>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</si>
  <si>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</si>
  <si>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</si>
  <si>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</si>
  <si>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</si>
  <si>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</si>
  <si>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</si>
  <si>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</si>
  <si>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</si>
  <si>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</si>
  <si>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</si>
  <si>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</si>
  <si>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</si>
  <si>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</si>
  <si>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</si>
  <si>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</si>
  <si>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</si>
  <si>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</si>
  <si>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</si>
  <si>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</si>
  <si>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</si>
  <si>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</si>
  <si>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</si>
  <si>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</si>
  <si>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</si>
  <si>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</si>
  <si>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</si>
  <si>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</si>
  <si>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</si>
  <si>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</si>
  <si>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</si>
  <si>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</si>
  <si>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</si>
  <si>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</si>
  <si>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</si>
  <si>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</si>
  <si>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</si>
  <si>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</si>
  <si>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</si>
  <si>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</si>
  <si>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</si>
  <si>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</si>
  <si>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</si>
  <si>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</si>
  <si>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</si>
  <si>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</si>
  <si>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</si>
  <si>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</si>
  <si>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</si>
  <si>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</si>
  <si>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</si>
  <si>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</si>
  <si>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</si>
  <si>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</si>
  <si>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</si>
  <si>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</si>
  <si>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</si>
  <si>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</si>
  <si>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</si>
  <si>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</si>
  <si>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</si>
  <si>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</si>
  <si>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</si>
  <si>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</si>
  <si>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</si>
  <si>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</si>
  <si>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</si>
  <si>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</si>
  <si>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</si>
  <si>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</si>
  <si>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</si>
  <si>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</si>
  <si>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</si>
  <si>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</si>
  <si>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</si>
  <si>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</si>
  <si>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</si>
  <si>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</si>
  <si>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</si>
  <si>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</si>
  <si>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</si>
  <si>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</si>
  <si>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</si>
  <si>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</si>
  <si>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</si>
  <si>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</si>
  <si>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</si>
  <si>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</si>
  <si>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</si>
  <si>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</si>
  <si>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</si>
  <si>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</si>
  <si>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</si>
  <si>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</si>
  <si>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</si>
  <si>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</si>
  <si>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</si>
  <si>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</si>
  <si>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</si>
  <si>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</si>
  <si>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</si>
  <si>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</si>
  <si>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</si>
  <si>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</si>
  <si>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</si>
  <si>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</si>
  <si>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</si>
  <si>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</si>
  <si>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</si>
  <si>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</si>
  <si>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</si>
  <si>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</si>
  <si>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</si>
  <si>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</si>
  <si>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</si>
  <si>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</si>
  <si>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</si>
  <si>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</si>
  <si>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</si>
  <si>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</si>
  <si>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</si>
  <si>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</si>
  <si>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</si>
  <si>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</si>
  <si>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</si>
  <si>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</si>
  <si>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</si>
  <si>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</si>
  <si>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</si>
  <si>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</si>
  <si>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</si>
  <si>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</si>
  <si>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</si>
  <si>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</si>
  <si>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</si>
  <si>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</si>
  <si>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</si>
  <si>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</si>
  <si>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</si>
  <si>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</si>
  <si>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</si>
  <si>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</si>
  <si>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</si>
  <si>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</si>
  <si>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</si>
  <si>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</si>
  <si>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</si>
  <si>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</si>
  <si>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</si>
  <si>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</si>
  <si>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</si>
  <si>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</si>
  <si>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</si>
  <si>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</si>
  <si>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</si>
  <si>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</si>
  <si>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</si>
  <si>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</si>
  <si>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</si>
  <si>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</si>
  <si>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</si>
  <si>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</si>
  <si>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</si>
  <si>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</si>
  <si>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</si>
  <si>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</si>
  <si>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</si>
  <si>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</si>
  <si>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</si>
  <si>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</si>
  <si>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</si>
  <si>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</si>
  <si>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</si>
  <si>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</si>
  <si>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</si>
  <si>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</si>
  <si>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</si>
  <si>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</si>
  <si>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</si>
  <si>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</si>
  <si>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</si>
  <si>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</si>
  <si>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</si>
  <si>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</si>
  <si>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</si>
  <si>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</si>
  <si>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</si>
  <si>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</si>
  <si>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</si>
  <si>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</si>
  <si>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</si>
  <si>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</si>
  <si>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</si>
  <si>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</si>
  <si>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</si>
  <si>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</si>
  <si>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</si>
  <si>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</si>
  <si>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</si>
  <si>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</si>
  <si>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</si>
  <si>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</si>
  <si>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</si>
  <si>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</si>
  <si>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</si>
  <si>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</si>
  <si>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</si>
  <si>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</si>
  <si>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</si>
  <si>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</si>
  <si>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</si>
  <si>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</si>
  <si>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</si>
  <si>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</si>
  <si>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</si>
  <si>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</si>
  <si>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</si>
  <si>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</si>
  <si>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</si>
  <si>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</si>
  <si>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</si>
  <si>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</si>
  <si>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</si>
  <si>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</si>
  <si>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</si>
  <si>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</si>
  <si>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</si>
  <si>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</si>
  <si>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</si>
  <si>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</si>
  <si>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</si>
  <si>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</si>
  <si>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</si>
  <si>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</si>
  <si>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</si>
  <si>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</si>
  <si>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</si>
  <si>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</si>
  <si>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</si>
  <si>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</si>
  <si>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</si>
  <si>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</si>
  <si>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</si>
  <si>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</si>
  <si>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</si>
  <si>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</si>
  <si>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</si>
  <si>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</si>
  <si>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</si>
  <si>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</si>
  <si>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</si>
  <si>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</si>
  <si>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</si>
  <si>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</si>
  <si>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</si>
  <si>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</si>
  <si>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</si>
  <si>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</si>
  <si>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</si>
  <si>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</si>
  <si>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</si>
  <si>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</si>
  <si>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</si>
  <si>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</si>
  <si>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</si>
  <si>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</si>
  <si>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</si>
  <si>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</si>
  <si>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</si>
  <si>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</si>
  <si>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</si>
  <si>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</si>
  <si>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</si>
  <si>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</si>
  <si>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</si>
  <si>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</si>
  <si>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</si>
  <si>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</si>
  <si>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</si>
  <si>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</si>
  <si>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</si>
  <si>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</si>
  <si>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</si>
  <si>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</si>
  <si>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</si>
  <si>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</si>
  <si>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</si>
  <si>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</si>
  <si>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</si>
  <si>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</si>
  <si>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</si>
  <si>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</si>
  <si>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</si>
  <si>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</si>
  <si>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</si>
  <si>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</si>
  <si>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</si>
  <si>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</si>
  <si>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</si>
  <si>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</si>
  <si>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</si>
  <si>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</si>
  <si>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</si>
  <si>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</si>
  <si>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</si>
  <si>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</si>
  <si>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</si>
  <si>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</si>
  <si>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</si>
  <si>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</si>
  <si>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</si>
  <si>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</si>
  <si>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</si>
  <si>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</si>
  <si>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</si>
  <si>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</si>
  <si>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</si>
  <si>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</si>
  <si>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</si>
  <si>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</si>
  <si>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</si>
  <si>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</si>
  <si>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</si>
  <si>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</si>
  <si>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</si>
  <si>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</si>
  <si>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</si>
  <si>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</si>
  <si>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</si>
  <si>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</si>
  <si>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</si>
  <si>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</si>
  <si>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</si>
  <si>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</si>
  <si>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</si>
  <si>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</si>
  <si>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</si>
  <si>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</si>
  <si>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</si>
  <si>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</si>
  <si>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</si>
  <si>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</si>
  <si>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</si>
  <si>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</si>
  <si>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</si>
  <si>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</si>
  <si>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</si>
  <si>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</si>
  <si>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</si>
  <si>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</si>
  <si>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</si>
  <si>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</si>
  <si>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</si>
  <si>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</si>
  <si>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</si>
  <si>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</si>
  <si>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</si>
  <si>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</si>
  <si>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</si>
  <si>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</si>
  <si>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</si>
  <si>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</si>
  <si>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</si>
  <si>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</si>
  <si>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</si>
  <si>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</si>
  <si>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</si>
  <si>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</si>
  <si>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</si>
  <si>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</si>
  <si>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</si>
  <si>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</si>
  <si>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</si>
  <si>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</si>
  <si>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</si>
  <si>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</si>
  <si>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</si>
  <si>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</si>
  <si>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</si>
  <si>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</si>
  <si>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</si>
  <si>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</si>
  <si>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</si>
  <si>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</si>
  <si>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</si>
  <si>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</si>
  <si>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</si>
  <si>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</si>
  <si>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</si>
  <si>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</si>
  <si>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</si>
  <si>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</si>
  <si>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</si>
  <si>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</si>
  <si>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</si>
  <si>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</si>
  <si>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</si>
  <si>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</si>
  <si>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</si>
  <si>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</si>
  <si>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</si>
  <si>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</si>
  <si>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</si>
  <si>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</si>
  <si>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</si>
  <si>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</si>
  <si>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</si>
  <si>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</si>
  <si>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</si>
  <si>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</si>
  <si>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</si>
  <si>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Johnson</t>
  </si>
  <si>
    <t>P.O. Box 427</t>
  </si>
  <si>
    <t xml:space="preserve">Vienna  </t>
  </si>
  <si>
    <t>Greg Frehner</t>
  </si>
  <si>
    <t>gfrehner@viennagradeschool.com</t>
  </si>
  <si>
    <t>618-658-8638</t>
  </si>
  <si>
    <t>618-658-9036</t>
  </si>
  <si>
    <t>Beussink, Hey, Roe &amp; Stroder, L.L.C.</t>
  </si>
  <si>
    <t>Jeffrey C. Stroder, CPA</t>
  </si>
  <si>
    <t>16 S. Silver Springs Road</t>
  </si>
  <si>
    <t>Cape Girardeau</t>
  </si>
  <si>
    <t>MO</t>
  </si>
  <si>
    <t>573-334-7971</t>
  </si>
  <si>
    <t>573-334-8875</t>
  </si>
  <si>
    <t>66-6003889</t>
  </si>
  <si>
    <t>jstroder@bhrcpas.com</t>
  </si>
  <si>
    <t>The financial statements are presented in a format that complies with the regulatory provisions prescribed by the Illinois State Board of Education, whose practices differ from accounting principles generally accepted in the United States of America.</t>
  </si>
  <si>
    <t>School Refunding Bonds, Series 2011</t>
  </si>
  <si>
    <t>Refunding Bond Series, 2008A</t>
  </si>
  <si>
    <t>Refunding School Bonds, Series 2014</t>
  </si>
  <si>
    <t>Bus Loan</t>
  </si>
  <si>
    <t>Bus loan</t>
  </si>
  <si>
    <t>shared service - JAMP Special Education Services</t>
  </si>
  <si>
    <t>Account Number</t>
  </si>
  <si>
    <t>Object Code</t>
  </si>
  <si>
    <t>Prepaid Payroll Taxes</t>
  </si>
  <si>
    <t>Payment in Lieu of Taxes</t>
  </si>
  <si>
    <t>Miscellaneous Sales to Pupils</t>
  </si>
  <si>
    <t>Miscellaneous Food Service Revenue</t>
  </si>
  <si>
    <t>Miscellaneous Revenue</t>
  </si>
  <si>
    <t>Ballgame and Event Canteen Revenue</t>
  </si>
  <si>
    <t>Special Needs Aide Salaries</t>
  </si>
  <si>
    <t>Special Needs Aide Supplies</t>
  </si>
  <si>
    <t>Bond Fees</t>
  </si>
  <si>
    <t>Special Needs Aide Benefits</t>
  </si>
  <si>
    <t xml:space="preserve">On page 8, line 80, Fund 10, a prior period adjustment was needed to correct the prepaid expense balance to JAMP </t>
  </si>
  <si>
    <t>Special Education Services in the amount of $3,439.</t>
  </si>
  <si>
    <t>Other Describe &amp; Itemize Items:</t>
  </si>
  <si>
    <t>in the amount of $67,446.</t>
  </si>
  <si>
    <t xml:space="preserve">On page 26, line 13,  Yr Schedule Capitilzed Equipment Cost and Accumulated Depreciation begininng balances were </t>
  </si>
  <si>
    <t>by the District.</t>
  </si>
  <si>
    <t>The bus loan issued on 2/1/16 had an outstanding balance of $50,459. This balance was not paid, and the bus</t>
  </si>
  <si>
    <t>There is limited number of staff, which has hindered the District's ability to segregate these duties.</t>
  </si>
  <si>
    <t>A significant audit adjustment was needed to record the proceeds and capital outlay from the purchases of two buses.</t>
  </si>
  <si>
    <t>The proceeds and cost of the buses totaled $134,772.</t>
  </si>
  <si>
    <t>Other Sources (Uses) and expenditures were understated by $134,772.</t>
  </si>
  <si>
    <t>The District was unaware that an entry needed to be made to record the capital lease.</t>
  </si>
  <si>
    <t>We recommend the District record transactions in accordance with generally accepted accounting principles.</t>
  </si>
  <si>
    <t>For iterim financial reporting to be reliable and relevant, transactions should be recorded in accordance with generally accepted accounting principles.</t>
  </si>
  <si>
    <t>Fixed asset records should be adequately maintained.</t>
  </si>
  <si>
    <t>Fixed assets totaled $8,174,747 for the fiscal year ended June 30, 2019.</t>
  </si>
  <si>
    <t>The fixed asset balances have the potential to be materially misstated.</t>
  </si>
  <si>
    <t>A list of individual fixed assets and their cost, date acquired, and prior accumulated depreciation could not be produced by the District. There were also no records to support the balances reported on prior Annual Financial Reports.</t>
  </si>
  <si>
    <t>Adequate records were not maintained over the years to support the balances reported in prior years.</t>
  </si>
  <si>
    <t>We recommend that the District provide adequate records to support the fixed asset list provided on an individual asset basis including cost, date acquired, and prior acccumulated depreciation.</t>
  </si>
  <si>
    <t>Actual expenditures of the Operations and Maintenance Fund, Debt Service Fund, Transportation Fund, and Tort Fund exceeded budgetary limitations by $7,209, $802, $104,549, and $156, respectively.</t>
  </si>
  <si>
    <t>Total expenditures for the Operations and Maintenance Fund, Debt Service Fund, Transportation Fund, and Tort Fund were $112,203, $201,170,  $292,583, and $176,335, respectively.</t>
  </si>
  <si>
    <t>The District incurred expenses in total greater than what was provided for in the budget.</t>
  </si>
  <si>
    <t>The District did not amend the budget to include all additional expenditures not included in the original budget.</t>
  </si>
  <si>
    <t>We recommend that the District monitor the budget and amend as necessary.</t>
  </si>
  <si>
    <t>2018-001</t>
  </si>
  <si>
    <t xml:space="preserve">The School District does not have any individual </t>
  </si>
  <si>
    <t>staff with the necessary knowledge and expertise</t>
  </si>
  <si>
    <t>notes to the financial statements.</t>
  </si>
  <si>
    <t xml:space="preserve">to properly draft the financial statements and </t>
  </si>
  <si>
    <t>Implemented</t>
  </si>
  <si>
    <t>2018-002</t>
  </si>
  <si>
    <t xml:space="preserve">The School District had funds with expenditures </t>
  </si>
  <si>
    <t xml:space="preserve">in excess of appropriations. </t>
  </si>
  <si>
    <t>Not Implemented. See finding 2019-004.</t>
  </si>
  <si>
    <t>For proper internal controls, the duties of recording and authorizing transactions, and custody of cash should be segregated.</t>
  </si>
  <si>
    <t>One employee handles all accounting functions of the District. For fiscal year 2019, the District recived funds totaling $4,126,071.</t>
  </si>
  <si>
    <t>Inadequate internal controls increases the likelihood that a misstatement or fraud could go undetected.</t>
  </si>
  <si>
    <t>We recommend that the duties of recording and authorizing transactions, and custody of cash be segregated.</t>
  </si>
  <si>
    <t>Section 105 ILCS 5/34-48 prohibits the Board from making expenditures that exceed the amount provided for in the budget.</t>
  </si>
  <si>
    <t xml:space="preserve">increased by $86,315 and $82,647, respectively due to assets disposed in the prior year that were actually still in use </t>
  </si>
  <si>
    <t>One person approves the disbursements, is the only check signor, has full access to the accounting software, records deposits, writes checks, prepares payroll, and prepares the bank reconciliation. Bank reconciliations are not reviewed by anyone else. Payroll is processed with no one checking for accuracy.</t>
  </si>
  <si>
    <t xml:space="preserve">On page 25, Line 10, Other Receipts for the Special Education Taxes were for the Social Security/Medicare Only Levy </t>
  </si>
  <si>
    <t>was traded in. The remaining balance is shown as retired on page 24.</t>
  </si>
  <si>
    <t>The Superintendent recognizes the reasons behind the finding.  The Business Manager regularly and consistently communicates with me about cash transactions of the District.  Adding an additional paid employee for this role is not an expenditure that the District can take on with our current cash position.</t>
  </si>
  <si>
    <t>The fiscal year 2020 budget and future District No. 55 budgets will reflect the change in recording proceeds and capital outlay from the purchases of buses in the future.</t>
  </si>
  <si>
    <t>District No. 55 will adequately maintain records of fixed assets congruent with auditing standards, beginning in fiscal year 2020.</t>
  </si>
  <si>
    <t>Unexpected expenditures occurred between May 1 and June 30, 2019 making amended budget projections challenging.  The change to budgeting procedures regarding the purchase of buses will be applied going forward in fiscal year 2020.</t>
  </si>
  <si>
    <t>Vienna SD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</si>
</sst>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double"/>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2" fillId="0" borderId="0" xfId="3" applyFont="1" applyAlignment="1" applyProtection="1">
      <alignment horizontal="center" vertical="center"/>
    </xf>
    <xf numFmtId="0" fontId="55" fillId="0" borderId="0" xfId="0" applyFont="1" applyAlignment="1">
      <alignment horizontal="center"/>
    </xf>
    <xf numFmtId="0" fontId="55" fillId="0" borderId="78" xfId="0" applyFont="1" applyBorder="1" applyAlignment="1">
      <alignment horizontal="center"/>
    </xf>
    <xf numFmtId="181" fontId="55" fillId="0" borderId="0" xfId="19" applyNumberFormat="1" applyFont="1"/>
    <xf numFmtId="181" fontId="137" fillId="0" borderId="0" xfId="19" applyNumberFormat="1" applyFont="1"/>
    <xf numFmtId="164" fontId="55" fillId="0" borderId="0" xfId="0" quotePrefix="1" applyNumberFormat="1" applyFont="1"/>
    <xf numFmtId="182" fontId="73" fillId="0" borderId="0" xfId="1" applyNumberFormat="1" applyFont="1"/>
    <xf numFmtId="181" fontId="138" fillId="0" borderId="0" xfId="19" applyNumberFormat="1" applyFont="1"/>
    <xf numFmtId="164" fontId="73"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866775</xdr:colOff>
          <xdr:row>8</xdr:row>
          <xdr:rowOff>28575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9" t="s">
        <v>405</v>
      </c>
      <c r="J1" s="1990"/>
      <c r="K1" s="1990"/>
      <c r="L1" s="1990"/>
      <c r="M1" s="1990"/>
      <c r="N1" s="1990"/>
      <c r="O1" s="1990"/>
      <c r="P1" s="1990"/>
      <c r="Q1" s="1990"/>
      <c r="R1" s="1990"/>
      <c r="S1" s="1990"/>
    </row>
    <row r="2" spans="1:28" ht="12" customHeight="1" x14ac:dyDescent="0.2">
      <c r="A2" s="47" t="s">
        <v>1993</v>
      </c>
      <c r="D2" s="48"/>
      <c r="I2" s="1991" t="s">
        <v>979</v>
      </c>
      <c r="J2" s="1990"/>
      <c r="K2" s="1990"/>
      <c r="L2" s="1990"/>
      <c r="M2" s="1990"/>
      <c r="N2" s="1990"/>
      <c r="O2" s="1990"/>
      <c r="P2" s="1990"/>
      <c r="Q2" s="1990"/>
      <c r="R2" s="1990"/>
      <c r="S2" s="1990"/>
    </row>
    <row r="3" spans="1:28" ht="12" customHeight="1" x14ac:dyDescent="0.2">
      <c r="A3" s="155" t="s">
        <v>1945</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2064</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2064</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21044055002</v>
      </c>
      <c r="B13" s="2025"/>
      <c r="C13" s="2025"/>
      <c r="D13" s="2025"/>
      <c r="E13" s="2025"/>
      <c r="F13" s="2025"/>
      <c r="G13" s="2025"/>
      <c r="H13" s="2026"/>
      <c r="I13" s="31"/>
      <c r="J13" s="30"/>
      <c r="K13" s="28"/>
      <c r="L13" s="30"/>
      <c r="M13" s="30"/>
      <c r="N13" s="30"/>
      <c r="O13" s="30"/>
      <c r="P13" s="30"/>
      <c r="Q13" s="30"/>
      <c r="R13" s="30"/>
      <c r="S13" s="30"/>
      <c r="T13" s="2029" t="s">
        <v>2072</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2065</v>
      </c>
      <c r="B15" s="2027"/>
      <c r="C15" s="2027"/>
      <c r="D15" s="2027"/>
      <c r="E15" s="2027"/>
      <c r="F15" s="2027"/>
      <c r="G15" s="2027"/>
      <c r="H15" s="2028"/>
      <c r="T15" s="2033" t="s">
        <v>2073</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2148</v>
      </c>
      <c r="B17" s="1984"/>
      <c r="C17" s="1984"/>
      <c r="D17" s="1984"/>
      <c r="E17" s="1984"/>
      <c r="F17" s="1984"/>
      <c r="G17" s="1984"/>
      <c r="H17" s="2009"/>
      <c r="T17" s="2040" t="s">
        <v>2074</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2066</v>
      </c>
      <c r="B19" s="1969"/>
      <c r="C19" s="1969"/>
      <c r="D19" s="1969"/>
      <c r="E19" s="1969"/>
      <c r="F19" s="1969"/>
      <c r="G19" s="1969"/>
      <c r="H19" s="1949"/>
      <c r="I19" s="30"/>
      <c r="J19" s="99"/>
      <c r="K19" s="40"/>
      <c r="L19" s="38"/>
      <c r="M19" s="112" t="s">
        <v>315</v>
      </c>
      <c r="P19" s="27"/>
      <c r="Q19" s="27"/>
      <c r="R19" s="27"/>
      <c r="S19" s="31"/>
      <c r="T19" s="2023" t="s">
        <v>2075</v>
      </c>
      <c r="U19" s="1948"/>
      <c r="V19" s="1948"/>
      <c r="W19" s="1949"/>
      <c r="X19" s="2038" t="s">
        <v>2076</v>
      </c>
      <c r="Y19" s="2039"/>
      <c r="Z19" s="2036">
        <v>63703</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2067</v>
      </c>
      <c r="B21" s="1948"/>
      <c r="C21" s="1948"/>
      <c r="D21" s="1948"/>
      <c r="E21" s="1948"/>
      <c r="F21" s="1948"/>
      <c r="G21" s="1948"/>
      <c r="H21" s="1949"/>
      <c r="I21" s="2003" t="s">
        <v>678</v>
      </c>
      <c r="J21" s="1998"/>
      <c r="K21" s="1998"/>
      <c r="L21" s="1998"/>
      <c r="M21" s="1998"/>
      <c r="N21" s="1998"/>
      <c r="O21" s="1998"/>
      <c r="P21" s="1998"/>
      <c r="Q21" s="1998"/>
      <c r="R21" s="1998"/>
      <c r="S21" s="2004"/>
      <c r="T21" s="2047" t="s">
        <v>2077</v>
      </c>
      <c r="U21" s="2048"/>
      <c r="V21" s="2048"/>
      <c r="W21" s="2048"/>
      <c r="X21" s="2053" t="s">
        <v>2078</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t="s">
        <v>2069</v>
      </c>
      <c r="B23" s="2001"/>
      <c r="C23" s="2001"/>
      <c r="D23" s="2001"/>
      <c r="E23" s="2001"/>
      <c r="F23" s="2001"/>
      <c r="G23" s="2001"/>
      <c r="H23" s="2002"/>
      <c r="T23" s="1983" t="s">
        <v>2079</v>
      </c>
      <c r="U23" s="2046"/>
      <c r="V23" s="2046"/>
      <c r="W23" s="2046"/>
      <c r="X23" s="2050">
        <v>44530</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62995</v>
      </c>
      <c r="B25" s="1948"/>
      <c r="C25" s="1948"/>
      <c r="D25" s="1948"/>
      <c r="E25" s="1948"/>
      <c r="F25" s="1948"/>
      <c r="G25" s="1948"/>
      <c r="H25" s="1949"/>
      <c r="I25" s="113"/>
      <c r="J25" s="1972"/>
      <c r="K25" s="1972"/>
      <c r="L25" s="1972"/>
      <c r="M25" s="1972"/>
      <c r="N25" s="1972"/>
      <c r="O25" s="1972"/>
      <c r="P25" s="1972"/>
      <c r="Q25" s="1972"/>
      <c r="R25" s="1972"/>
      <c r="S25" s="1973"/>
      <c r="T25" s="2043" t="s">
        <v>2080</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2068</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2069</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2070</v>
      </c>
      <c r="B42" s="1967"/>
      <c r="C42" s="1968"/>
      <c r="D42" s="1966" t="s">
        <v>2071</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1802</v>
      </c>
      <c r="B2" s="1528" t="s">
        <v>1951</v>
      </c>
      <c r="C2" s="714" t="s">
        <v>1952</v>
      </c>
      <c r="D2" s="714" t="s">
        <v>1953</v>
      </c>
      <c r="E2" s="714" t="s">
        <v>1954</v>
      </c>
      <c r="F2" s="714" t="s">
        <v>1955</v>
      </c>
    </row>
    <row r="3" spans="1:6" ht="12" customHeight="1" x14ac:dyDescent="0.2">
      <c r="A3" s="2190"/>
      <c r="B3" s="1525"/>
      <c r="C3" s="1526"/>
      <c r="D3" s="1527" t="s">
        <v>256</v>
      </c>
      <c r="E3" s="1526"/>
      <c r="F3" s="1527" t="s">
        <v>257</v>
      </c>
    </row>
    <row r="4" spans="1:6" ht="13.7" customHeight="1" x14ac:dyDescent="0.2">
      <c r="A4" s="715" t="s">
        <v>1155</v>
      </c>
      <c r="B4" s="1749">
        <f>'Revenues 9-14'!C5</f>
        <v>334282</v>
      </c>
      <c r="C4" s="1524"/>
      <c r="D4" s="1752">
        <f>B4-C4</f>
        <v>334282</v>
      </c>
      <c r="E4" s="1524">
        <v>345433</v>
      </c>
      <c r="F4" s="1752">
        <f>E4-C4</f>
        <v>345433</v>
      </c>
    </row>
    <row r="5" spans="1:6" ht="13.7" customHeight="1" x14ac:dyDescent="0.2">
      <c r="A5" s="715" t="s">
        <v>870</v>
      </c>
      <c r="B5" s="1750">
        <f>'Revenues 9-14'!D5</f>
        <v>90883</v>
      </c>
      <c r="C5" s="585"/>
      <c r="D5" s="1753">
        <f t="shared" ref="D5:D18" si="0">B5-C5</f>
        <v>90883</v>
      </c>
      <c r="E5" s="585">
        <v>93868</v>
      </c>
      <c r="F5" s="1753">
        <f>E5-C5</f>
        <v>93868</v>
      </c>
    </row>
    <row r="6" spans="1:6" ht="13.7" customHeight="1" x14ac:dyDescent="0.2">
      <c r="A6" s="715" t="s">
        <v>411</v>
      </c>
      <c r="B6" s="1750">
        <f>'Revenues 9-14'!E5</f>
        <v>206268</v>
      </c>
      <c r="C6" s="585"/>
      <c r="D6" s="1753">
        <f t="shared" si="0"/>
        <v>206268</v>
      </c>
      <c r="E6" s="585">
        <v>208751</v>
      </c>
      <c r="F6" s="1753">
        <f t="shared" ref="F6:F18" si="1">E6-C6</f>
        <v>208751</v>
      </c>
    </row>
    <row r="7" spans="1:6" ht="13.7" customHeight="1" x14ac:dyDescent="0.2">
      <c r="A7" s="715" t="s">
        <v>155</v>
      </c>
      <c r="B7" s="1750">
        <f>'Revenues 9-14'!F5</f>
        <v>43624</v>
      </c>
      <c r="C7" s="585"/>
      <c r="D7" s="1753">
        <f t="shared" si="0"/>
        <v>43624</v>
      </c>
      <c r="E7" s="585">
        <v>45056</v>
      </c>
      <c r="F7" s="1753">
        <f t="shared" si="1"/>
        <v>45056</v>
      </c>
    </row>
    <row r="8" spans="1:6" ht="13.7" customHeight="1" x14ac:dyDescent="0.2">
      <c r="A8" s="715" t="s">
        <v>1179</v>
      </c>
      <c r="B8" s="1750">
        <f>'Revenues 9-14'!G5</f>
        <v>78258</v>
      </c>
      <c r="C8" s="585"/>
      <c r="D8" s="1753">
        <f t="shared" si="0"/>
        <v>78258</v>
      </c>
      <c r="E8" s="585">
        <v>65001</v>
      </c>
      <c r="F8" s="1753">
        <f t="shared" si="1"/>
        <v>65001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18177</v>
      </c>
      <c r="C10" s="585"/>
      <c r="D10" s="1753">
        <f t="shared" si="0"/>
        <v>18177</v>
      </c>
      <c r="E10" s="585">
        <v>18774</v>
      </c>
      <c r="F10" s="1753">
        <f t="shared" si="1"/>
        <v>18774</v>
      </c>
    </row>
    <row r="11" spans="1:6" x14ac:dyDescent="0.2">
      <c r="A11" s="715" t="s">
        <v>409</v>
      </c>
      <c r="B11" s="1750">
        <f>'Revenues 9-14'!J5</f>
        <v>174885</v>
      </c>
      <c r="C11" s="585"/>
      <c r="D11" s="1753">
        <f t="shared" si="0"/>
        <v>174885</v>
      </c>
      <c r="E11" s="585">
        <v>198001</v>
      </c>
      <c r="F11" s="1753">
        <f t="shared" si="1"/>
        <v>198001</v>
      </c>
    </row>
    <row r="12" spans="1:6" ht="13.7" customHeight="1" x14ac:dyDescent="0.2">
      <c r="A12" s="715" t="s">
        <v>157</v>
      </c>
      <c r="B12" s="1750">
        <f>'Revenues 9-14'!K5</f>
        <v>18177</v>
      </c>
      <c r="C12" s="585"/>
      <c r="D12" s="1753">
        <f t="shared" si="0"/>
        <v>18177</v>
      </c>
      <c r="E12" s="585">
        <v>18774</v>
      </c>
      <c r="F12" s="1753">
        <f t="shared" si="1"/>
        <v>18774</v>
      </c>
    </row>
    <row r="13" spans="1:6" ht="13.7" customHeight="1" x14ac:dyDescent="0.2">
      <c r="A13" s="715" t="s">
        <v>936</v>
      </c>
      <c r="B13" s="1750">
        <f>SUM('Revenues 9-14'!C6:D6)</f>
        <v>18177</v>
      </c>
      <c r="C13" s="585"/>
      <c r="D13" s="1753">
        <f t="shared" si="0"/>
        <v>18177</v>
      </c>
      <c r="E13" s="585">
        <v>18774</v>
      </c>
      <c r="F13" s="1753">
        <f t="shared" si="1"/>
        <v>18774</v>
      </c>
    </row>
    <row r="14" spans="1:6" ht="13.7" customHeight="1" x14ac:dyDescent="0.2">
      <c r="A14" s="715" t="s">
        <v>410</v>
      </c>
      <c r="B14" s="1750">
        <f>SUM('Revenues 9-14'!C7:D7,'Revenues 9-14'!F7:H7)</f>
        <v>7271</v>
      </c>
      <c r="C14" s="585"/>
      <c r="D14" s="1753">
        <f t="shared" si="0"/>
        <v>7271</v>
      </c>
      <c r="E14" s="585">
        <v>7509</v>
      </c>
      <c r="F14" s="1753">
        <f t="shared" si="1"/>
        <v>7509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67446</v>
      </c>
      <c r="C16" s="585"/>
      <c r="D16" s="1753">
        <f t="shared" si="0"/>
        <v>67446</v>
      </c>
      <c r="E16" s="585">
        <v>70003</v>
      </c>
      <c r="F16" s="1753">
        <f t="shared" si="1"/>
        <v>70003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1057448</v>
      </c>
      <c r="C19" s="1751">
        <f>SUM(C4:C18)</f>
        <v>0</v>
      </c>
      <c r="D19" s="1751">
        <f>SUM(D4:D18)</f>
        <v>1057448</v>
      </c>
      <c r="E19" s="1751">
        <f>SUM(E4:E18)</f>
        <v>1089944</v>
      </c>
      <c r="F19" s="1751">
        <f>SUM(F4:F18)</f>
        <v>1089944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headings="1" gridLinesSet="0"/>
  <pageMargins left="0.75" right="0.65" top="1.65" bottom="0.52" header="0.44" footer="0.42"/>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19" colorId="8" zoomScale="110" zoomScaleNormal="110" workbookViewId="0">
      <selection activeCell="D62" sqref="D6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1802</v>
      </c>
      <c r="B2" s="2217"/>
      <c r="C2" s="1884" t="s">
        <v>1956</v>
      </c>
      <c r="D2" s="723" t="s">
        <v>1957</v>
      </c>
      <c r="E2" s="723" t="s">
        <v>1958</v>
      </c>
      <c r="F2" s="1884" t="s">
        <v>1959</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5">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2" t="s">
        <v>631</v>
      </c>
      <c r="B15" s="2203"/>
      <c r="C15" s="1755">
        <f>SUM(C6:C14)</f>
        <v>0</v>
      </c>
      <c r="D15" s="1755">
        <f>SUM(D6:D14)</f>
        <v>0</v>
      </c>
      <c r="E15" s="1755">
        <f>SUM(E6:E14)</f>
        <v>0</v>
      </c>
      <c r="F15" s="1755">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5">
        <f>SUM(C17+D17)-E17</f>
        <v>0</v>
      </c>
    </row>
    <row r="18" spans="1:11" ht="12.75" customHeight="1" thickTop="1" thickBot="1" x14ac:dyDescent="0.25">
      <c r="A18" s="2197" t="s">
        <v>6</v>
      </c>
      <c r="B18" s="2198"/>
      <c r="C18" s="726"/>
      <c r="D18" s="585"/>
      <c r="E18" s="726"/>
      <c r="F18" s="1755">
        <f>SUM(C18+D18)-E18</f>
        <v>0</v>
      </c>
    </row>
    <row r="19" spans="1:11" ht="12.75" customHeight="1" thickTop="1" thickBot="1" x14ac:dyDescent="0.25">
      <c r="A19" s="2197" t="s">
        <v>388</v>
      </c>
      <c r="B19" s="2198"/>
      <c r="C19" s="726"/>
      <c r="D19" s="585"/>
      <c r="E19" s="726"/>
      <c r="F19" s="1755">
        <f>SUM(C19+D19)-E19</f>
        <v>0</v>
      </c>
    </row>
    <row r="20" spans="1:11" ht="12.75" customHeight="1" thickTop="1" thickBot="1" x14ac:dyDescent="0.25">
      <c r="A20" s="2197" t="s">
        <v>448</v>
      </c>
      <c r="B20" s="2198"/>
      <c r="C20" s="726"/>
      <c r="D20" s="585"/>
      <c r="E20" s="726"/>
      <c r="F20" s="1755">
        <f>SUM(C20+D20)-E20</f>
        <v>0</v>
      </c>
    </row>
    <row r="21" spans="1:11" ht="14.25" thickTop="1" thickBot="1" x14ac:dyDescent="0.25">
      <c r="A21" s="2202" t="s">
        <v>632</v>
      </c>
      <c r="B21" s="2203"/>
      <c r="C21" s="1755">
        <f>SUM(C17:C20)</f>
        <v>0</v>
      </c>
      <c r="D21" s="1755">
        <f>SUM(D17:D20)</f>
        <v>0</v>
      </c>
      <c r="E21" s="1755">
        <f>SUM(E17:E20)</f>
        <v>0</v>
      </c>
      <c r="F21" s="1755">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5">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5">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5">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v>36661</v>
      </c>
      <c r="C31" s="734">
        <v>915000</v>
      </c>
      <c r="D31" s="735">
        <v>3</v>
      </c>
      <c r="E31" s="734">
        <v>150000</v>
      </c>
      <c r="F31" s="734"/>
      <c r="G31" s="734"/>
      <c r="H31" s="734">
        <v>75000</v>
      </c>
      <c r="I31" s="1756">
        <f>((E31+F31)-H31)+G31</f>
        <v>75000</v>
      </c>
      <c r="J31" s="734">
        <v>38817</v>
      </c>
      <c r="K31" s="736"/>
    </row>
    <row r="32" spans="1:11" ht="12" customHeight="1" x14ac:dyDescent="0.2">
      <c r="A32" s="732" t="s">
        <v>2083</v>
      </c>
      <c r="B32" s="733">
        <v>39630</v>
      </c>
      <c r="C32" s="734">
        <v>1050000</v>
      </c>
      <c r="D32" s="735">
        <v>2</v>
      </c>
      <c r="E32" s="734">
        <v>1010000</v>
      </c>
      <c r="F32" s="734"/>
      <c r="G32" s="734"/>
      <c r="H32" s="734">
        <v>15000</v>
      </c>
      <c r="I32" s="1756">
        <f>((E32+F32)-H32)+G32</f>
        <v>995000</v>
      </c>
      <c r="J32" s="734">
        <v>995000</v>
      </c>
      <c r="K32" s="736"/>
    </row>
    <row r="33" spans="1:11" ht="12" customHeight="1" x14ac:dyDescent="0.2">
      <c r="A33" s="732" t="s">
        <v>2084</v>
      </c>
      <c r="B33" s="733">
        <v>41905</v>
      </c>
      <c r="C33" s="734">
        <v>1070000</v>
      </c>
      <c r="D33" s="735">
        <v>3</v>
      </c>
      <c r="E33" s="734">
        <v>1070000</v>
      </c>
      <c r="F33" s="734"/>
      <c r="G33" s="734"/>
      <c r="H33" s="734"/>
      <c r="I33" s="1756">
        <f t="shared" ref="I33:I48" si="1">((E33+F33)-H33)+G33</f>
        <v>1070000</v>
      </c>
      <c r="J33" s="734">
        <v>1070000</v>
      </c>
      <c r="K33" s="736"/>
    </row>
    <row r="34" spans="1:11" ht="12" customHeight="1" x14ac:dyDescent="0.2">
      <c r="A34" s="732" t="s">
        <v>2085</v>
      </c>
      <c r="B34" s="733">
        <v>41821</v>
      </c>
      <c r="C34" s="734">
        <v>72621</v>
      </c>
      <c r="D34" s="735">
        <v>7</v>
      </c>
      <c r="E34" s="734">
        <v>15071</v>
      </c>
      <c r="F34" s="734"/>
      <c r="G34" s="734"/>
      <c r="H34" s="734">
        <v>15071</v>
      </c>
      <c r="I34" s="1756">
        <f t="shared" si="1"/>
        <v>0</v>
      </c>
      <c r="J34" s="734"/>
      <c r="K34" s="737"/>
    </row>
    <row r="35" spans="1:11" ht="12" customHeight="1" x14ac:dyDescent="0.2">
      <c r="A35" s="732" t="s">
        <v>2085</v>
      </c>
      <c r="B35" s="733">
        <v>42401</v>
      </c>
      <c r="C35" s="738">
        <v>95457</v>
      </c>
      <c r="D35" s="735">
        <v>7</v>
      </c>
      <c r="E35" s="738">
        <v>50459</v>
      </c>
      <c r="F35" s="738"/>
      <c r="G35" s="738"/>
      <c r="H35" s="738">
        <v>50459</v>
      </c>
      <c r="I35" s="1756">
        <f t="shared" si="1"/>
        <v>0</v>
      </c>
      <c r="J35" s="738"/>
      <c r="K35" s="737"/>
    </row>
    <row r="36" spans="1:11" ht="12" customHeight="1" x14ac:dyDescent="0.2">
      <c r="A36" s="732" t="s">
        <v>2085</v>
      </c>
      <c r="B36" s="733">
        <v>43525</v>
      </c>
      <c r="C36" s="734">
        <v>134772</v>
      </c>
      <c r="D36" s="735">
        <v>7</v>
      </c>
      <c r="E36" s="734"/>
      <c r="F36" s="734">
        <v>134772</v>
      </c>
      <c r="G36" s="734"/>
      <c r="H36" s="734">
        <v>29104</v>
      </c>
      <c r="I36" s="1756">
        <f t="shared" si="1"/>
        <v>105668</v>
      </c>
      <c r="J36" s="734">
        <v>105668</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3337850</v>
      </c>
      <c r="D49" s="745"/>
      <c r="E49" s="1756">
        <f t="shared" ref="E49:J49" si="2">SUM(E31:E48)</f>
        <v>2295530</v>
      </c>
      <c r="F49" s="1756">
        <f t="shared" si="2"/>
        <v>134772</v>
      </c>
      <c r="G49" s="1756">
        <f t="shared" si="2"/>
        <v>0</v>
      </c>
      <c r="H49" s="1756">
        <f t="shared" si="2"/>
        <v>184634</v>
      </c>
      <c r="I49" s="1756">
        <f t="shared" si="2"/>
        <v>2245668</v>
      </c>
      <c r="J49" s="1756">
        <f t="shared" si="2"/>
        <v>2209485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t="s">
        <v>2086</v>
      </c>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30"/>
      <c r="I1" s="760"/>
      <c r="J1" s="433"/>
    </row>
    <row r="2" spans="1:11" ht="26.25" x14ac:dyDescent="0.2">
      <c r="A2" s="2239" t="s">
        <v>1677</v>
      </c>
      <c r="B2" s="2240"/>
      <c r="C2" s="2240"/>
      <c r="D2" s="2240"/>
      <c r="E2" s="2241"/>
      <c r="F2" s="761" t="s">
        <v>904</v>
      </c>
      <c r="G2" s="762" t="s">
        <v>1674</v>
      </c>
      <c r="H2" s="762" t="s">
        <v>410</v>
      </c>
      <c r="I2" s="762" t="s">
        <v>1158</v>
      </c>
      <c r="J2" s="762" t="s">
        <v>1812</v>
      </c>
      <c r="K2" s="762" t="s">
        <v>138</v>
      </c>
    </row>
    <row r="3" spans="1:11" x14ac:dyDescent="0.2">
      <c r="A3" s="2242" t="s">
        <v>1964</v>
      </c>
      <c r="B3" s="2243"/>
      <c r="C3" s="2243"/>
      <c r="D3" s="2243"/>
      <c r="E3" s="2244"/>
      <c r="F3" s="763"/>
      <c r="G3" s="764"/>
      <c r="H3" s="764"/>
      <c r="I3" s="764"/>
      <c r="J3" s="765"/>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7271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3" t="s">
        <v>1813</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7"/>
      <c r="G12" s="1758">
        <f>SUM(G5:G11)</f>
        <v>0</v>
      </c>
      <c r="H12" s="1758">
        <f>SUM(H5:H11)</f>
        <v>7271</v>
      </c>
      <c r="I12" s="1758">
        <f>SUM(I5:I11)</f>
        <v>0</v>
      </c>
      <c r="J12" s="1758">
        <f>SUM(J5:J11)</f>
        <v>0</v>
      </c>
      <c r="K12" s="1758">
        <f>SUM(K5:K11)</f>
        <v>0</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7271</v>
      </c>
      <c r="I14" s="771"/>
      <c r="J14" s="773"/>
      <c r="K14" s="765"/>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1809</v>
      </c>
      <c r="B19" s="2232"/>
      <c r="C19" s="2232"/>
      <c r="D19" s="2232"/>
      <c r="E19" s="2233"/>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9"/>
      <c r="G21" s="792"/>
      <c r="H21" s="796"/>
      <c r="I21" s="796"/>
      <c r="J21" s="1760">
        <f>SUM(J18:J20)</f>
        <v>0</v>
      </c>
      <c r="K21" s="793"/>
    </row>
    <row r="22" spans="1:11" ht="13.5" thickTop="1" x14ac:dyDescent="0.2">
      <c r="A22" s="2224" t="s">
        <v>1815</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61"/>
      <c r="G23" s="1758">
        <f>SUM(G14:G16,G21,G22)</f>
        <v>0</v>
      </c>
      <c r="H23" s="1758">
        <f>SUM(H14:H16,H21,H22)</f>
        <v>7271</v>
      </c>
      <c r="I23" s="1758">
        <f>SUM(I14:I16,I21,I22)</f>
        <v>0</v>
      </c>
      <c r="J23" s="1758">
        <f>SUM(J14:J16,J21,J22)</f>
        <v>0</v>
      </c>
      <c r="K23" s="1758">
        <f>SUM(K14:K16,K21,K22)</f>
        <v>0</v>
      </c>
    </row>
    <row r="24" spans="1:11" ht="14.25" thickTop="1" thickBot="1" x14ac:dyDescent="0.25">
      <c r="A24" s="2254" t="s">
        <v>1965</v>
      </c>
      <c r="B24" s="2253"/>
      <c r="C24" s="2253"/>
      <c r="D24" s="2253"/>
      <c r="E24" s="225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headings="1"/>
  <pageMargins left="0.35" right="0.17" top="0.83" bottom="0.5" header="0.46"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37" sqref="J3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127186</v>
      </c>
      <c r="D5" s="841"/>
      <c r="E5" s="841"/>
      <c r="F5" s="1760">
        <f>(C5+D5)-E5</f>
        <v>127186</v>
      </c>
      <c r="G5" s="837"/>
      <c r="H5" s="842"/>
      <c r="I5" s="842"/>
      <c r="J5" s="842"/>
      <c r="K5" s="793"/>
      <c r="L5" s="1769">
        <f>F5-K5</f>
        <v>127186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6195381</v>
      </c>
      <c r="D8" s="844"/>
      <c r="E8" s="844"/>
      <c r="F8" s="1760">
        <f>(C8+D8)-E8</f>
        <v>6195381</v>
      </c>
      <c r="G8" s="843">
        <v>50</v>
      </c>
      <c r="H8" s="765">
        <v>1835403</v>
      </c>
      <c r="I8" s="765">
        <v>123908</v>
      </c>
      <c r="J8" s="765"/>
      <c r="K8" s="1769">
        <f>(H8+I8)-J8</f>
        <v>1959311</v>
      </c>
      <c r="L8" s="1769">
        <f>F8-K8</f>
        <v>4236070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422014</v>
      </c>
      <c r="D10" s="846">
        <v>2500</v>
      </c>
      <c r="E10" s="846"/>
      <c r="F10" s="1764">
        <f>(C10+D10)-E10</f>
        <v>424514</v>
      </c>
      <c r="G10" s="843">
        <v>20</v>
      </c>
      <c r="H10" s="847">
        <v>203205</v>
      </c>
      <c r="I10" s="847">
        <v>21226</v>
      </c>
      <c r="J10" s="847"/>
      <c r="K10" s="1769">
        <f>(H10+I10)-J10</f>
        <v>224431</v>
      </c>
      <c r="L10" s="1769">
        <f>F10-K10</f>
        <v>200083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897551</v>
      </c>
      <c r="D12" s="844">
        <v>11932</v>
      </c>
      <c r="E12" s="844"/>
      <c r="F12" s="1760">
        <f>(C12+D12)-E12</f>
        <v>909483</v>
      </c>
      <c r="G12" s="843">
        <v>10</v>
      </c>
      <c r="H12" s="765">
        <v>676590</v>
      </c>
      <c r="I12" s="765">
        <v>90433</v>
      </c>
      <c r="J12" s="765"/>
      <c r="K12" s="1769">
        <f>(H12+I12)-J12</f>
        <v>767023</v>
      </c>
      <c r="L12" s="1769">
        <f>F12-K12</f>
        <v>142460</v>
      </c>
    </row>
    <row r="13" spans="1:14" ht="14.25" thickTop="1" thickBot="1" x14ac:dyDescent="0.25">
      <c r="A13" s="848" t="s">
        <v>1122</v>
      </c>
      <c r="B13" s="840">
        <v>252</v>
      </c>
      <c r="C13" s="844">
        <v>435429</v>
      </c>
      <c r="D13" s="844">
        <v>155375</v>
      </c>
      <c r="E13" s="844">
        <v>72621</v>
      </c>
      <c r="F13" s="1760">
        <f>(C13+D13)-E13</f>
        <v>518183</v>
      </c>
      <c r="G13" s="843">
        <v>5</v>
      </c>
      <c r="H13" s="765">
        <v>355567</v>
      </c>
      <c r="I13" s="765">
        <f>2671+42914</f>
        <v>45585</v>
      </c>
      <c r="J13" s="765">
        <v>68465</v>
      </c>
      <c r="K13" s="1769">
        <f>(H13+I13)-J13</f>
        <v>332687</v>
      </c>
      <c r="L13" s="1769">
        <f>F13-K13</f>
        <v>185496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8077561</v>
      </c>
      <c r="D16" s="1760">
        <f>SUM(D3,D5:D6,D8:D10,D12:D15)</f>
        <v>169807</v>
      </c>
      <c r="E16" s="1760">
        <f>SUM(E3,E5:E6,E8:E10,E12:E15)</f>
        <v>72621</v>
      </c>
      <c r="F16" s="1760">
        <f>SUM(F3,F5:F6,F8:F10,F12:F15)</f>
        <v>8174747</v>
      </c>
      <c r="G16" s="843"/>
      <c r="H16" s="1760">
        <f>SUM(H3,H6,H8:H10,H12:H14,)</f>
        <v>3070765</v>
      </c>
      <c r="I16" s="1760">
        <f>SUM(I3,I6,I8:I10,I12:I14,)</f>
        <v>281152</v>
      </c>
      <c r="J16" s="1760">
        <f>SUM(J3,J6,J8:J10,J12:J14,)</f>
        <v>68465</v>
      </c>
      <c r="K16" s="1760">
        <f>(H16+I16)-J16</f>
        <v>3283452</v>
      </c>
      <c r="L16" s="1760">
        <f>F16-K16</f>
        <v>4891295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22066</v>
      </c>
      <c r="G17" s="837">
        <v>10</v>
      </c>
      <c r="H17" s="769"/>
      <c r="I17" s="1769">
        <f>F17/G17</f>
        <v>2206.6</v>
      </c>
      <c r="J17" s="769"/>
      <c r="K17" s="795"/>
      <c r="L17" s="795"/>
    </row>
    <row r="18" spans="1:12" ht="14.25" thickTop="1" thickBot="1" x14ac:dyDescent="0.25">
      <c r="A18" s="1767" t="s">
        <v>685</v>
      </c>
      <c r="B18" s="1768"/>
      <c r="C18" s="771"/>
      <c r="D18" s="771"/>
      <c r="E18" s="771"/>
      <c r="F18" s="850"/>
      <c r="G18" s="851"/>
      <c r="H18" s="773"/>
      <c r="I18" s="1760">
        <f>SUM(I16,I17)</f>
        <v>283358.59999999998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0"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3149948</v>
      </c>
      <c r="G8" s="865"/>
    </row>
    <row r="9" spans="1:7" x14ac:dyDescent="0.2">
      <c r="A9" s="869" t="s">
        <v>460</v>
      </c>
      <c r="B9" s="870" t="s">
        <v>1877</v>
      </c>
      <c r="C9" s="871"/>
      <c r="D9" s="869" t="s">
        <v>501</v>
      </c>
      <c r="E9" s="868"/>
      <c r="F9" s="1909">
        <f>'Expenditures 15-22'!K151</f>
        <v>112203</v>
      </c>
      <c r="G9" s="872"/>
    </row>
    <row r="10" spans="1:7" x14ac:dyDescent="0.2">
      <c r="A10" s="869" t="s">
        <v>499</v>
      </c>
      <c r="B10" s="870" t="s">
        <v>1878</v>
      </c>
      <c r="C10" s="871"/>
      <c r="D10" s="869" t="s">
        <v>501</v>
      </c>
      <c r="E10" s="868"/>
      <c r="F10" s="1909">
        <f>'Expenditures 15-22'!K174</f>
        <v>201170</v>
      </c>
      <c r="G10" s="872"/>
    </row>
    <row r="11" spans="1:7" x14ac:dyDescent="0.2">
      <c r="A11" s="869" t="s">
        <v>461</v>
      </c>
      <c r="B11" s="870" t="s">
        <v>1879</v>
      </c>
      <c r="C11" s="871"/>
      <c r="D11" s="869" t="s">
        <v>501</v>
      </c>
      <c r="E11" s="868"/>
      <c r="F11" s="1909">
        <f>'Expenditures 15-22'!K210</f>
        <v>292583</v>
      </c>
      <c r="G11" s="872"/>
    </row>
    <row r="12" spans="1:7" x14ac:dyDescent="0.2">
      <c r="A12" s="869" t="s">
        <v>462</v>
      </c>
      <c r="B12" s="870" t="s">
        <v>1880</v>
      </c>
      <c r="C12" s="871"/>
      <c r="D12" s="869" t="s">
        <v>501</v>
      </c>
      <c r="E12" s="868"/>
      <c r="F12" s="1909">
        <f>'Expenditures 15-22'!K295</f>
        <v>168563</v>
      </c>
      <c r="G12" s="872"/>
    </row>
    <row r="13" spans="1:7" x14ac:dyDescent="0.2">
      <c r="A13" s="869" t="s">
        <v>106</v>
      </c>
      <c r="B13" s="870" t="s">
        <v>1881</v>
      </c>
      <c r="C13" s="871"/>
      <c r="D13" s="869" t="s">
        <v>501</v>
      </c>
      <c r="E13" s="868"/>
      <c r="F13" s="1909">
        <f>'Expenditures 15-22'!K342</f>
        <v>176335</v>
      </c>
      <c r="G13" s="873"/>
    </row>
    <row r="14" spans="1:7" ht="12" customHeight="1" thickBot="1" x14ac:dyDescent="0.25">
      <c r="A14" s="1770"/>
      <c r="B14" s="1771"/>
      <c r="C14" s="1772"/>
      <c r="D14" s="1773" t="s">
        <v>501</v>
      </c>
      <c r="E14" s="1774" t="s">
        <v>958</v>
      </c>
      <c r="F14" s="1775">
        <f>SUM(F8:F13)</f>
        <v>4100802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114738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111803</v>
      </c>
      <c r="G53" s="865"/>
    </row>
    <row r="54" spans="1:7" x14ac:dyDescent="0.2">
      <c r="A54" s="869" t="s">
        <v>459</v>
      </c>
      <c r="B54" s="869" t="s">
        <v>1476</v>
      </c>
      <c r="C54" s="889" t="s">
        <v>982</v>
      </c>
      <c r="D54" s="885" t="s">
        <v>1095</v>
      </c>
      <c r="E54" s="868"/>
      <c r="F54" s="1913">
        <f>'Expenditures 15-22'!G114</f>
        <v>20072</v>
      </c>
      <c r="G54" s="865"/>
    </row>
    <row r="55" spans="1:7" x14ac:dyDescent="0.2">
      <c r="A55" s="869" t="s">
        <v>459</v>
      </c>
      <c r="B55" s="869" t="s">
        <v>1477</v>
      </c>
      <c r="C55" s="889" t="s">
        <v>982</v>
      </c>
      <c r="D55" s="885" t="s">
        <v>291</v>
      </c>
      <c r="E55" s="868"/>
      <c r="F55" s="1913">
        <f>'Expenditures 15-22'!I114</f>
        <v>22066</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14432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90000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44175</v>
      </c>
      <c r="G64" s="865"/>
    </row>
    <row r="65" spans="1:8" x14ac:dyDescent="0.2">
      <c r="A65" s="869" t="s">
        <v>461</v>
      </c>
      <c r="B65" s="869" t="s">
        <v>1890</v>
      </c>
      <c r="C65" s="886" t="s">
        <v>982</v>
      </c>
      <c r="D65" s="885" t="s">
        <v>1095</v>
      </c>
      <c r="E65" s="868"/>
      <c r="F65" s="1913">
        <f>'Expenditures 15-22'!G210</f>
        <v>134772</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7126</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559184</v>
      </c>
      <c r="G76" s="865"/>
    </row>
    <row r="77" spans="1:8" s="893" customFormat="1" ht="12" customHeight="1" thickTop="1" thickBot="1" x14ac:dyDescent="0.25">
      <c r="A77" s="1779"/>
      <c r="B77" s="1776"/>
      <c r="C77" s="1772"/>
      <c r="D77" s="1777" t="s">
        <v>1900</v>
      </c>
      <c r="E77" s="1774"/>
      <c r="F77" s="1780">
        <f>(F14-F76)</f>
        <v>3541618</v>
      </c>
      <c r="G77" s="869"/>
    </row>
    <row r="78" spans="1:8" s="893" customFormat="1" ht="12" customHeight="1" thickTop="1" x14ac:dyDescent="0.2">
      <c r="A78" s="1781"/>
      <c r="B78" s="1776"/>
      <c r="C78" s="1772"/>
      <c r="D78" s="1777" t="s">
        <v>2062</v>
      </c>
      <c r="E78" s="1774"/>
      <c r="F78" s="898">
        <v>368.1</v>
      </c>
      <c r="G78" s="899"/>
      <c r="H78" s="869"/>
    </row>
    <row r="79" spans="1:8" s="893" customFormat="1" ht="12" customHeight="1" thickBot="1" x14ac:dyDescent="0.25">
      <c r="A79" s="1782"/>
      <c r="B79" s="1776"/>
      <c r="C79" s="1772"/>
      <c r="D79" s="1777" t="s">
        <v>1901</v>
      </c>
      <c r="E79" s="1774" t="s">
        <v>958</v>
      </c>
      <c r="F79" s="1783">
        <f>IF(F78&gt;0,F77/F78," Complete Line 78")</f>
        <v>9621.3474599293659</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54891</v>
      </c>
      <c r="G94" s="912"/>
    </row>
    <row r="95" spans="1:7" x14ac:dyDescent="0.2">
      <c r="A95" s="908" t="s">
        <v>140</v>
      </c>
      <c r="B95" s="908" t="s">
        <v>175</v>
      </c>
      <c r="C95" s="910">
        <v>1700</v>
      </c>
      <c r="D95" s="918" t="str">
        <f>'Revenues 9-14'!A82</f>
        <v>Total District/School Activity Income</v>
      </c>
      <c r="E95" s="906"/>
      <c r="F95" s="1789">
        <f>SUM('Revenues 9-14'!C82,'Revenues 9-14'!D82)</f>
        <v>25172</v>
      </c>
      <c r="G95" s="912"/>
    </row>
    <row r="96" spans="1:7" x14ac:dyDescent="0.2">
      <c r="A96" s="908" t="s">
        <v>459</v>
      </c>
      <c r="B96" s="908" t="s">
        <v>176</v>
      </c>
      <c r="C96" s="910">
        <f>'Revenues 9-14'!B84</f>
        <v>1811</v>
      </c>
      <c r="D96" s="911" t="str">
        <f>'Revenues 9-14'!A84</f>
        <v>Rentals - Regular Textbooks</v>
      </c>
      <c r="E96" s="906"/>
      <c r="F96" s="1789">
        <f>'Revenues 9-14'!C84</f>
        <v>6150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12766</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14316</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2755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110172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30894</v>
      </c>
      <c r="G124" s="930"/>
    </row>
    <row r="125" spans="1:7" x14ac:dyDescent="0.2">
      <c r="A125" s="927" t="s">
        <v>664</v>
      </c>
      <c r="B125" s="927" t="s">
        <v>2023</v>
      </c>
      <c r="C125" s="932">
        <v>4200</v>
      </c>
      <c r="D125" s="929" t="str">
        <f>'Revenues 9-14'!A198</f>
        <v>Total Food Service</v>
      </c>
      <c r="E125" s="906"/>
      <c r="F125" s="1789">
        <f>SUM('Revenues 9-14'!C198,'Revenues 9-14'!G198)</f>
        <v>149195</v>
      </c>
      <c r="G125" s="930"/>
    </row>
    <row r="126" spans="1:7" x14ac:dyDescent="0.2">
      <c r="A126" s="927" t="s">
        <v>668</v>
      </c>
      <c r="B126" s="927" t="s">
        <v>2024</v>
      </c>
      <c r="C126" s="932">
        <v>4300</v>
      </c>
      <c r="D126" s="933" t="str">
        <f>'Revenues 9-14'!A204</f>
        <v>Total Title I</v>
      </c>
      <c r="E126" s="906"/>
      <c r="F126" s="1789">
        <f>SUM('Revenues 9-14'!C204,'Revenues 9-14'!D204,'Revenues 9-14'!F204,'Revenues 9-14'!G204)</f>
        <v>84451</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5275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8300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134167</v>
      </c>
      <c r="G171" s="927"/>
    </row>
    <row r="172" spans="1:7" x14ac:dyDescent="0.2">
      <c r="A172" s="1918" t="s">
        <v>664</v>
      </c>
      <c r="B172" s="1919" t="s">
        <v>1920</v>
      </c>
      <c r="C172" s="1920">
        <v>3300</v>
      </c>
      <c r="D172" s="1921" t="s">
        <v>1923</v>
      </c>
      <c r="E172" s="906"/>
      <c r="F172" s="1906">
        <v>5900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644404</v>
      </c>
    </row>
    <row r="175" spans="1:7" ht="12" customHeight="1" x14ac:dyDescent="0.2">
      <c r="A175" s="1770"/>
      <c r="B175" s="1784"/>
      <c r="C175" s="1785"/>
      <c r="D175" s="1786" t="s">
        <v>2057</v>
      </c>
      <c r="E175" s="1787"/>
      <c r="F175" s="1789">
        <f>'PCTC-OEPP 27-28'!F77-F174</f>
        <v>2897214</v>
      </c>
    </row>
    <row r="176" spans="1:7" ht="12" customHeight="1" x14ac:dyDescent="0.2">
      <c r="A176" s="1770"/>
      <c r="B176" s="1784"/>
      <c r="C176" s="1785"/>
      <c r="D176" s="1786" t="s">
        <v>1817</v>
      </c>
      <c r="E176" s="1787"/>
      <c r="F176" s="1789">
        <f>'Cap Outlay Deprec 26'!I18</f>
        <v>283358.59999999998</v>
      </c>
    </row>
    <row r="177" spans="1:7" ht="12" customHeight="1" x14ac:dyDescent="0.2">
      <c r="A177" s="1770"/>
      <c r="B177" s="1784"/>
      <c r="C177" s="1785"/>
      <c r="D177" s="1786" t="s">
        <v>2058</v>
      </c>
      <c r="E177" s="1787"/>
      <c r="F177" s="1789">
        <f>F175+F176</f>
        <v>3180572.6</v>
      </c>
    </row>
    <row r="178" spans="1:7" ht="12" customHeight="1" x14ac:dyDescent="0.2">
      <c r="A178" s="1770"/>
      <c r="B178" s="1790"/>
      <c r="C178" s="1785"/>
      <c r="D178" s="1786" t="str">
        <f>D78</f>
        <v>9 Month ADA from District Average Daily Attendance/Prior General State Aid Inquiry 2018-2019</v>
      </c>
      <c r="E178" s="1787"/>
      <c r="F178" s="1791">
        <f>'PCTC-OEPP 27-28'!F78</f>
        <v>368.1</v>
      </c>
      <c r="G178" s="930"/>
    </row>
    <row r="179" spans="1:7" ht="12" customHeight="1" thickBot="1" x14ac:dyDescent="0.25">
      <c r="A179" s="1770"/>
      <c r="B179" s="1790"/>
      <c r="C179" s="1785"/>
      <c r="D179" s="1786" t="s">
        <v>2059</v>
      </c>
      <c r="E179" s="1787" t="s">
        <v>1545</v>
      </c>
      <c r="F179" s="1792">
        <f>F177/F178</f>
        <v>8640.5123607715286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F173" sqref="F17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4" t="s">
        <v>1819</v>
      </c>
      <c r="B6" s="1535"/>
      <c r="C6" s="1535"/>
      <c r="D6" s="1535"/>
      <c r="E6" s="1535"/>
      <c r="F6" s="1535"/>
      <c r="G6" s="1536"/>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7" t="s">
        <v>1820</v>
      </c>
      <c r="B10" s="1538"/>
      <c r="C10" s="1538"/>
      <c r="D10" s="1538"/>
      <c r="E10" s="1538"/>
      <c r="F10" s="1538"/>
      <c r="G10" s="1539"/>
    </row>
    <row r="11" spans="1:7" ht="17.25" customHeight="1" x14ac:dyDescent="0.25">
      <c r="A11" s="2282" t="s">
        <v>1934</v>
      </c>
      <c r="B11" s="2283"/>
      <c r="C11" s="2283"/>
      <c r="D11" s="2283"/>
      <c r="E11" s="2283"/>
      <c r="F11" s="2283"/>
      <c r="G11" s="2284"/>
    </row>
    <row r="12" spans="1:7" ht="15" customHeight="1" x14ac:dyDescent="0.25">
      <c r="A12" s="1537" t="s">
        <v>1825</v>
      </c>
      <c r="B12" s="1538"/>
      <c r="C12" s="1538"/>
      <c r="D12" s="1538"/>
      <c r="E12" s="1538"/>
      <c r="F12" s="1538"/>
      <c r="G12" s="1539"/>
    </row>
    <row r="13" spans="1:7" ht="32.25" customHeight="1" x14ac:dyDescent="0.25">
      <c r="A13" s="2273" t="s">
        <v>1976</v>
      </c>
      <c r="B13" s="2274"/>
      <c r="C13" s="2274"/>
      <c r="D13" s="2274"/>
      <c r="E13" s="2274"/>
      <c r="F13" s="2274"/>
      <c r="G13" s="2275"/>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 right="0.7" top="0.5" bottom="0.25" header="0.3" footer="0.3"/>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87389</v>
      </c>
      <c r="F10" s="974"/>
      <c r="G10" s="975"/>
      <c r="H10" s="162"/>
      <c r="I10" s="162"/>
    </row>
    <row r="11" spans="1:9" s="668" customFormat="1" ht="22.5" customHeight="1" x14ac:dyDescent="0.2">
      <c r="A11" s="2293" t="s">
        <v>1977</v>
      </c>
      <c r="B11" s="2294"/>
      <c r="C11" s="2294"/>
      <c r="D11" s="2295"/>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2228204</v>
      </c>
      <c r="F19" s="1799"/>
      <c r="G19" s="1801">
        <f>'Expenditures 15-22'!K33-SUM('Expenditures 15-22'!G33,'Expenditures 15-22'!I33)+'Expenditures 15-22'!D229</f>
        <v>2228204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206295</v>
      </c>
      <c r="F21" s="1802"/>
      <c r="G21" s="1805">
        <f>'Expenditures 15-22'!K42-SUM('Expenditures 15-22'!G42,'Expenditures 15-22'!I42)+'Expenditures 15-22'!K120-SUM('Expenditures 15-22'!G120,'Expenditures 15-22'!I120)+'Expenditures 15-22'!K180-SUM('Expenditures 15-22'!G180,'Expenditures 15-22'!I180)+'Expenditures 15-22'!D238</f>
        <v>206295</v>
      </c>
      <c r="H21" s="987"/>
      <c r="I21" s="162"/>
    </row>
    <row r="22" spans="1:9" s="668" customFormat="1" ht="12" customHeight="1" x14ac:dyDescent="0.2">
      <c r="A22" s="994" t="s">
        <v>564</v>
      </c>
      <c r="B22" s="995"/>
      <c r="C22" s="993">
        <v>2200</v>
      </c>
      <c r="D22" s="1802"/>
      <c r="E22" s="1804">
        <f>'Expenditures 15-22'!K47-SUM('Expenditures 15-22'!G47,'Expenditures 15-22'!I47)+'Expenditures 15-22'!D243</f>
        <v>48688</v>
      </c>
      <c r="F22" s="1802"/>
      <c r="G22" s="1805">
        <f>'Expenditures 15-22'!K47-SUM('Expenditures 15-22'!G47,'Expenditures 15-22'!I47)+'Expenditures 15-22'!D243</f>
        <v>48688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344545</v>
      </c>
      <c r="F23" s="1802"/>
      <c r="G23" s="1804">
        <f>'Expenditures 15-22'!K53-SUM('Expenditures 15-22'!G53,'Expenditures 15-22'!I53)+'Expenditures 15-22'!D257+'Expenditures 15-22'!K330-SUM('Expenditures 15-22'!G330,'Expenditures 15-22'!I330)</f>
        <v>344545</v>
      </c>
      <c r="H23" s="987"/>
      <c r="I23" s="162"/>
    </row>
    <row r="24" spans="1:9" s="668" customFormat="1" ht="12" customHeight="1" x14ac:dyDescent="0.2">
      <c r="A24" s="994" t="s">
        <v>566</v>
      </c>
      <c r="B24" s="995"/>
      <c r="C24" s="993">
        <v>2400</v>
      </c>
      <c r="D24" s="1802"/>
      <c r="E24" s="1804">
        <f>'Expenditures 15-22'!K57-SUM('Expenditures 15-22'!G57,'Expenditures 15-22'!I57)+'Expenditures 15-22'!D261</f>
        <v>95380</v>
      </c>
      <c r="F24" s="1802"/>
      <c r="G24" s="1805">
        <f>'Expenditures 15-22'!K57-SUM('Expenditures 15-22'!G57,'Expenditures 15-22'!I57)+'Expenditures 15-22'!D261</f>
        <v>95380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71294</v>
      </c>
      <c r="E27" s="1804">
        <f>E8</f>
        <v>0</v>
      </c>
      <c r="F27" s="1804">
        <f>'Expenditures 15-22'!K60-SUM('Expenditures 15-22'!G60,'Expenditures 15-22'!I60)+'Expenditures 15-22'!D264-E8</f>
        <v>71294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248414</v>
      </c>
      <c r="F28" s="1806">
        <f>'Expenditures 15-22'!K61-SUM('Expenditures 15-22'!G61,'Expenditures 15-22'!I61)+'Expenditures 15-22'!K124-SUM('Expenditures 15-22'!G124,'Expenditures 15-22'!I124)+'Expenditures 15-22'!D266-E9</f>
        <v>248414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125374</v>
      </c>
      <c r="F29" s="1802"/>
      <c r="G29" s="1805">
        <f>'Expenditures 15-22'!K62-SUM('Expenditures 15-22'!G62,'Expenditures 15-22'!I62)+'Expenditures 15-22'!K125-SUM('Expenditures 15-22'!G125,'Expenditures 15-22'!I125)+'Expenditures 15-22'!K182-SUM('Expenditures 15-22'!G182,'Expenditures 15-22'!I182)+'Expenditures 15-22'!D267</f>
        <v>125374</v>
      </c>
      <c r="H29" s="985"/>
    </row>
    <row r="30" spans="1:9" ht="12" customHeight="1" x14ac:dyDescent="0.2">
      <c r="A30" s="994" t="s">
        <v>100</v>
      </c>
      <c r="B30" s="997"/>
      <c r="C30" s="993">
        <v>2560</v>
      </c>
      <c r="D30" s="1802"/>
      <c r="E30" s="1804">
        <f>'Expenditures 15-22'!K63-SUM('Expenditures 15-22'!G63,'Expenditures 15-22'!I63)+'Expenditures 15-22'!D268-E10</f>
        <v>96168</v>
      </c>
      <c r="F30" s="1802"/>
      <c r="G30" s="1804">
        <f>'Expenditures 15-22'!K63-SUM('Expenditures 15-22'!G63,'Expenditures 15-22'!I63)+'Expenditures 15-22'!D268-E10</f>
        <v>96168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71294</v>
      </c>
      <c r="E41" s="1806">
        <f>SUM(E19:E40)</f>
        <v>3393068</v>
      </c>
      <c r="F41" s="1806">
        <f>SUM(F19:F39)</f>
        <v>319708</v>
      </c>
      <c r="G41" s="1806">
        <f>SUM(G19:G40)</f>
        <v>3144654</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71294</v>
      </c>
      <c r="F43" s="1807" t="s">
        <v>473</v>
      </c>
      <c r="G43" s="1808">
        <f>F41</f>
        <v>319708</v>
      </c>
    </row>
    <row r="44" spans="1:7" ht="12" customHeight="1" x14ac:dyDescent="0.2">
      <c r="A44" s="987"/>
      <c r="B44" s="162"/>
      <c r="C44" s="1001"/>
      <c r="D44" s="1807" t="s">
        <v>474</v>
      </c>
      <c r="E44" s="1808">
        <f>E41</f>
        <v>3393068</v>
      </c>
      <c r="F44" s="1807" t="s">
        <v>474</v>
      </c>
      <c r="G44" s="1808">
        <f>G41</f>
        <v>3144654</v>
      </c>
    </row>
    <row r="45" spans="1:7" ht="12" customHeight="1" x14ac:dyDescent="0.2">
      <c r="A45" s="987"/>
      <c r="B45" s="162"/>
      <c r="C45" s="162"/>
      <c r="D45" s="1809" t="s">
        <v>1006</v>
      </c>
      <c r="E45" s="1810">
        <f>(E43/E44)</f>
        <v>2.1011662601515796E-2</v>
      </c>
      <c r="F45" s="1809" t="s">
        <v>1006</v>
      </c>
      <c r="G45" s="1810">
        <f>(G43/G44)</f>
        <v>0.10166714684668011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5" header="0.42" footer="0.42"/>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F28" sqref="F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0" t="s">
        <v>1379</v>
      </c>
      <c r="B1" s="2310"/>
      <c r="C1" s="2310"/>
      <c r="D1" s="2310"/>
      <c r="E1" s="2310"/>
      <c r="F1" s="231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1" t="s">
        <v>1546</v>
      </c>
      <c r="B5" s="2312"/>
      <c r="C5" s="2313"/>
      <c r="D5" s="2313"/>
      <c r="E5" s="2313"/>
      <c r="F5" s="2313"/>
    </row>
    <row r="6" spans="1:10" ht="12" customHeight="1" x14ac:dyDescent="0.25">
      <c r="A6" s="1850"/>
      <c r="B6" s="1851"/>
      <c r="C6" s="2314" t="str">
        <f>COVER!A17</f>
        <v>Vienna SD 55</v>
      </c>
      <c r="D6" s="2314"/>
      <c r="E6" s="2314"/>
      <c r="F6" s="1852"/>
    </row>
    <row r="7" spans="1:10" ht="11.25" customHeight="1" thickBot="1" x14ac:dyDescent="0.3">
      <c r="A7" s="1850"/>
      <c r="B7" s="1851"/>
      <c r="C7" s="2315">
        <f>COVER!A13</f>
        <v>21044055002</v>
      </c>
      <c r="D7" s="2315"/>
      <c r="E7" s="231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2087</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6"/>
      <c r="B43" s="2297"/>
      <c r="C43" s="2297"/>
      <c r="D43" s="2297"/>
      <c r="E43" s="2297"/>
      <c r="F43" s="2298"/>
      <c r="H43" s="1879"/>
      <c r="I43" s="1879"/>
      <c r="J43" s="1879"/>
      <c r="K43" s="1879"/>
    </row>
    <row r="44" spans="1:11" s="1870" customFormat="1" ht="12" hidden="1" customHeight="1" x14ac:dyDescent="0.25">
      <c r="A44" s="2296"/>
      <c r="B44" s="2297"/>
      <c r="C44" s="2297"/>
      <c r="D44" s="2297"/>
      <c r="E44" s="2297"/>
      <c r="F44" s="229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headings="1"/>
  <pageMargins left="0.3" right="0.2" top="0.68" bottom="0.62" header="0.17" footer="0.42"/>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5" colorId="8" zoomScale="110" zoomScaleNormal="110" workbookViewId="0">
      <selection activeCell="E11" sqref="E1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Vienna SD 55</v>
      </c>
      <c r="J6" s="2324"/>
      <c r="Q6" s="1664"/>
    </row>
    <row r="7" spans="1:17" x14ac:dyDescent="0.2">
      <c r="A7" s="2325" t="s">
        <v>869</v>
      </c>
      <c r="B7" s="2326"/>
      <c r="C7" s="2326"/>
      <c r="D7" s="2326"/>
      <c r="E7" s="2327"/>
      <c r="F7" s="1017"/>
      <c r="G7" s="1009"/>
      <c r="H7" s="1016" t="s">
        <v>372</v>
      </c>
      <c r="I7" s="2328">
        <f>COVER!A13</f>
        <v>21044055002</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127683</v>
      </c>
      <c r="F12" s="1039"/>
      <c r="G12" s="1811">
        <f t="shared" ref="G12:G18" si="0">SUM(E12:F12)</f>
        <v>127683</v>
      </c>
      <c r="H12" s="1040">
        <v>117452</v>
      </c>
      <c r="I12" s="1039"/>
      <c r="J12" s="1811">
        <f t="shared" ref="J12:J18" si="1">SUM(H12:I12)</f>
        <v>117452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127683</v>
      </c>
      <c r="F19" s="1813">
        <f t="shared" si="2"/>
        <v>0</v>
      </c>
      <c r="G19" s="1813">
        <f t="shared" si="2"/>
        <v>127683</v>
      </c>
      <c r="H19" s="1813">
        <f t="shared" si="2"/>
        <v>117452</v>
      </c>
      <c r="I19" s="1813">
        <f t="shared" si="2"/>
        <v>0</v>
      </c>
      <c r="J19" s="1813">
        <f t="shared" si="2"/>
        <v>117452</v>
      </c>
    </row>
    <row r="20" spans="1:10" ht="13.5" thickTop="1" x14ac:dyDescent="0.2">
      <c r="A20" s="1035">
        <v>9</v>
      </c>
      <c r="B20" s="2335" t="s">
        <v>1981</v>
      </c>
      <c r="C20" s="2335"/>
      <c r="D20" s="2336"/>
      <c r="E20" s="1046"/>
      <c r="F20" s="1046"/>
      <c r="G20" s="1046"/>
      <c r="H20" s="1046"/>
      <c r="I20" s="1046"/>
      <c r="J20" s="1814">
        <f>IF(AND(G19&gt;0,J19&gt;0),(((J19-G19)/G19)),"Enter Budget Data")</f>
        <v>-8.0128129821511088E-2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J56"/>
  <sheetViews>
    <sheetView showGridLines="0" topLeftCell="A25" zoomScale="110" zoomScaleNormal="110" zoomScaleSheetLayoutView="70" workbookViewId="0"/>
  </sheetViews>
  <sheetFormatPr defaultRowHeight="12.75" x14ac:dyDescent="0.2"/>
  <cols>
    <col min="1" max="1" width="4" style="329" customWidth="1"/>
    <col min="2" max="2" width="18.28515625" style="329" customWidth="1"/>
    <col min="3" max="3" width="3.140625" style="329" customWidth="1"/>
    <col min="4" max="4" width="9.140625" style="329"/>
    <col min="5" max="5" width="2.85546875" style="329" customWidth="1"/>
    <col min="6" max="6" width="10.85546875" style="329" bestFit="1" customWidth="1"/>
    <col min="7" max="7" width="3.140625" style="329" customWidth="1"/>
    <col min="8" max="8" width="31.28515625" style="329" bestFit="1" customWidth="1"/>
    <col min="9" max="9" width="2.7109375" style="329" customWidth="1"/>
    <col min="10" max="10" width="10.42578125" style="329" bestFit="1" customWidth="1"/>
    <col min="11" max="16384" width="9.140625" style="329"/>
  </cols>
  <sheetData>
    <row r="2" spans="1:10" x14ac:dyDescent="0.2">
      <c r="A2" s="389" t="s">
        <v>258</v>
      </c>
    </row>
    <row r="3" spans="1:10" x14ac:dyDescent="0.2">
      <c r="A3" s="329" t="s">
        <v>259</v>
      </c>
    </row>
    <row r="5" spans="1:10" x14ac:dyDescent="0.2">
      <c r="A5" s="1068"/>
      <c r="B5" s="1940" t="s">
        <v>2088</v>
      </c>
      <c r="C5" s="1939"/>
      <c r="D5" s="1940" t="s">
        <v>1077</v>
      </c>
      <c r="E5" s="1939"/>
      <c r="F5" s="1940" t="s">
        <v>2089</v>
      </c>
      <c r="G5" s="1939"/>
      <c r="H5" s="1940" t="s">
        <v>481</v>
      </c>
      <c r="I5" s="1939"/>
      <c r="J5" s="1940" t="s">
        <v>865</v>
      </c>
    </row>
    <row r="6" spans="1:10" ht="15" x14ac:dyDescent="0.35">
      <c r="A6" s="1069">
        <v>1</v>
      </c>
      <c r="B6" s="1939">
        <v>190</v>
      </c>
      <c r="C6" s="1939"/>
      <c r="D6" s="1939">
        <v>10</v>
      </c>
      <c r="E6" s="1939"/>
      <c r="F6" s="1939"/>
      <c r="G6" s="391"/>
      <c r="H6" s="391" t="s">
        <v>2090</v>
      </c>
      <c r="J6" s="1942">
        <v>457</v>
      </c>
    </row>
    <row r="7" spans="1:10" x14ac:dyDescent="0.2">
      <c r="A7" s="1069"/>
      <c r="G7" s="391"/>
      <c r="H7" s="391"/>
    </row>
    <row r="8" spans="1:10" ht="15" x14ac:dyDescent="0.35">
      <c r="A8" s="1069">
        <v>2</v>
      </c>
      <c r="B8" s="1939">
        <v>1290</v>
      </c>
      <c r="C8" s="1939"/>
      <c r="D8" s="1939">
        <v>10</v>
      </c>
      <c r="E8" s="1939"/>
      <c r="F8" s="1939"/>
      <c r="G8" s="391"/>
      <c r="H8" s="391" t="s">
        <v>2091</v>
      </c>
      <c r="J8" s="1942">
        <v>2521</v>
      </c>
    </row>
    <row r="9" spans="1:10" ht="15" x14ac:dyDescent="0.35">
      <c r="A9" s="1069"/>
      <c r="B9" s="1939"/>
      <c r="C9" s="1939"/>
      <c r="D9" s="1939"/>
      <c r="E9" s="1939"/>
      <c r="F9" s="1939"/>
      <c r="G9" s="391"/>
      <c r="H9" s="391"/>
      <c r="J9" s="1942"/>
    </row>
    <row r="10" spans="1:10" ht="15" x14ac:dyDescent="0.35">
      <c r="A10" s="1069">
        <v>3</v>
      </c>
      <c r="B10" s="1939">
        <v>1290</v>
      </c>
      <c r="C10" s="1939"/>
      <c r="D10" s="1939">
        <v>20</v>
      </c>
      <c r="E10" s="1939"/>
      <c r="F10" s="1939"/>
      <c r="G10" s="391"/>
      <c r="H10" s="391" t="s">
        <v>2091</v>
      </c>
      <c r="J10" s="1942">
        <v>637</v>
      </c>
    </row>
    <row r="11" spans="1:10" ht="15" x14ac:dyDescent="0.35">
      <c r="A11" s="1069"/>
      <c r="B11" s="1939"/>
      <c r="C11" s="1939"/>
      <c r="D11" s="1939"/>
      <c r="E11" s="1939"/>
      <c r="F11" s="1939"/>
      <c r="G11" s="391"/>
      <c r="H11" s="391"/>
      <c r="J11" s="1942"/>
    </row>
    <row r="12" spans="1:10" ht="15" x14ac:dyDescent="0.35">
      <c r="A12" s="1069">
        <v>4</v>
      </c>
      <c r="B12" s="1939">
        <v>1290</v>
      </c>
      <c r="C12" s="1939"/>
      <c r="D12" s="1939">
        <v>30</v>
      </c>
      <c r="E12" s="1939"/>
      <c r="F12" s="1939"/>
      <c r="G12" s="391"/>
      <c r="H12" s="391" t="s">
        <v>2091</v>
      </c>
      <c r="J12" s="1942">
        <v>1445</v>
      </c>
    </row>
    <row r="13" spans="1:10" ht="15" x14ac:dyDescent="0.35">
      <c r="A13" s="1069"/>
      <c r="B13" s="1939"/>
      <c r="C13" s="1939"/>
      <c r="D13" s="1939"/>
      <c r="E13" s="1939"/>
      <c r="F13" s="1939"/>
      <c r="G13" s="391"/>
      <c r="H13" s="391"/>
      <c r="J13" s="1942"/>
    </row>
    <row r="14" spans="1:10" ht="15" x14ac:dyDescent="0.35">
      <c r="A14" s="1069">
        <v>5</v>
      </c>
      <c r="B14" s="1939">
        <v>1290</v>
      </c>
      <c r="C14" s="1939"/>
      <c r="D14" s="1939">
        <v>40</v>
      </c>
      <c r="E14" s="1939"/>
      <c r="F14" s="1939"/>
      <c r="G14" s="391"/>
      <c r="H14" s="391" t="s">
        <v>2091</v>
      </c>
      <c r="J14" s="1942">
        <v>306</v>
      </c>
    </row>
    <row r="15" spans="1:10" ht="15" x14ac:dyDescent="0.35">
      <c r="A15" s="1069"/>
      <c r="B15" s="1939"/>
      <c r="C15" s="1939"/>
      <c r="D15" s="1939"/>
      <c r="E15" s="1939"/>
      <c r="F15" s="1939"/>
      <c r="G15" s="391"/>
      <c r="H15" s="391"/>
      <c r="J15" s="1942"/>
    </row>
    <row r="16" spans="1:10" ht="15" x14ac:dyDescent="0.35">
      <c r="A16" s="1069">
        <v>6</v>
      </c>
      <c r="B16" s="1939">
        <v>1290</v>
      </c>
      <c r="C16" s="1939"/>
      <c r="D16" s="1939">
        <v>50</v>
      </c>
      <c r="E16" s="1939"/>
      <c r="F16" s="1939"/>
      <c r="G16" s="391"/>
      <c r="H16" s="391" t="s">
        <v>2091</v>
      </c>
      <c r="I16" s="391"/>
      <c r="J16" s="1942">
        <v>1021</v>
      </c>
    </row>
    <row r="17" spans="1:10" ht="15" x14ac:dyDescent="0.35">
      <c r="A17" s="1069"/>
      <c r="B17" s="1939"/>
      <c r="C17" s="1939"/>
      <c r="D17" s="1939"/>
      <c r="E17" s="1939"/>
      <c r="F17" s="1939"/>
      <c r="G17" s="391"/>
      <c r="H17" s="391"/>
      <c r="J17" s="1942"/>
    </row>
    <row r="18" spans="1:10" ht="15" x14ac:dyDescent="0.35">
      <c r="A18" s="1069">
        <v>7</v>
      </c>
      <c r="B18" s="1939">
        <v>1290</v>
      </c>
      <c r="C18" s="1939"/>
      <c r="D18" s="1939">
        <v>70</v>
      </c>
      <c r="E18" s="1939"/>
      <c r="F18" s="1939"/>
      <c r="G18" s="391"/>
      <c r="H18" s="391" t="s">
        <v>2091</v>
      </c>
      <c r="J18" s="1942">
        <v>127</v>
      </c>
    </row>
    <row r="19" spans="1:10" ht="15" x14ac:dyDescent="0.35">
      <c r="A19" s="1069"/>
      <c r="B19" s="1939"/>
      <c r="C19" s="1939"/>
      <c r="D19" s="1939"/>
      <c r="E19" s="1939"/>
      <c r="F19" s="1939"/>
      <c r="G19" s="391"/>
      <c r="H19" s="391"/>
      <c r="J19" s="1942"/>
    </row>
    <row r="20" spans="1:10" ht="15" x14ac:dyDescent="0.35">
      <c r="A20" s="1069">
        <v>8</v>
      </c>
      <c r="B20" s="1939">
        <v>1290</v>
      </c>
      <c r="C20" s="1939"/>
      <c r="D20" s="1939">
        <v>80</v>
      </c>
      <c r="E20" s="1939"/>
      <c r="F20" s="1939"/>
      <c r="G20" s="391"/>
      <c r="H20" s="391" t="s">
        <v>2091</v>
      </c>
      <c r="J20" s="1942">
        <v>1225</v>
      </c>
    </row>
    <row r="21" spans="1:10" x14ac:dyDescent="0.2">
      <c r="A21" s="1069"/>
      <c r="B21" s="1939"/>
      <c r="C21" s="1939"/>
      <c r="D21" s="1939"/>
      <c r="E21" s="1939"/>
      <c r="F21" s="1939"/>
      <c r="G21" s="391"/>
      <c r="H21" s="391"/>
    </row>
    <row r="22" spans="1:10" ht="15" x14ac:dyDescent="0.35">
      <c r="A22" s="1943">
        <v>9</v>
      </c>
      <c r="B22" s="1939">
        <v>1614</v>
      </c>
      <c r="C22" s="1939"/>
      <c r="D22" s="1939">
        <v>10</v>
      </c>
      <c r="E22" s="1939"/>
      <c r="F22" s="1939"/>
      <c r="G22" s="391"/>
      <c r="H22" s="391" t="s">
        <v>2092</v>
      </c>
      <c r="J22" s="1942">
        <v>52</v>
      </c>
    </row>
    <row r="23" spans="1:10" ht="15" x14ac:dyDescent="0.35">
      <c r="A23" s="1069"/>
      <c r="B23" s="1939"/>
      <c r="C23" s="1939"/>
      <c r="D23" s="1939"/>
      <c r="E23" s="1939"/>
      <c r="F23" s="1939"/>
      <c r="G23" s="391"/>
      <c r="H23" s="391"/>
      <c r="J23" s="1942"/>
    </row>
    <row r="24" spans="1:10" ht="15" x14ac:dyDescent="0.35">
      <c r="A24" s="1069">
        <v>10</v>
      </c>
      <c r="B24" s="1939">
        <v>1690</v>
      </c>
      <c r="C24" s="1939"/>
      <c r="D24" s="1939">
        <v>10</v>
      </c>
      <c r="E24" s="1939"/>
      <c r="F24" s="1939"/>
      <c r="G24" s="391"/>
      <c r="H24" s="391" t="s">
        <v>2093</v>
      </c>
      <c r="J24" s="1942">
        <v>50</v>
      </c>
    </row>
    <row r="25" spans="1:10" x14ac:dyDescent="0.2">
      <c r="A25" s="1069"/>
      <c r="B25" s="1939"/>
      <c r="C25" s="1939"/>
      <c r="D25" s="1939"/>
      <c r="E25" s="1939"/>
      <c r="F25" s="1939"/>
      <c r="G25" s="391"/>
      <c r="H25" s="391"/>
    </row>
    <row r="26" spans="1:10" ht="15" x14ac:dyDescent="0.35">
      <c r="A26" s="1069">
        <v>11</v>
      </c>
      <c r="B26" s="1939">
        <v>1790</v>
      </c>
      <c r="C26" s="1939"/>
      <c r="D26" s="1939">
        <v>10</v>
      </c>
      <c r="E26" s="1939"/>
      <c r="F26" s="1939"/>
      <c r="G26" s="391"/>
      <c r="H26" s="391" t="s">
        <v>2095</v>
      </c>
      <c r="J26" s="1942">
        <v>12152</v>
      </c>
    </row>
    <row r="27" spans="1:10" x14ac:dyDescent="0.2">
      <c r="A27" s="1069"/>
      <c r="B27" s="1939"/>
      <c r="C27" s="1939"/>
      <c r="D27" s="1939"/>
      <c r="E27" s="1939"/>
      <c r="F27" s="1939"/>
      <c r="G27" s="391"/>
      <c r="H27" s="391"/>
    </row>
    <row r="28" spans="1:10" ht="15" x14ac:dyDescent="0.35">
      <c r="A28" s="1069">
        <v>12</v>
      </c>
      <c r="B28" s="1939">
        <v>1999</v>
      </c>
      <c r="C28" s="1939"/>
      <c r="D28" s="1939">
        <v>10</v>
      </c>
      <c r="E28" s="1939"/>
      <c r="F28" s="1939"/>
      <c r="G28" s="391"/>
      <c r="H28" s="391" t="s">
        <v>2094</v>
      </c>
      <c r="J28" s="1942">
        <v>3522</v>
      </c>
    </row>
    <row r="29" spans="1:10" ht="15" x14ac:dyDescent="0.35">
      <c r="A29" s="1069"/>
      <c r="B29" s="1939"/>
      <c r="C29" s="1939"/>
      <c r="D29" s="1939"/>
      <c r="E29" s="1939"/>
      <c r="F29" s="1939"/>
      <c r="G29" s="391"/>
      <c r="H29" s="391"/>
      <c r="J29" s="1942"/>
    </row>
    <row r="30" spans="1:10" ht="15" x14ac:dyDescent="0.35">
      <c r="A30" s="1069">
        <v>13</v>
      </c>
      <c r="B30" s="1939">
        <v>1999</v>
      </c>
      <c r="C30" s="1939"/>
      <c r="D30" s="1939">
        <v>40</v>
      </c>
      <c r="E30" s="1939"/>
      <c r="F30" s="1939"/>
      <c r="G30" s="391"/>
      <c r="H30" s="391" t="s">
        <v>2094</v>
      </c>
      <c r="J30" s="1942">
        <v>64</v>
      </c>
    </row>
    <row r="31" spans="1:10" x14ac:dyDescent="0.2">
      <c r="A31" s="1069"/>
      <c r="B31" s="1939"/>
      <c r="C31" s="1939"/>
      <c r="D31" s="1939"/>
      <c r="E31" s="1939"/>
      <c r="F31" s="1939"/>
      <c r="G31" s="391"/>
      <c r="H31" s="391"/>
    </row>
    <row r="32" spans="1:10" x14ac:dyDescent="0.2">
      <c r="A32" s="1069">
        <v>14</v>
      </c>
      <c r="B32" s="1939">
        <v>2190</v>
      </c>
      <c r="C32" s="1939"/>
      <c r="D32" s="1939">
        <v>10</v>
      </c>
      <c r="E32" s="1939"/>
      <c r="F32" s="1939">
        <v>100</v>
      </c>
      <c r="G32" s="391"/>
      <c r="H32" s="391" t="s">
        <v>2096</v>
      </c>
      <c r="J32" s="1941">
        <v>64360</v>
      </c>
    </row>
    <row r="33" spans="1:10" x14ac:dyDescent="0.2">
      <c r="A33" s="1069"/>
      <c r="B33" s="1939"/>
      <c r="C33" s="1939"/>
      <c r="D33" s="1939"/>
      <c r="E33" s="1939"/>
      <c r="F33" s="1939">
        <v>400</v>
      </c>
      <c r="G33" s="391"/>
      <c r="H33" s="391" t="s">
        <v>2097</v>
      </c>
      <c r="J33" s="1944">
        <v>7898</v>
      </c>
    </row>
    <row r="34" spans="1:10" ht="15" x14ac:dyDescent="0.35">
      <c r="A34" s="1069"/>
      <c r="B34" s="1939"/>
      <c r="C34" s="1939"/>
      <c r="D34" s="1939"/>
      <c r="E34" s="1939"/>
      <c r="F34" s="1939"/>
      <c r="G34" s="391"/>
      <c r="H34" s="391"/>
      <c r="J34" s="1942">
        <f>J33+J32</f>
        <v>72258</v>
      </c>
    </row>
    <row r="35" spans="1:10" x14ac:dyDescent="0.2">
      <c r="A35" s="1069"/>
      <c r="B35" s="1939"/>
      <c r="C35" s="1939"/>
      <c r="D35" s="1939"/>
      <c r="E35" s="1939"/>
      <c r="F35" s="1939"/>
      <c r="G35" s="391"/>
      <c r="H35" s="391"/>
    </row>
    <row r="36" spans="1:10" ht="15" x14ac:dyDescent="0.35">
      <c r="A36" s="1069">
        <v>15</v>
      </c>
      <c r="B36" s="1939">
        <v>5400</v>
      </c>
      <c r="C36" s="1939"/>
      <c r="D36" s="1939">
        <v>30</v>
      </c>
      <c r="E36" s="1939"/>
      <c r="F36" s="1939">
        <v>600</v>
      </c>
      <c r="G36" s="391"/>
      <c r="H36" s="391" t="s">
        <v>2098</v>
      </c>
      <c r="J36" s="1942">
        <v>3105</v>
      </c>
    </row>
    <row r="37" spans="1:10" x14ac:dyDescent="0.2">
      <c r="A37" s="1069"/>
      <c r="B37" s="1939"/>
      <c r="C37" s="1939"/>
      <c r="D37" s="1939"/>
      <c r="E37" s="1939"/>
      <c r="F37" s="1939"/>
      <c r="G37" s="391"/>
      <c r="H37" s="391"/>
    </row>
    <row r="38" spans="1:10" x14ac:dyDescent="0.2">
      <c r="A38" s="1069">
        <v>16</v>
      </c>
      <c r="B38" s="1939">
        <v>2190</v>
      </c>
      <c r="C38" s="1939"/>
      <c r="D38" s="1939">
        <v>50</v>
      </c>
      <c r="E38" s="1939"/>
      <c r="F38" s="1939">
        <v>200</v>
      </c>
      <c r="G38" s="391"/>
      <c r="H38" s="391" t="s">
        <v>2099</v>
      </c>
      <c r="J38" s="1945">
        <v>12847</v>
      </c>
    </row>
    <row r="39" spans="1:10" x14ac:dyDescent="0.2">
      <c r="A39" s="1069"/>
      <c r="B39" s="1939"/>
      <c r="C39" s="1939"/>
      <c r="D39" s="1939"/>
      <c r="E39" s="1939"/>
      <c r="F39" s="1939"/>
      <c r="G39" s="391"/>
      <c r="H39" s="391"/>
    </row>
    <row r="40" spans="1:10" x14ac:dyDescent="0.2">
      <c r="A40" s="1946" t="s">
        <v>2102</v>
      </c>
      <c r="B40" s="1939"/>
      <c r="C40" s="1939"/>
      <c r="D40" s="1939"/>
      <c r="E40" s="1939"/>
      <c r="F40" s="1939"/>
      <c r="G40" s="391"/>
      <c r="H40" s="391"/>
    </row>
    <row r="41" spans="1:10" x14ac:dyDescent="0.2">
      <c r="A41" s="1069"/>
      <c r="B41" s="1939"/>
      <c r="C41" s="1939"/>
      <c r="D41" s="1939"/>
      <c r="E41" s="1939"/>
      <c r="F41" s="1939"/>
      <c r="G41" s="391"/>
      <c r="H41" s="391"/>
    </row>
    <row r="42" spans="1:10" x14ac:dyDescent="0.2">
      <c r="A42" s="1069">
        <v>1</v>
      </c>
      <c r="B42" s="391" t="s">
        <v>2100</v>
      </c>
      <c r="C42" s="1939"/>
      <c r="D42" s="1939"/>
      <c r="E42" s="1939"/>
      <c r="F42" s="1939"/>
      <c r="G42" s="391"/>
      <c r="H42" s="391"/>
    </row>
    <row r="43" spans="1:10" x14ac:dyDescent="0.2">
      <c r="A43" s="1069"/>
      <c r="B43" s="391" t="s">
        <v>2101</v>
      </c>
      <c r="C43" s="1939"/>
      <c r="D43" s="1939"/>
      <c r="E43" s="1939"/>
      <c r="F43" s="1939"/>
      <c r="G43" s="391"/>
      <c r="H43" s="391"/>
    </row>
    <row r="44" spans="1:10" x14ac:dyDescent="0.2">
      <c r="A44" s="1069"/>
      <c r="B44" s="1939"/>
      <c r="C44" s="1939"/>
      <c r="D44" s="1939"/>
      <c r="E44" s="1939"/>
      <c r="F44" s="1939"/>
      <c r="G44" s="391"/>
      <c r="H44" s="391"/>
    </row>
    <row r="45" spans="1:10" x14ac:dyDescent="0.2">
      <c r="A45" s="1069">
        <v>2</v>
      </c>
      <c r="B45" s="391" t="s">
        <v>2142</v>
      </c>
      <c r="C45" s="1939"/>
      <c r="D45" s="1939"/>
      <c r="E45" s="1939"/>
      <c r="F45" s="1939"/>
      <c r="G45" s="391"/>
      <c r="H45" s="391"/>
    </row>
    <row r="46" spans="1:10" x14ac:dyDescent="0.2">
      <c r="A46" s="1069"/>
      <c r="B46" s="391" t="s">
        <v>2103</v>
      </c>
      <c r="C46" s="1939"/>
      <c r="D46" s="1939"/>
      <c r="E46" s="1939"/>
      <c r="F46" s="1939"/>
      <c r="G46" s="391"/>
      <c r="H46" s="391"/>
    </row>
    <row r="47" spans="1:10" x14ac:dyDescent="0.2">
      <c r="A47" s="1069"/>
      <c r="B47" s="1939"/>
      <c r="C47" s="1939"/>
      <c r="D47" s="1939"/>
      <c r="E47" s="1939"/>
      <c r="F47" s="1939"/>
      <c r="G47" s="391"/>
      <c r="H47" s="391"/>
    </row>
    <row r="48" spans="1:10" x14ac:dyDescent="0.2">
      <c r="A48" s="1069">
        <v>3</v>
      </c>
      <c r="B48" s="391" t="s">
        <v>2104</v>
      </c>
      <c r="C48" s="1939"/>
      <c r="D48" s="1939"/>
      <c r="E48" s="1939"/>
      <c r="F48" s="1939"/>
      <c r="G48" s="391"/>
      <c r="H48" s="391"/>
    </row>
    <row r="49" spans="1:8" x14ac:dyDescent="0.2">
      <c r="A49" s="1069"/>
      <c r="B49" s="391" t="s">
        <v>2140</v>
      </c>
      <c r="C49" s="1939"/>
      <c r="D49" s="1939"/>
      <c r="E49" s="1939"/>
      <c r="F49" s="1939"/>
      <c r="G49" s="391"/>
      <c r="H49" s="391"/>
    </row>
    <row r="50" spans="1:8" x14ac:dyDescent="0.2">
      <c r="A50" s="1069"/>
      <c r="B50" s="391" t="s">
        <v>2105</v>
      </c>
      <c r="C50" s="1939"/>
      <c r="D50" s="1939"/>
      <c r="E50" s="1939"/>
      <c r="F50" s="1939"/>
      <c r="G50" s="391"/>
      <c r="H50" s="391"/>
    </row>
    <row r="51" spans="1:8" x14ac:dyDescent="0.2">
      <c r="A51" s="1069"/>
    </row>
    <row r="52" spans="1:8" x14ac:dyDescent="0.2">
      <c r="A52" s="1069">
        <v>4</v>
      </c>
      <c r="B52" s="329" t="s">
        <v>2106</v>
      </c>
    </row>
    <row r="53" spans="1:8" x14ac:dyDescent="0.2">
      <c r="A53" s="1069"/>
      <c r="B53" s="329" t="s">
        <v>2143</v>
      </c>
    </row>
    <row r="54" spans="1:8" x14ac:dyDescent="0.2">
      <c r="A54" s="1069"/>
    </row>
    <row r="55" spans="1:8" x14ac:dyDescent="0.2">
      <c r="A55" s="1069"/>
      <c r="B55" s="258" t="str">
        <f>COVER!A17</f>
        <v>Vienna SD 55</v>
      </c>
    </row>
    <row r="56" spans="1:8" x14ac:dyDescent="0.2">
      <c r="B56" s="1070">
        <f>COVER!A13</f>
        <v>21044055002</v>
      </c>
    </row>
  </sheetData>
  <phoneticPr fontId="13" type="noConversion"/>
  <printOptions horizontalCentered="1"/>
  <pageMargins left="0.2" right="0.2" top="1.17" bottom="0.75" header="0.19" footer="0.16"/>
  <pageSetup scale="8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8913" r:id="rId4">
          <objectPr defaultSize="0" r:id="rId5">
            <anchor moveWithCells="1">
              <from>
                <xdr:col>1</xdr:col>
                <xdr:colOff>0</xdr:colOff>
                <xdr:row>5</xdr:row>
                <xdr:rowOff>0</xdr:rowOff>
              </from>
              <to>
                <xdr:col>1</xdr:col>
                <xdr:colOff>866775</xdr:colOff>
                <xdr:row>8</xdr:row>
                <xdr:rowOff>28575</xdr:rowOff>
              </to>
            </anchor>
          </objectPr>
        </oleObject>
      </mc:Choice>
      <mc:Fallback>
        <oleObject progId="Packager Shell Object"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F28" sqref="F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1988</v>
      </c>
      <c r="B4" s="2363"/>
      <c r="C4" s="2363"/>
      <c r="D4" s="2363"/>
      <c r="E4" s="2363"/>
      <c r="F4" s="2364"/>
      <c r="G4" s="1074"/>
      <c r="H4" s="1074"/>
    </row>
    <row r="5" spans="1:8" ht="14.25" customHeight="1" x14ac:dyDescent="0.2">
      <c r="A5" s="2365" t="s">
        <v>1984</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3211175</v>
      </c>
      <c r="C8" s="1815">
        <f>'Acct Summary 7-8'!D8</f>
        <v>109128</v>
      </c>
      <c r="D8" s="1815">
        <f>'Acct Summary 7-8'!F8</f>
        <v>181298</v>
      </c>
      <c r="E8" s="1815">
        <f>'Acct Summary 7-8'!I8</f>
        <v>18918</v>
      </c>
      <c r="F8" s="1815">
        <f>SUM(B8:E8)</f>
        <v>3520519</v>
      </c>
    </row>
    <row r="9" spans="1:8" s="1079" customFormat="1" ht="14.25" customHeight="1" thickBot="1" x14ac:dyDescent="0.25">
      <c r="A9" s="1078" t="s">
        <v>1369</v>
      </c>
      <c r="B9" s="1816">
        <f>'Acct Summary 7-8'!C17</f>
        <v>3149948</v>
      </c>
      <c r="C9" s="1816">
        <f>'Acct Summary 7-8'!D17</f>
        <v>112203</v>
      </c>
      <c r="D9" s="1816">
        <f>'Acct Summary 7-8'!F17</f>
        <v>292583</v>
      </c>
      <c r="E9" s="1815"/>
      <c r="F9" s="1815">
        <f>SUM(B9:E9)</f>
        <v>3554734</v>
      </c>
    </row>
    <row r="10" spans="1:8" s="1079" customFormat="1" ht="14.25" thickTop="1" thickBot="1" x14ac:dyDescent="0.25">
      <c r="A10" s="1080" t="s">
        <v>1370</v>
      </c>
      <c r="B10" s="1817">
        <f>(B8-B9)</f>
        <v>61227</v>
      </c>
      <c r="C10" s="1817">
        <f>(C8-C9)</f>
        <v>-3075</v>
      </c>
      <c r="D10" s="1817">
        <f>(D8-D9)</f>
        <v>-111285</v>
      </c>
      <c r="E10" s="1816">
        <f>(E8-E9)</f>
        <v>18918</v>
      </c>
      <c r="F10" s="1818">
        <f>SUM(F8-F9)</f>
        <v>-34215</v>
      </c>
    </row>
    <row r="11" spans="1:8" s="1079" customFormat="1" ht="14.25" thickTop="1" thickBot="1" x14ac:dyDescent="0.25">
      <c r="A11" s="1081" t="s">
        <v>1985</v>
      </c>
      <c r="B11" s="1819">
        <f>'Acct Summary 7-8'!C81</f>
        <v>751780</v>
      </c>
      <c r="C11" s="1819">
        <f>'Acct Summary 7-8'!D81</f>
        <v>122018</v>
      </c>
      <c r="D11" s="1819">
        <f>'Acct Summary 7-8'!F81</f>
        <v>123456</v>
      </c>
      <c r="E11" s="1819">
        <f>'Acct Summary 7-8'!I81</f>
        <v>35894</v>
      </c>
      <c r="F11" s="1820">
        <f>SUM(B11:E11)</f>
        <v>1033148</v>
      </c>
    </row>
    <row r="12" spans="1:8" ht="16.5" customHeight="1" thickTop="1" x14ac:dyDescent="0.2">
      <c r="A12" s="1082"/>
      <c r="B12" s="1083"/>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2" colorId="8" zoomScale="110" zoomScaleNormal="110" workbookViewId="0">
      <selection activeCell="H21" sqref="H2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21044055002</v>
      </c>
    </row>
    <row r="3" spans="1:2" x14ac:dyDescent="0.2">
      <c r="A3" t="s">
        <v>956</v>
      </c>
      <c r="B3" s="138" t="str">
        <f>COVER!A15</f>
        <v>Johnson</v>
      </c>
    </row>
    <row r="4" spans="1:2" x14ac:dyDescent="0.2">
      <c r="A4" t="s">
        <v>1007</v>
      </c>
      <c r="B4" s="138" t="str">
        <f>COVER!A17</f>
        <v>Vienna SD 55</v>
      </c>
    </row>
    <row r="5" spans="1:2" x14ac:dyDescent="0.2">
      <c r="A5" t="s">
        <v>704</v>
      </c>
      <c r="B5" s="138" t="str">
        <f>COVER!A38</f>
        <v>Greg Frehner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66-6003889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457</v>
      </c>
      <c r="D76" s="2" t="str">
        <f t="shared" si="0"/>
        <v>Error?</v>
      </c>
    </row>
    <row r="77" spans="1:4" x14ac:dyDescent="0.2">
      <c r="A77" s="5">
        <v>16</v>
      </c>
      <c r="B77" s="138">
        <f>'Assets-Liab 5-6'!C13</f>
        <v>752467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687</v>
      </c>
      <c r="C91" s="2" t="s">
        <v>573</v>
      </c>
      <c r="D91" s="2" t="str">
        <f t="shared" si="0"/>
        <v>Error?</v>
      </c>
    </row>
    <row r="92" spans="1:4" x14ac:dyDescent="0.2">
      <c r="A92" s="5">
        <v>31</v>
      </c>
      <c r="B92" s="138">
        <f>'Assets-Liab 5-6'!C39</f>
        <v>751780</v>
      </c>
      <c r="D92" s="2" t="str">
        <f t="shared" si="0"/>
        <v>Error?</v>
      </c>
    </row>
    <row r="93" spans="1:4" x14ac:dyDescent="0.2">
      <c r="A93" s="5">
        <v>32</v>
      </c>
      <c r="B93" s="138">
        <f>'Assets-Liab 5-6'!C41</f>
        <v>752467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122018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122018</v>
      </c>
      <c r="D123" s="2" t="str">
        <f t="shared" si="0"/>
        <v>Error?</v>
      </c>
    </row>
    <row r="124" spans="1:4" x14ac:dyDescent="0.2">
      <c r="A124" s="5">
        <v>63</v>
      </c>
      <c r="B124" s="138">
        <f>'Assets-Liab 5-6'!D41</f>
        <v>122018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36183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36183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123456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123456</v>
      </c>
      <c r="D170" s="2" t="str">
        <f t="shared" si="1"/>
        <v>Error?</v>
      </c>
    </row>
    <row r="171" spans="1:4" x14ac:dyDescent="0.2">
      <c r="A171" s="5">
        <v>110</v>
      </c>
      <c r="B171" s="138">
        <f>'Assets-Liab 5-6'!F41</f>
        <v>123456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311988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311988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127186</v>
      </c>
      <c r="D273" s="2" t="str">
        <f t="shared" si="3"/>
        <v>Error?</v>
      </c>
    </row>
    <row r="274" spans="1:4" x14ac:dyDescent="0.2">
      <c r="A274" s="5">
        <v>213</v>
      </c>
      <c r="B274" s="138">
        <f>'Assets-Liab 5-6'!M17</f>
        <v>6195381</v>
      </c>
      <c r="D274" s="2" t="str">
        <f t="shared" si="3"/>
        <v>Error?</v>
      </c>
    </row>
    <row r="275" spans="1:4" x14ac:dyDescent="0.2">
      <c r="A275" s="5">
        <v>214</v>
      </c>
      <c r="B275" s="138">
        <f>'Assets-Liab 5-6'!M18</f>
        <v>424514</v>
      </c>
      <c r="D275" s="2" t="str">
        <f t="shared" si="3"/>
        <v>Error?</v>
      </c>
    </row>
    <row r="276" spans="1:4" x14ac:dyDescent="0.2">
      <c r="A276" s="5">
        <v>215</v>
      </c>
      <c r="B276" s="138">
        <f>'Assets-Liab 5-6'!M19</f>
        <v>1427666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8174747</v>
      </c>
      <c r="C279" s="2" t="s">
        <v>573</v>
      </c>
      <c r="D279" s="2" t="str">
        <f t="shared" si="3"/>
        <v>Error?</v>
      </c>
    </row>
    <row r="280" spans="1:4" x14ac:dyDescent="0.2">
      <c r="A280" s="5">
        <v>219</v>
      </c>
      <c r="B280" s="138">
        <f>'Assets-Liab 5-6'!M40</f>
        <v>8174747</v>
      </c>
      <c r="D280" s="2" t="str">
        <f t="shared" si="3"/>
        <v>Error?</v>
      </c>
    </row>
    <row r="281" spans="1:4" x14ac:dyDescent="0.2">
      <c r="A281" s="5">
        <v>220</v>
      </c>
      <c r="B281" s="138">
        <f>'Assets-Liab 5-6'!M41</f>
        <v>8174747</v>
      </c>
      <c r="C281" s="2" t="s">
        <v>573</v>
      </c>
      <c r="D281" s="2" t="str">
        <f t="shared" si="3"/>
        <v>Error?</v>
      </c>
    </row>
    <row r="282" spans="1:4" x14ac:dyDescent="0.2">
      <c r="A282" s="5">
        <v>221</v>
      </c>
      <c r="B282" s="138">
        <f>'Assets-Liab 5-6'!N21</f>
        <v>36183</v>
      </c>
      <c r="D282" s="2" t="str">
        <f t="shared" si="3"/>
        <v>Error?</v>
      </c>
    </row>
    <row r="283" spans="1:4" x14ac:dyDescent="0.2">
      <c r="A283" s="5">
        <v>222</v>
      </c>
      <c r="B283" s="138">
        <f>'Assets-Liab 5-6'!N22</f>
        <v>2209485</v>
      </c>
      <c r="D283" s="2" t="str">
        <f t="shared" si="3"/>
        <v>Error?</v>
      </c>
    </row>
    <row r="284" spans="1:4" x14ac:dyDescent="0.2">
      <c r="A284" s="5">
        <v>223</v>
      </c>
      <c r="B284" s="138">
        <f>'Assets-Liab 5-6'!N23</f>
        <v>2245668</v>
      </c>
      <c r="C284" s="2" t="s">
        <v>573</v>
      </c>
      <c r="D284" s="2" t="str">
        <f t="shared" si="3"/>
        <v>Error?</v>
      </c>
    </row>
    <row r="285" spans="1:4" x14ac:dyDescent="0.2">
      <c r="A285" s="5">
        <v>224</v>
      </c>
      <c r="B285" s="138">
        <f>'Assets-Liab 5-6'!N36</f>
        <v>2245668</v>
      </c>
      <c r="D285" s="2" t="str">
        <f t="shared" si="3"/>
        <v>Error?</v>
      </c>
    </row>
    <row r="286" spans="1:4" x14ac:dyDescent="0.2">
      <c r="A286" s="10">
        <v>225</v>
      </c>
      <c r="D286" s="2" t="str">
        <f t="shared" si="3"/>
        <v>OK</v>
      </c>
    </row>
    <row r="287" spans="1:4" x14ac:dyDescent="0.2">
      <c r="A287" s="5">
        <v>226</v>
      </c>
      <c r="B287" s="138">
        <f>'Assets-Liab 5-6'!N37</f>
        <v>2245668</v>
      </c>
      <c r="C287" s="2" t="s">
        <v>573</v>
      </c>
      <c r="D287" s="2" t="str">
        <f t="shared" si="3"/>
        <v>Error?</v>
      </c>
    </row>
    <row r="288" spans="1:4" x14ac:dyDescent="0.2">
      <c r="A288" s="5">
        <v>227</v>
      </c>
      <c r="B288" s="138">
        <f>'Assets-Liab 5-6'!N41</f>
        <v>2245668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1181160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19533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24874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1687050</v>
      </c>
      <c r="C720" s="2" t="s">
        <v>573</v>
      </c>
      <c r="D720" s="2" t="str">
        <f t="shared" si="10"/>
        <v>Error?</v>
      </c>
    </row>
    <row r="721" spans="1:4" x14ac:dyDescent="0.2">
      <c r="A721" s="5">
        <v>660</v>
      </c>
      <c r="B721" s="138">
        <f>'Expenditures 15-22'!C36</f>
        <v>33211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21575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41232</v>
      </c>
      <c r="D725" s="2" t="str">
        <f t="shared" si="10"/>
        <v>Error?</v>
      </c>
    </row>
    <row r="726" spans="1:4" x14ac:dyDescent="0.2">
      <c r="A726" s="5">
        <v>665</v>
      </c>
      <c r="B726" s="138">
        <f>'Expenditures 15-22'!C41</f>
        <v>64360</v>
      </c>
      <c r="D726" s="2" t="str">
        <f t="shared" si="10"/>
        <v>Error?</v>
      </c>
    </row>
    <row r="727" spans="1:4" x14ac:dyDescent="0.2">
      <c r="A727" s="5">
        <v>666</v>
      </c>
      <c r="B727" s="138">
        <f>'Expenditures 15-22'!C42</f>
        <v>160378</v>
      </c>
      <c r="C727" s="2" t="s">
        <v>573</v>
      </c>
      <c r="D727" s="2" t="str">
        <f t="shared" si="10"/>
        <v>Error?</v>
      </c>
    </row>
    <row r="728" spans="1:4" x14ac:dyDescent="0.2">
      <c r="A728" s="5">
        <v>667</v>
      </c>
      <c r="B728" s="138">
        <f>'Expenditures 15-22'!C44</f>
        <v>18897</v>
      </c>
      <c r="D728" s="2" t="str">
        <f t="shared" si="10"/>
        <v>Error?</v>
      </c>
    </row>
    <row r="729" spans="1:4" x14ac:dyDescent="0.2">
      <c r="A729" s="5">
        <v>668</v>
      </c>
      <c r="B729" s="138">
        <f>'Expenditures 15-22'!C45</f>
        <v>10253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29150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103025</v>
      </c>
      <c r="D733" s="2" t="str">
        <f t="shared" si="10"/>
        <v>Error?</v>
      </c>
    </row>
    <row r="734" spans="1:4" x14ac:dyDescent="0.2">
      <c r="A734" s="5">
        <v>673</v>
      </c>
      <c r="B734" s="138">
        <f>'Expenditures 15-22'!C53</f>
        <v>103025</v>
      </c>
      <c r="C734" s="2" t="s">
        <v>573</v>
      </c>
      <c r="D734" s="2" t="str">
        <f t="shared" si="10"/>
        <v>Error?</v>
      </c>
    </row>
    <row r="735" spans="1:4" x14ac:dyDescent="0.2">
      <c r="A735" s="5">
        <v>674</v>
      </c>
      <c r="B735" s="138">
        <f>'Expenditures 15-22'!C55</f>
        <v>86081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86081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49345</v>
      </c>
      <c r="D739" s="2" t="str">
        <f t="shared" si="10"/>
        <v>Error?</v>
      </c>
    </row>
    <row r="740" spans="1:4" x14ac:dyDescent="0.2">
      <c r="A740" s="5">
        <v>679</v>
      </c>
      <c r="B740" s="138">
        <f>'Expenditures 15-22'!C61</f>
        <v>75346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75012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199703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578337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2265387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265273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340771</v>
      </c>
      <c r="C778" s="2" t="s">
        <v>573</v>
      </c>
      <c r="D778" s="2" t="str">
        <f t="shared" si="11"/>
        <v>Error?</v>
      </c>
    </row>
    <row r="779" spans="1:4" x14ac:dyDescent="0.2">
      <c r="A779" s="5">
        <v>718</v>
      </c>
      <c r="B779" s="138">
        <f>'Expenditures 15-22'!D36</f>
        <v>4322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10848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15170</v>
      </c>
      <c r="C785" s="2" t="s">
        <v>573</v>
      </c>
      <c r="D785" s="2" t="str">
        <f t="shared" si="11"/>
        <v>Error?</v>
      </c>
    </row>
    <row r="786" spans="1:4" x14ac:dyDescent="0.2">
      <c r="A786" s="5">
        <v>725</v>
      </c>
      <c r="B786" s="138">
        <f>'Expenditures 15-22'!D44</f>
        <v>3994</v>
      </c>
      <c r="D786" s="2" t="str">
        <f t="shared" si="11"/>
        <v>Error?</v>
      </c>
    </row>
    <row r="787" spans="1:4" x14ac:dyDescent="0.2">
      <c r="A787" s="5">
        <v>726</v>
      </c>
      <c r="B787" s="138">
        <f>'Expenditures 15-22'!D45</f>
        <v>3004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6998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17053</v>
      </c>
      <c r="D791" s="2" t="str">
        <f t="shared" si="11"/>
        <v>Error?</v>
      </c>
    </row>
    <row r="792" spans="1:4" x14ac:dyDescent="0.2">
      <c r="A792" s="5">
        <v>731</v>
      </c>
      <c r="B792" s="138">
        <f>'Expenditures 15-22'!D53</f>
        <v>17053</v>
      </c>
      <c r="C792" s="2" t="s">
        <v>573</v>
      </c>
      <c r="D792" s="2" t="str">
        <f t="shared" si="11"/>
        <v>Error?</v>
      </c>
    </row>
    <row r="793" spans="1:4" x14ac:dyDescent="0.2">
      <c r="A793" s="5">
        <v>732</v>
      </c>
      <c r="B793" s="138">
        <f>'Expenditures 15-22'!D55</f>
        <v>4831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4831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5431</v>
      </c>
      <c r="D797" s="2" t="str">
        <f t="shared" si="11"/>
        <v>Error?</v>
      </c>
    </row>
    <row r="798" spans="1:4" x14ac:dyDescent="0.2">
      <c r="A798" s="5">
        <v>737</v>
      </c>
      <c r="B798" s="138">
        <f>'Expenditures 15-22'!D61</f>
        <v>6030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16283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60335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401106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22113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9280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40998</v>
      </c>
      <c r="C836" s="2" t="s">
        <v>573</v>
      </c>
      <c r="D836" s="2" t="str">
        <f t="shared" si="12"/>
        <v>Error?</v>
      </c>
    </row>
    <row r="837" spans="1:4" x14ac:dyDescent="0.2">
      <c r="A837" s="5">
        <v>776</v>
      </c>
      <c r="B837" s="138">
        <f>'Expenditures 15-22'!E36</f>
        <v>105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495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600</v>
      </c>
      <c r="C843" s="2" t="s">
        <v>573</v>
      </c>
      <c r="D843" s="2" t="str">
        <f t="shared" si="12"/>
        <v>Error?</v>
      </c>
    </row>
    <row r="844" spans="1:4" x14ac:dyDescent="0.2">
      <c r="A844" s="5">
        <v>783</v>
      </c>
      <c r="B844" s="138">
        <f>'Expenditures 15-22'!E44</f>
        <v>1335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1335</v>
      </c>
      <c r="C847" s="2" t="s">
        <v>573</v>
      </c>
      <c r="D847" s="2" t="str">
        <f t="shared" si="12"/>
        <v>Error?</v>
      </c>
    </row>
    <row r="848" spans="1:4" x14ac:dyDescent="0.2">
      <c r="A848" s="5">
        <v>787</v>
      </c>
      <c r="B848" s="138">
        <f>'Expenditures 15-22'!E49</f>
        <v>19238</v>
      </c>
      <c r="D848" s="2" t="str">
        <f t="shared" si="12"/>
        <v>Error?</v>
      </c>
    </row>
    <row r="849" spans="1:4" x14ac:dyDescent="0.2">
      <c r="A849" s="5">
        <v>788</v>
      </c>
      <c r="B849" s="138">
        <f>'Expenditures 15-22'!E50</f>
        <v>4554</v>
      </c>
      <c r="D849" s="2" t="str">
        <f t="shared" si="12"/>
        <v>Error?</v>
      </c>
    </row>
    <row r="850" spans="1:4" x14ac:dyDescent="0.2">
      <c r="A850" s="5">
        <v>789</v>
      </c>
      <c r="B850" s="138">
        <f>'Expenditures 15-22'!E53</f>
        <v>23792</v>
      </c>
      <c r="C850" s="2" t="s">
        <v>573</v>
      </c>
      <c r="D850" s="2" t="str">
        <f t="shared" si="12"/>
        <v>Error?</v>
      </c>
    </row>
    <row r="851" spans="1:4" x14ac:dyDescent="0.2">
      <c r="A851" s="5">
        <v>790</v>
      </c>
      <c r="B851" s="138">
        <f>'Expenditures 15-22'!E55</f>
        <v>197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5308</v>
      </c>
      <c r="D855" s="2" t="str">
        <f t="shared" si="12"/>
        <v>Error?</v>
      </c>
    </row>
    <row r="856" spans="1:4" x14ac:dyDescent="0.2">
      <c r="A856" s="5">
        <v>795</v>
      </c>
      <c r="B856" s="138">
        <f>'Expenditures 15-22'!E61</f>
        <v>22570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32778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58702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209144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33354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86007</v>
      </c>
      <c r="C894" s="2" t="s">
        <v>573</v>
      </c>
      <c r="D894" s="2" t="str">
        <f t="shared" si="12"/>
        <v>Error?</v>
      </c>
    </row>
    <row r="895" spans="1:4" x14ac:dyDescent="0.2">
      <c r="A895" s="5">
        <v>834</v>
      </c>
      <c r="B895" s="138">
        <f>'Expenditures 15-22'!F36</f>
        <v>93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3662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93</v>
      </c>
      <c r="D899" s="2" t="str">
        <f t="shared" si="13"/>
        <v>Error?</v>
      </c>
    </row>
    <row r="900" spans="1:4" x14ac:dyDescent="0.2">
      <c r="A900" s="5">
        <v>839</v>
      </c>
      <c r="B900" s="138">
        <f>'Expenditures 15-22'!F41</f>
        <v>7898</v>
      </c>
      <c r="D900" s="2" t="str">
        <f t="shared" si="13"/>
        <v>Error?</v>
      </c>
    </row>
    <row r="901" spans="1:4" x14ac:dyDescent="0.2">
      <c r="A901" s="5">
        <v>840</v>
      </c>
      <c r="B901" s="138">
        <f>'Expenditures 15-22'!F42</f>
        <v>11746</v>
      </c>
      <c r="C901" s="2" t="s">
        <v>573</v>
      </c>
      <c r="D901" s="2" t="str">
        <f t="shared" si="13"/>
        <v>Error?</v>
      </c>
    </row>
    <row r="902" spans="1:4" x14ac:dyDescent="0.2">
      <c r="A902" s="5">
        <v>841</v>
      </c>
      <c r="B902" s="138">
        <f>'Expenditures 15-22'!F44</f>
        <v>2179</v>
      </c>
      <c r="D902" s="2" t="str">
        <f t="shared" si="13"/>
        <v>Error?</v>
      </c>
    </row>
    <row r="903" spans="1:4" x14ac:dyDescent="0.2">
      <c r="A903" s="5">
        <v>842</v>
      </c>
      <c r="B903" s="138">
        <f>'Expenditures 15-22'!F45</f>
        <v>1387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3566</v>
      </c>
      <c r="C905" s="2" t="s">
        <v>573</v>
      </c>
      <c r="D905" s="2" t="str">
        <f t="shared" si="13"/>
        <v>Error?</v>
      </c>
    </row>
    <row r="906" spans="1:4" x14ac:dyDescent="0.2">
      <c r="A906" s="5">
        <v>845</v>
      </c>
      <c r="B906" s="138">
        <f>'Expenditures 15-22'!F49</f>
        <v>1988</v>
      </c>
      <c r="D906" s="2" t="str">
        <f t="shared" si="13"/>
        <v>Error?</v>
      </c>
    </row>
    <row r="907" spans="1:4" x14ac:dyDescent="0.2">
      <c r="A907" s="5">
        <v>846</v>
      </c>
      <c r="B907" s="138">
        <f>'Expenditures 15-22'!F50</f>
        <v>880</v>
      </c>
      <c r="D907" s="2" t="str">
        <f t="shared" si="13"/>
        <v>Error?</v>
      </c>
    </row>
    <row r="908" spans="1:4" x14ac:dyDescent="0.2">
      <c r="A908" s="5">
        <v>847</v>
      </c>
      <c r="B908" s="138">
        <f>'Expenditures 15-22'!F53</f>
        <v>2868</v>
      </c>
      <c r="C908" s="2" t="s">
        <v>573</v>
      </c>
      <c r="D908" s="2" t="str">
        <f t="shared" si="13"/>
        <v>Error?</v>
      </c>
    </row>
    <row r="909" spans="1:4" x14ac:dyDescent="0.2">
      <c r="A909" s="5">
        <v>848</v>
      </c>
      <c r="B909" s="138">
        <f>'Expenditures 15-22'!F55</f>
        <v>528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757</v>
      </c>
      <c r="D913" s="2" t="str">
        <f t="shared" si="13"/>
        <v>Error?</v>
      </c>
    </row>
    <row r="914" spans="1:4" x14ac:dyDescent="0.2">
      <c r="A914" s="5">
        <v>853</v>
      </c>
      <c r="B914" s="138">
        <f>'Expenditures 15-22'!F61</f>
        <v>31272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82489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114518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133226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219233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13204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3624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16828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1600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1600</v>
      </c>
      <c r="C959" s="2" t="s">
        <v>573</v>
      </c>
      <c r="D959" s="2" t="str">
        <f t="shared" ref="D959:D1022" si="14">IF(ISBLANK(B959),"OK",IF(A959-B959=0,"OK","Error?"))</f>
        <v>Error?</v>
      </c>
    </row>
    <row r="960" spans="1:4" x14ac:dyDescent="0.2">
      <c r="A960" s="5">
        <v>899</v>
      </c>
      <c r="B960" s="138">
        <f>'Expenditures 15-22'!G44</f>
        <v>1644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1644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3244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20072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4366</v>
      </c>
      <c r="D1022" s="2" t="str">
        <f t="shared" si="14"/>
        <v>Error?</v>
      </c>
    </row>
    <row r="1023" spans="1:4" x14ac:dyDescent="0.2">
      <c r="A1023" s="5">
        <v>962</v>
      </c>
      <c r="B1023" s="138">
        <f>'Expenditures 15-22'!H50</f>
        <v>2171</v>
      </c>
      <c r="D1023" s="2" t="str">
        <f t="shared" ref="D1023:D1086" si="15">IF(ISBLANK(B1023),"OK",IF(A1023-B1023=0,"OK","Error?"))</f>
        <v>Error?</v>
      </c>
    </row>
    <row r="1024" spans="1:4" x14ac:dyDescent="0.2">
      <c r="A1024" s="5">
        <v>963</v>
      </c>
      <c r="B1024" s="138">
        <f>'Expenditures 15-22'!H53</f>
        <v>6537</v>
      </c>
      <c r="C1024" s="2" t="s">
        <v>573</v>
      </c>
      <c r="D1024" s="2" t="str">
        <f t="shared" si="15"/>
        <v>Error?</v>
      </c>
    </row>
    <row r="1025" spans="1:4" x14ac:dyDescent="0.2">
      <c r="A1025" s="5">
        <v>964</v>
      </c>
      <c r="B1025" s="138">
        <f>'Expenditures 15-22'!H55</f>
        <v>548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548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v>
      </c>
      <c r="D1029" s="2" t="str">
        <f t="shared" si="15"/>
        <v>Error?</v>
      </c>
    </row>
    <row r="1030" spans="1:4" x14ac:dyDescent="0.2">
      <c r="A1030" s="5">
        <v>969</v>
      </c>
      <c r="B1030" s="138">
        <f>'Expenditures 15-22'!H61</f>
        <v>110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1091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1221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8306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2359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12940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1517015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19533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45895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2174920</v>
      </c>
      <c r="C1108" s="2" t="s">
        <v>573</v>
      </c>
      <c r="D1108" s="2" t="str">
        <f t="shared" si="16"/>
        <v>Error?</v>
      </c>
    </row>
    <row r="1109" spans="1:4" x14ac:dyDescent="0.2">
      <c r="A1109" s="5">
        <v>1048</v>
      </c>
      <c r="B1109" s="138">
        <f>'Expenditures 15-22'!K36</f>
        <v>37731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27332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52173</v>
      </c>
      <c r="C1113" s="2" t="s">
        <v>573</v>
      </c>
      <c r="D1113" s="2" t="str">
        <f t="shared" si="16"/>
        <v>Error?</v>
      </c>
    </row>
    <row r="1114" spans="1:4" x14ac:dyDescent="0.2">
      <c r="A1114" s="5">
        <v>1053</v>
      </c>
      <c r="B1114" s="138">
        <f>'Expenditures 15-22'!K41</f>
        <v>72258</v>
      </c>
      <c r="C1114" s="2" t="s">
        <v>573</v>
      </c>
      <c r="D1114" s="2" t="str">
        <f t="shared" si="16"/>
        <v>Error?</v>
      </c>
    </row>
    <row r="1115" spans="1:4" x14ac:dyDescent="0.2">
      <c r="A1115" s="5">
        <v>1054</v>
      </c>
      <c r="B1115" s="138">
        <f>'Expenditures 15-22'!K42</f>
        <v>189494</v>
      </c>
      <c r="C1115" s="2" t="s">
        <v>573</v>
      </c>
      <c r="D1115" s="2" t="str">
        <f t="shared" si="16"/>
        <v>Error?</v>
      </c>
    </row>
    <row r="1116" spans="1:4" x14ac:dyDescent="0.2">
      <c r="A1116" s="5">
        <v>1055</v>
      </c>
      <c r="B1116" s="138">
        <f>'Expenditures 15-22'!K44</f>
        <v>49124</v>
      </c>
      <c r="C1116" s="2" t="s">
        <v>573</v>
      </c>
      <c r="D1116" s="2" t="str">
        <f t="shared" si="16"/>
        <v>Error?</v>
      </c>
    </row>
    <row r="1117" spans="1:4" x14ac:dyDescent="0.2">
      <c r="A1117" s="5">
        <v>1056</v>
      </c>
      <c r="B1117" s="138">
        <f>'Expenditures 15-22'!K45</f>
        <v>14644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63768</v>
      </c>
      <c r="C1119" s="2" t="s">
        <v>573</v>
      </c>
      <c r="D1119" s="2" t="str">
        <f t="shared" si="16"/>
        <v>Error?</v>
      </c>
    </row>
    <row r="1120" spans="1:4" x14ac:dyDescent="0.2">
      <c r="A1120" s="5">
        <v>1059</v>
      </c>
      <c r="B1120" s="138">
        <f>'Expenditures 15-22'!K49</f>
        <v>25592</v>
      </c>
      <c r="C1120" s="2" t="s">
        <v>573</v>
      </c>
      <c r="D1120" s="2" t="str">
        <f t="shared" si="16"/>
        <v>Error?</v>
      </c>
    </row>
    <row r="1121" spans="1:4" x14ac:dyDescent="0.2">
      <c r="A1121" s="5">
        <v>1060</v>
      </c>
      <c r="B1121" s="138">
        <f>'Expenditures 15-22'!K50</f>
        <v>127683</v>
      </c>
      <c r="C1121" s="2" t="s">
        <v>573</v>
      </c>
      <c r="D1121" s="2" t="str">
        <f t="shared" si="16"/>
        <v>Error?</v>
      </c>
    </row>
    <row r="1122" spans="1:4" x14ac:dyDescent="0.2">
      <c r="A1122" s="5">
        <v>1061</v>
      </c>
      <c r="B1122" s="138">
        <f>'Expenditures 15-22'!K53</f>
        <v>153275</v>
      </c>
      <c r="C1122" s="2" t="s">
        <v>573</v>
      </c>
      <c r="D1122" s="2" t="str">
        <f t="shared" si="16"/>
        <v>Error?</v>
      </c>
    </row>
    <row r="1123" spans="1:4" x14ac:dyDescent="0.2">
      <c r="A1123" s="5">
        <v>1062</v>
      </c>
      <c r="B1123" s="138">
        <f>'Expenditures 15-22'!K55</f>
        <v>92185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92185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60861</v>
      </c>
      <c r="C1127" s="2" t="s">
        <v>573</v>
      </c>
      <c r="D1127" s="2" t="str">
        <f t="shared" si="16"/>
        <v>Error?</v>
      </c>
    </row>
    <row r="1128" spans="1:4" x14ac:dyDescent="0.2">
      <c r="A1128" s="5">
        <v>1067</v>
      </c>
      <c r="B1128" s="138">
        <f>'Expenditures 15-22'!K61</f>
        <v>135328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168314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364503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863225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111803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3149948</v>
      </c>
      <c r="C1152" s="2" t="s">
        <v>573</v>
      </c>
      <c r="D1152" s="2" t="str">
        <f t="shared" si="17"/>
        <v>Error?</v>
      </c>
    </row>
    <row r="1153" spans="1:4" x14ac:dyDescent="0.2">
      <c r="A1153" s="5">
        <v>1092</v>
      </c>
      <c r="B1153" s="138">
        <f>'Expenditures 15-22'!K115</f>
        <v>61227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40009</v>
      </c>
      <c r="D1237" s="2" t="str">
        <f t="shared" si="18"/>
        <v>Error?</v>
      </c>
    </row>
    <row r="1238" spans="1:4" x14ac:dyDescent="0.2">
      <c r="A1238" s="10">
        <v>1177</v>
      </c>
      <c r="D1238" s="2" t="str">
        <f t="shared" si="18"/>
        <v>OK</v>
      </c>
    </row>
    <row r="1239" spans="1:4" x14ac:dyDescent="0.2">
      <c r="A1239" s="5">
        <v>1178</v>
      </c>
      <c r="B1239" s="138">
        <f>'Expenditures 15-22'!E127</f>
        <v>40009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40009</v>
      </c>
      <c r="C1241" s="2" t="s">
        <v>573</v>
      </c>
      <c r="D1241" s="2" t="str">
        <f t="shared" si="18"/>
        <v>Error?</v>
      </c>
    </row>
    <row r="1242" spans="1:4" x14ac:dyDescent="0.2">
      <c r="A1242" s="5">
        <v>1181</v>
      </c>
      <c r="B1242" s="138">
        <f>'Expenditures 15-22'!E151</f>
        <v>40009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57687</v>
      </c>
      <c r="D1245" s="2" t="str">
        <f t="shared" si="18"/>
        <v>Error?</v>
      </c>
    </row>
    <row r="1246" spans="1:4" x14ac:dyDescent="0.2">
      <c r="A1246" s="10">
        <v>1185</v>
      </c>
      <c r="D1246" s="2" t="str">
        <f t="shared" si="18"/>
        <v>OK</v>
      </c>
    </row>
    <row r="1247" spans="1:4" x14ac:dyDescent="0.2">
      <c r="A1247" s="5">
        <v>1186</v>
      </c>
      <c r="B1247" s="138">
        <f>'Expenditures 15-22'!F127</f>
        <v>57687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57687</v>
      </c>
      <c r="C1249" s="2" t="s">
        <v>573</v>
      </c>
      <c r="D1249" s="2" t="str">
        <f t="shared" si="18"/>
        <v>Error?</v>
      </c>
    </row>
    <row r="1250" spans="1:4" x14ac:dyDescent="0.2">
      <c r="A1250" s="5">
        <v>1189</v>
      </c>
      <c r="B1250" s="138">
        <f>'Expenditures 15-22'!F151</f>
        <v>57687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14432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14432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14432</v>
      </c>
      <c r="C1258" s="2" t="s">
        <v>573</v>
      </c>
      <c r="D1258" s="2" t="str">
        <f t="shared" si="18"/>
        <v>Error?</v>
      </c>
    </row>
    <row r="1259" spans="1:4" x14ac:dyDescent="0.2">
      <c r="A1259" s="5">
        <v>1198</v>
      </c>
      <c r="B1259" s="138">
        <f>'Expenditures 15-22'!G151</f>
        <v>14432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112203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112203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112203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112203</v>
      </c>
      <c r="C1288" s="2" t="s">
        <v>573</v>
      </c>
      <c r="D1288" s="2" t="str">
        <f t="shared" si="19"/>
        <v>Error?</v>
      </c>
    </row>
    <row r="1289" spans="1:4" x14ac:dyDescent="0.2">
      <c r="A1289" s="5">
        <v>1228</v>
      </c>
      <c r="B1289" s="138">
        <f>'Expenditures 15-22'!K152</f>
        <v>-3075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108065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90000</v>
      </c>
      <c r="D1315" s="2" t="str">
        <f t="shared" si="19"/>
        <v>Error?</v>
      </c>
    </row>
    <row r="1316" spans="1:4" x14ac:dyDescent="0.2">
      <c r="A1316" s="5">
        <v>1255</v>
      </c>
      <c r="B1316" s="138">
        <f>'Expenditures 15-22'!H171</f>
        <v>3105</v>
      </c>
      <c r="D1316" s="2" t="str">
        <f t="shared" si="19"/>
        <v>Error?</v>
      </c>
    </row>
    <row r="1317" spans="1:4" x14ac:dyDescent="0.2">
      <c r="A1317" s="5">
        <v>1256</v>
      </c>
      <c r="B1317" s="138">
        <f>'Expenditures 15-22'!H172</f>
        <v>201170</v>
      </c>
      <c r="C1317" s="2" t="s">
        <v>573</v>
      </c>
      <c r="D1317" s="2" t="str">
        <f t="shared" si="19"/>
        <v>Error?</v>
      </c>
    </row>
    <row r="1318" spans="1:4" x14ac:dyDescent="0.2">
      <c r="A1318" s="5">
        <v>1257</v>
      </c>
      <c r="B1318" s="138">
        <f>'Expenditures 15-22'!H174</f>
        <v>201170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108065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90000</v>
      </c>
      <c r="C1329" s="2" t="s">
        <v>573</v>
      </c>
      <c r="D1329" s="2" t="str">
        <f t="shared" si="19"/>
        <v>Error?</v>
      </c>
    </row>
    <row r="1330" spans="1:4" x14ac:dyDescent="0.2">
      <c r="A1330" s="5">
        <v>1269</v>
      </c>
      <c r="B1330" s="138">
        <f>'Expenditures 15-22'!K171</f>
        <v>3105</v>
      </c>
      <c r="C1330" s="2" t="s">
        <v>573</v>
      </c>
      <c r="D1330" s="2" t="str">
        <f t="shared" si="19"/>
        <v>Error?</v>
      </c>
    </row>
    <row r="1331" spans="1:4" x14ac:dyDescent="0.2">
      <c r="A1331" s="5">
        <v>1270</v>
      </c>
      <c r="B1331" s="138">
        <f>'Expenditures 15-22'!K172</f>
        <v>201170</v>
      </c>
      <c r="C1331" s="2" t="s">
        <v>573</v>
      </c>
      <c r="D1331" s="2" t="str">
        <f t="shared" si="19"/>
        <v>Error?</v>
      </c>
    </row>
    <row r="1332" spans="1:4" x14ac:dyDescent="0.2">
      <c r="A1332" s="5">
        <v>1271</v>
      </c>
      <c r="B1332" s="138">
        <f>'Expenditures 15-22'!K174</f>
        <v>201170</v>
      </c>
      <c r="C1332" s="2" t="s">
        <v>573</v>
      </c>
      <c r="D1332" s="2" t="str">
        <f t="shared" si="19"/>
        <v>Error?</v>
      </c>
    </row>
    <row r="1333" spans="1:4" x14ac:dyDescent="0.2">
      <c r="A1333" s="5">
        <v>1272</v>
      </c>
      <c r="B1333" s="138">
        <f>'Expenditures 15-22'!K175</f>
        <v>7701</v>
      </c>
      <c r="C1333" s="2" t="s">
        <v>573</v>
      </c>
      <c r="D1333" s="2" t="str">
        <f t="shared" si="19"/>
        <v>Error?</v>
      </c>
    </row>
    <row r="1334" spans="1:4" x14ac:dyDescent="0.2">
      <c r="A1334" s="10">
        <v>1273</v>
      </c>
      <c r="D1334" s="2" t="str">
        <f t="shared" si="19"/>
        <v>OK</v>
      </c>
    </row>
    <row r="1335" spans="1:4" x14ac:dyDescent="0.2">
      <c r="A1335" s="5">
        <v>1274</v>
      </c>
      <c r="B1335" s="138">
        <f>'Expenditures 15-22'!C182</f>
        <v>79928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79928</v>
      </c>
      <c r="C1339" s="2" t="s">
        <v>573</v>
      </c>
      <c r="D1339" s="2" t="str">
        <f t="shared" si="19"/>
        <v>Error?</v>
      </c>
    </row>
    <row r="1340" spans="1:4" x14ac:dyDescent="0.2">
      <c r="A1340" s="5">
        <v>1279</v>
      </c>
      <c r="B1340" s="138">
        <f>'Expenditures 15-22'!C210</f>
        <v>79928</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11959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11959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11959</v>
      </c>
      <c r="C1353" s="2" t="s">
        <v>573</v>
      </c>
      <c r="D1353" s="2" t="str">
        <f t="shared" si="20"/>
        <v>Error?</v>
      </c>
    </row>
    <row r="1354" spans="1:4" x14ac:dyDescent="0.2">
      <c r="A1354" s="5">
        <v>1293</v>
      </c>
      <c r="B1354" s="138">
        <f>'Expenditures 15-22'!F182</f>
        <v>21188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21188</v>
      </c>
      <c r="C1358" s="2" t="s">
        <v>573</v>
      </c>
      <c r="D1358" s="2" t="str">
        <f t="shared" si="20"/>
        <v>Error?</v>
      </c>
    </row>
    <row r="1359" spans="1:4" x14ac:dyDescent="0.2">
      <c r="A1359" s="5">
        <v>1298</v>
      </c>
      <c r="B1359" s="138">
        <f>'Expenditures 15-22'!F210</f>
        <v>21188</v>
      </c>
      <c r="C1359" s="2" t="s">
        <v>573</v>
      </c>
      <c r="D1359" s="2" t="str">
        <f t="shared" si="20"/>
        <v>Error?</v>
      </c>
    </row>
    <row r="1360" spans="1:4" x14ac:dyDescent="0.2">
      <c r="A1360" s="5">
        <v>1299</v>
      </c>
      <c r="B1360" s="138">
        <f>'Expenditures 15-22'!G182</f>
        <v>134772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134772</v>
      </c>
      <c r="C1364" s="2" t="s">
        <v>573</v>
      </c>
      <c r="D1364" s="2" t="str">
        <f t="shared" si="20"/>
        <v>Error?</v>
      </c>
    </row>
    <row r="1365" spans="1:4" x14ac:dyDescent="0.2">
      <c r="A1365" s="5">
        <v>1304</v>
      </c>
      <c r="B1365" s="138">
        <f>'Expenditures 15-22'!G210</f>
        <v>134772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44736</v>
      </c>
      <c r="C1375" s="2" t="s">
        <v>573</v>
      </c>
      <c r="D1375" s="2" t="str">
        <f t="shared" si="20"/>
        <v>Error?</v>
      </c>
    </row>
    <row r="1376" spans="1:4" x14ac:dyDescent="0.2">
      <c r="A1376" s="5">
        <v>1315</v>
      </c>
      <c r="B1376" s="138">
        <f>'Expenditures 15-22'!H210</f>
        <v>44736</v>
      </c>
      <c r="C1376" s="2" t="s">
        <v>573</v>
      </c>
      <c r="D1376" s="2" t="str">
        <f t="shared" si="20"/>
        <v>Error?</v>
      </c>
    </row>
    <row r="1377" spans="1:4" x14ac:dyDescent="0.2">
      <c r="A1377" s="5">
        <v>1316</v>
      </c>
      <c r="B1377" s="138">
        <f>'Expenditures 15-22'!K182</f>
        <v>247847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247847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44736</v>
      </c>
      <c r="C1387" s="2" t="s">
        <v>573</v>
      </c>
      <c r="D1387" s="2" t="str">
        <f t="shared" si="20"/>
        <v>Error?</v>
      </c>
    </row>
    <row r="1388" spans="1:4" x14ac:dyDescent="0.2">
      <c r="A1388" s="5">
        <v>1327</v>
      </c>
      <c r="B1388" s="138">
        <f>'Expenditures 15-22'!K210</f>
        <v>292583</v>
      </c>
      <c r="C1388" s="2" t="s">
        <v>573</v>
      </c>
      <c r="D1388" s="2" t="str">
        <f t="shared" si="20"/>
        <v>Error?</v>
      </c>
    </row>
    <row r="1389" spans="1:4" x14ac:dyDescent="0.2">
      <c r="A1389" s="5">
        <v>1328</v>
      </c>
      <c r="B1389" s="138">
        <f>'Expenditures 15-22'!K211</f>
        <v>-111285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4096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71103</v>
      </c>
      <c r="C1410" s="2" t="s">
        <v>573</v>
      </c>
      <c r="D1410" s="2" t="str">
        <f t="shared" si="21"/>
        <v>Error?</v>
      </c>
    </row>
    <row r="1411" spans="1:4" x14ac:dyDescent="0.2">
      <c r="A1411" s="5">
        <v>1350</v>
      </c>
      <c r="B1411" s="138">
        <f>'Expenditures 15-22'!D232</f>
        <v>563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4334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657</v>
      </c>
      <c r="D1415" s="2" t="str">
        <f t="shared" si="21"/>
        <v>Error?</v>
      </c>
    </row>
    <row r="1416" spans="1:4" x14ac:dyDescent="0.2">
      <c r="A1416" s="5">
        <v>1355</v>
      </c>
      <c r="B1416" s="138">
        <f>'Expenditures 15-22'!D237</f>
        <v>12847</v>
      </c>
      <c r="D1416" s="2" t="str">
        <f t="shared" si="21"/>
        <v>Error?</v>
      </c>
    </row>
    <row r="1417" spans="1:4" x14ac:dyDescent="0.2">
      <c r="A1417" s="5">
        <v>1356</v>
      </c>
      <c r="B1417" s="138">
        <f>'Expenditures 15-22'!D238</f>
        <v>18401</v>
      </c>
      <c r="C1417" s="2" t="s">
        <v>573</v>
      </c>
      <c r="D1417" s="2" t="str">
        <f t="shared" si="21"/>
        <v>Error?</v>
      </c>
    </row>
    <row r="1418" spans="1:4" x14ac:dyDescent="0.2">
      <c r="A1418" s="5">
        <v>1357</v>
      </c>
      <c r="B1418" s="138">
        <f>'Expenditures 15-22'!D240</f>
        <v>1216</v>
      </c>
      <c r="D1418" s="2" t="str">
        <f t="shared" si="21"/>
        <v>Error?</v>
      </c>
    </row>
    <row r="1419" spans="1:4" x14ac:dyDescent="0.2">
      <c r="A1419" s="5">
        <v>1358</v>
      </c>
      <c r="B1419" s="138">
        <f>'Expenditures 15-22'!D241</f>
        <v>2169</v>
      </c>
      <c r="D1419" s="2" t="str">
        <f t="shared" si="21"/>
        <v>Error?</v>
      </c>
    </row>
    <row r="1420" spans="1:4" x14ac:dyDescent="0.2">
      <c r="A1420" s="5">
        <v>1359</v>
      </c>
      <c r="B1420" s="138">
        <f>'Expenditures 15-22'!D242</f>
        <v>4254</v>
      </c>
      <c r="D1420" s="2" t="str">
        <f t="shared" si="21"/>
        <v>Error?</v>
      </c>
    </row>
    <row r="1421" spans="1:4" x14ac:dyDescent="0.2">
      <c r="A1421" s="5">
        <v>1360</v>
      </c>
      <c r="B1421" s="138">
        <f>'Expenditures 15-22'!D243</f>
        <v>7639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14935</v>
      </c>
      <c r="C1424" s="2" t="s">
        <v>573</v>
      </c>
      <c r="D1424" s="2" t="str">
        <f t="shared" si="21"/>
        <v>Error?</v>
      </c>
    </row>
    <row r="1425" spans="1:4" x14ac:dyDescent="0.2">
      <c r="A1425" s="5">
        <v>1364</v>
      </c>
      <c r="B1425" s="138">
        <f>'Expenditures 15-22'!D259</f>
        <v>3195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3195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10433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15315</v>
      </c>
      <c r="D1431" s="2" t="str">
        <f t="shared" si="21"/>
        <v>Error?</v>
      </c>
    </row>
    <row r="1432" spans="1:4" x14ac:dyDescent="0.2">
      <c r="A1432" s="5">
        <v>1371</v>
      </c>
      <c r="B1432" s="138">
        <f>'Expenditures 15-22'!D267</f>
        <v>12299</v>
      </c>
      <c r="D1432" s="2" t="str">
        <f t="shared" si="21"/>
        <v>Error?</v>
      </c>
    </row>
    <row r="1433" spans="1:4" x14ac:dyDescent="0.2">
      <c r="A1433" s="5">
        <v>1372</v>
      </c>
      <c r="B1433" s="138">
        <f>'Expenditures 15-22'!D268</f>
        <v>15243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53290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97460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168563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4096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2047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71103</v>
      </c>
      <c r="C1474" s="2" t="s">
        <v>573</v>
      </c>
      <c r="D1474" s="2" t="str">
        <f t="shared" si="22"/>
        <v>Error?</v>
      </c>
    </row>
    <row r="1475" spans="1:4" x14ac:dyDescent="0.2">
      <c r="A1475" s="5">
        <v>1414</v>
      </c>
      <c r="B1475" s="138">
        <f>'Expenditures 15-22'!K232</f>
        <v>563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4334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657</v>
      </c>
      <c r="C1479" s="2" t="s">
        <v>573</v>
      </c>
      <c r="D1479" s="2" t="str">
        <f t="shared" si="22"/>
        <v>Error?</v>
      </c>
    </row>
    <row r="1480" spans="1:4" x14ac:dyDescent="0.2">
      <c r="A1480" s="5">
        <v>1419</v>
      </c>
      <c r="B1480" s="138">
        <f>'Expenditures 15-22'!K237</f>
        <v>12847</v>
      </c>
      <c r="C1480" s="2" t="s">
        <v>573</v>
      </c>
      <c r="D1480" s="2" t="str">
        <f t="shared" si="22"/>
        <v>Error?</v>
      </c>
    </row>
    <row r="1481" spans="1:4" x14ac:dyDescent="0.2">
      <c r="A1481" s="5">
        <v>1420</v>
      </c>
      <c r="B1481" s="138">
        <f>'Expenditures 15-22'!K238</f>
        <v>18401</v>
      </c>
      <c r="C1481" s="2" t="s">
        <v>573</v>
      </c>
      <c r="D1481" s="2" t="str">
        <f t="shared" si="22"/>
        <v>Error?</v>
      </c>
    </row>
    <row r="1482" spans="1:4" x14ac:dyDescent="0.2">
      <c r="A1482" s="5">
        <v>1421</v>
      </c>
      <c r="B1482" s="138">
        <f>'Expenditures 15-22'!K240</f>
        <v>1216</v>
      </c>
      <c r="C1482" s="2" t="s">
        <v>573</v>
      </c>
      <c r="D1482" s="2" t="str">
        <f t="shared" si="22"/>
        <v>Error?</v>
      </c>
    </row>
    <row r="1483" spans="1:4" x14ac:dyDescent="0.2">
      <c r="A1483" s="5">
        <v>1422</v>
      </c>
      <c r="B1483" s="138">
        <f>'Expenditures 15-22'!K241</f>
        <v>2169</v>
      </c>
      <c r="C1483" s="2" t="s">
        <v>573</v>
      </c>
      <c r="D1483" s="2" t="str">
        <f t="shared" si="22"/>
        <v>Error?</v>
      </c>
    </row>
    <row r="1484" spans="1:4" x14ac:dyDescent="0.2">
      <c r="A1484" s="5">
        <v>1423</v>
      </c>
      <c r="B1484" s="138">
        <f>'Expenditures 15-22'!K242</f>
        <v>4254</v>
      </c>
      <c r="C1484" s="2" t="s">
        <v>573</v>
      </c>
      <c r="D1484" s="2" t="str">
        <f t="shared" si="22"/>
        <v>Error?</v>
      </c>
    </row>
    <row r="1485" spans="1:4" x14ac:dyDescent="0.2">
      <c r="A1485" s="5">
        <v>1424</v>
      </c>
      <c r="B1485" s="138">
        <f>'Expenditures 15-22'!K243</f>
        <v>7639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14935</v>
      </c>
      <c r="C1488" s="2" t="s">
        <v>573</v>
      </c>
      <c r="D1488" s="2" t="str">
        <f t="shared" si="22"/>
        <v>Error?</v>
      </c>
    </row>
    <row r="1489" spans="1:4" x14ac:dyDescent="0.2">
      <c r="A1489" s="5">
        <v>1428</v>
      </c>
      <c r="B1489" s="138">
        <f>'Expenditures 15-22'!K259</f>
        <v>3195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3195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10433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15315</v>
      </c>
      <c r="C1495" s="2" t="s">
        <v>573</v>
      </c>
      <c r="D1495" s="2" t="str">
        <f t="shared" si="22"/>
        <v>Error?</v>
      </c>
    </row>
    <row r="1496" spans="1:4" x14ac:dyDescent="0.2">
      <c r="A1496" s="5">
        <v>1435</v>
      </c>
      <c r="B1496" s="138">
        <f>'Expenditures 15-22'!K267</f>
        <v>12299</v>
      </c>
      <c r="C1496" s="2" t="s">
        <v>573</v>
      </c>
      <c r="D1496" s="2" t="str">
        <f t="shared" si="22"/>
        <v>Error?</v>
      </c>
    </row>
    <row r="1497" spans="1:4" x14ac:dyDescent="0.2">
      <c r="A1497" s="5">
        <v>1436</v>
      </c>
      <c r="B1497" s="138">
        <f>'Expenditures 15-22'!K268</f>
        <v>15243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53290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97460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168563</v>
      </c>
      <c r="C1517" s="2" t="s">
        <v>573</v>
      </c>
      <c r="D1517" s="2" t="str">
        <f t="shared" si="22"/>
        <v>Error?</v>
      </c>
    </row>
    <row r="1518" spans="1:4" x14ac:dyDescent="0.2">
      <c r="A1518" s="5">
        <v>1457</v>
      </c>
      <c r="B1518" s="138">
        <f>'Expenditures 15-22'!K296</f>
        <v>31495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687114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751780</v>
      </c>
      <c r="C1630" s="2" t="s">
        <v>573</v>
      </c>
      <c r="D1630" s="2" t="str">
        <f t="shared" si="24"/>
        <v>Error?</v>
      </c>
    </row>
    <row r="1631" spans="1:4" x14ac:dyDescent="0.2">
      <c r="A1631" s="5">
        <v>1570</v>
      </c>
      <c r="B1631" s="138">
        <f>'Acct Summary 7-8'!D79</f>
        <v>125093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122018</v>
      </c>
      <c r="C1644" s="2" t="s">
        <v>573</v>
      </c>
      <c r="D1644" s="2" t="str">
        <f t="shared" si="24"/>
        <v>Error?</v>
      </c>
    </row>
    <row r="1645" spans="1:4" x14ac:dyDescent="0.2">
      <c r="A1645" s="5">
        <v>1584</v>
      </c>
      <c r="B1645" s="138">
        <f>'Acct Summary 7-8'!E79</f>
        <v>28482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36183</v>
      </c>
      <c r="C1658" s="2" t="s">
        <v>573</v>
      </c>
      <c r="D1658" s="2" t="str">
        <f t="shared" si="24"/>
        <v>Error?</v>
      </c>
    </row>
    <row r="1659" spans="1:4" x14ac:dyDescent="0.2">
      <c r="A1659" s="5">
        <v>1598</v>
      </c>
      <c r="B1659" s="138">
        <f>'Acct Summary 7-8'!F79</f>
        <v>99969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123456</v>
      </c>
      <c r="C1672" s="2" t="s">
        <v>573</v>
      </c>
      <c r="D1672" s="2" t="str">
        <f t="shared" si="25"/>
        <v>Error?</v>
      </c>
    </row>
    <row r="1673" spans="1:4" x14ac:dyDescent="0.2">
      <c r="A1673" s="5">
        <v>1612</v>
      </c>
      <c r="B1673" s="138">
        <f>'Acct Summary 7-8'!G79</f>
        <v>280493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311988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334282</v>
      </c>
      <c r="C1744" s="2" t="s">
        <v>573</v>
      </c>
      <c r="D1744" s="2" t="str">
        <f t="shared" si="26"/>
        <v>Error?</v>
      </c>
    </row>
    <row r="1745" spans="1:5" x14ac:dyDescent="0.2">
      <c r="A1745" s="5">
        <v>1684</v>
      </c>
      <c r="B1745" s="138">
        <f>'Tax Sched 23'!B5</f>
        <v>90883</v>
      </c>
      <c r="C1745" s="2" t="s">
        <v>573</v>
      </c>
      <c r="D1745" s="2" t="str">
        <f t="shared" si="26"/>
        <v>Error?</v>
      </c>
    </row>
    <row r="1746" spans="1:5" x14ac:dyDescent="0.2">
      <c r="A1746" s="5">
        <v>1685</v>
      </c>
      <c r="B1746" s="138">
        <f>'Tax Sched 23'!B6</f>
        <v>206268</v>
      </c>
      <c r="C1746" s="2" t="s">
        <v>573</v>
      </c>
      <c r="D1746" s="2" t="str">
        <f t="shared" si="26"/>
        <v>Error?</v>
      </c>
    </row>
    <row r="1747" spans="1:5" x14ac:dyDescent="0.2">
      <c r="A1747" s="5">
        <v>1686</v>
      </c>
      <c r="B1747" s="138">
        <f>'Tax Sched 23'!B7</f>
        <v>43624</v>
      </c>
      <c r="C1747" s="2" t="s">
        <v>573</v>
      </c>
      <c r="D1747" s="2" t="str">
        <f t="shared" si="26"/>
        <v>Error?</v>
      </c>
    </row>
    <row r="1748" spans="1:5" x14ac:dyDescent="0.2">
      <c r="A1748" s="5">
        <v>1687</v>
      </c>
      <c r="B1748" s="138">
        <f>'Tax Sched 23'!B8</f>
        <v>78258</v>
      </c>
      <c r="C1748" s="2" t="s">
        <v>573</v>
      </c>
      <c r="D1748" s="2" t="str">
        <f t="shared" si="26"/>
        <v>Error?</v>
      </c>
    </row>
    <row r="1749" spans="1:5" x14ac:dyDescent="0.2">
      <c r="A1749" s="5">
        <v>1688</v>
      </c>
      <c r="B1749" s="138">
        <f>'Tax Sched 23'!B10</f>
        <v>18177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174885</v>
      </c>
      <c r="C1752" s="2" t="s">
        <v>573</v>
      </c>
      <c r="D1752" s="2" t="str">
        <f t="shared" si="26"/>
        <v>Error?</v>
      </c>
    </row>
    <row r="1753" spans="1:5" x14ac:dyDescent="0.2">
      <c r="A1753" s="5">
        <v>1692</v>
      </c>
      <c r="B1753" s="138">
        <f>'Tax Sched 23'!B12</f>
        <v>18177</v>
      </c>
      <c r="C1753" s="2" t="s">
        <v>573</v>
      </c>
      <c r="D1753" s="2" t="str">
        <f t="shared" si="26"/>
        <v>Error?</v>
      </c>
    </row>
    <row r="1754" spans="1:5" x14ac:dyDescent="0.2">
      <c r="A1754" s="5">
        <v>1693</v>
      </c>
      <c r="B1754" s="138">
        <f>'Tax Sched 23'!B14</f>
        <v>7271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1057448</v>
      </c>
      <c r="C1759" s="2" t="s">
        <v>573</v>
      </c>
      <c r="D1759" s="2" t="str">
        <f t="shared" si="26"/>
        <v>Error?</v>
      </c>
    </row>
    <row r="1760" spans="1:5" x14ac:dyDescent="0.2">
      <c r="A1760" s="5">
        <v>1699</v>
      </c>
      <c r="B1760" s="138">
        <f>'Tax Sched 23'!D4</f>
        <v>334282</v>
      </c>
      <c r="C1760" s="2" t="s">
        <v>573</v>
      </c>
      <c r="D1760" s="2" t="str">
        <f t="shared" si="26"/>
        <v>Error?</v>
      </c>
    </row>
    <row r="1761" spans="1:5" x14ac:dyDescent="0.2">
      <c r="A1761" s="5">
        <v>1700</v>
      </c>
      <c r="B1761" s="138">
        <f>'Tax Sched 23'!D5</f>
        <v>90883</v>
      </c>
      <c r="C1761" s="2" t="s">
        <v>573</v>
      </c>
      <c r="D1761" s="2" t="str">
        <f t="shared" si="26"/>
        <v>Error?</v>
      </c>
    </row>
    <row r="1762" spans="1:5" s="8" customFormat="1" x14ac:dyDescent="0.2">
      <c r="A1762" s="5">
        <v>1701</v>
      </c>
      <c r="B1762" s="138">
        <f>'Tax Sched 23'!D6</f>
        <v>206268</v>
      </c>
      <c r="C1762" s="2" t="s">
        <v>573</v>
      </c>
      <c r="D1762" s="2" t="str">
        <f t="shared" si="26"/>
        <v>Error?</v>
      </c>
      <c r="E1762" s="9"/>
    </row>
    <row r="1763" spans="1:5" x14ac:dyDescent="0.2">
      <c r="A1763" s="5">
        <v>1702</v>
      </c>
      <c r="B1763" s="138">
        <f>'Tax Sched 23'!D7</f>
        <v>43624</v>
      </c>
      <c r="C1763" s="2" t="s">
        <v>573</v>
      </c>
      <c r="D1763" s="2" t="str">
        <f t="shared" si="26"/>
        <v>Error?</v>
      </c>
    </row>
    <row r="1764" spans="1:5" x14ac:dyDescent="0.2">
      <c r="A1764" s="5">
        <v>1703</v>
      </c>
      <c r="B1764" s="138">
        <f>'Tax Sched 23'!D8</f>
        <v>78258</v>
      </c>
      <c r="C1764" s="2" t="s">
        <v>573</v>
      </c>
      <c r="D1764" s="2" t="str">
        <f t="shared" si="26"/>
        <v>Error?</v>
      </c>
    </row>
    <row r="1765" spans="1:5" x14ac:dyDescent="0.2">
      <c r="A1765" s="5">
        <v>1704</v>
      </c>
      <c r="B1765" s="138">
        <f>'Tax Sched 23'!D10</f>
        <v>18177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174885</v>
      </c>
      <c r="C1768" s="2" t="s">
        <v>573</v>
      </c>
      <c r="D1768" s="2" t="str">
        <f t="shared" si="26"/>
        <v>Error?</v>
      </c>
    </row>
    <row r="1769" spans="1:5" x14ac:dyDescent="0.2">
      <c r="A1769" s="5">
        <v>1708</v>
      </c>
      <c r="B1769" s="138">
        <f>'Tax Sched 23'!D12</f>
        <v>18177</v>
      </c>
      <c r="C1769" s="2" t="s">
        <v>573</v>
      </c>
      <c r="D1769" s="2" t="str">
        <f t="shared" si="26"/>
        <v>Error?</v>
      </c>
    </row>
    <row r="1770" spans="1:5" x14ac:dyDescent="0.2">
      <c r="A1770" s="5">
        <v>1709</v>
      </c>
      <c r="B1770" s="138">
        <f>'Tax Sched 23'!D14</f>
        <v>7271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1057448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345433</v>
      </c>
      <c r="C1792" s="2" t="s">
        <v>573</v>
      </c>
      <c r="D1792" s="2" t="str">
        <f t="shared" si="27"/>
        <v>Error?</v>
      </c>
    </row>
    <row r="1793" spans="1:4" x14ac:dyDescent="0.2">
      <c r="A1793" s="5">
        <v>1732</v>
      </c>
      <c r="B1793" s="138">
        <f>'Tax Sched 23'!F5</f>
        <v>93868</v>
      </c>
      <c r="C1793" s="2" t="s">
        <v>573</v>
      </c>
      <c r="D1793" s="2" t="str">
        <f t="shared" si="27"/>
        <v>Error?</v>
      </c>
    </row>
    <row r="1794" spans="1:4" x14ac:dyDescent="0.2">
      <c r="A1794" s="5">
        <v>1733</v>
      </c>
      <c r="B1794" s="138">
        <f>'Tax Sched 23'!F6</f>
        <v>208751</v>
      </c>
      <c r="C1794" s="2" t="s">
        <v>573</v>
      </c>
      <c r="D1794" s="2" t="str">
        <f t="shared" si="27"/>
        <v>Error?</v>
      </c>
    </row>
    <row r="1795" spans="1:4" x14ac:dyDescent="0.2">
      <c r="A1795" s="5">
        <v>1734</v>
      </c>
      <c r="B1795" s="138">
        <f>'Tax Sched 23'!F7</f>
        <v>45056</v>
      </c>
      <c r="C1795" s="2" t="s">
        <v>573</v>
      </c>
      <c r="D1795" s="2" t="str">
        <f t="shared" si="27"/>
        <v>Error?</v>
      </c>
    </row>
    <row r="1796" spans="1:4" x14ac:dyDescent="0.2">
      <c r="A1796" s="5">
        <v>1735</v>
      </c>
      <c r="B1796" s="138">
        <f>'Tax Sched 23'!F8</f>
        <v>65001</v>
      </c>
      <c r="C1796" s="2" t="s">
        <v>573</v>
      </c>
      <c r="D1796" s="2" t="str">
        <f t="shared" si="27"/>
        <v>Error?</v>
      </c>
    </row>
    <row r="1797" spans="1:4" x14ac:dyDescent="0.2">
      <c r="A1797" s="5">
        <v>1736</v>
      </c>
      <c r="B1797" s="138">
        <f>'Tax Sched 23'!F10</f>
        <v>18774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198001</v>
      </c>
      <c r="C1800" s="2" t="s">
        <v>573</v>
      </c>
      <c r="D1800" s="2" t="str">
        <f t="shared" si="27"/>
        <v>Error?</v>
      </c>
    </row>
    <row r="1801" spans="1:4" x14ac:dyDescent="0.2">
      <c r="A1801" s="5">
        <v>1740</v>
      </c>
      <c r="B1801" s="138">
        <f>'Tax Sched 23'!F12</f>
        <v>18774</v>
      </c>
      <c r="C1801" s="2" t="s">
        <v>573</v>
      </c>
      <c r="D1801" s="2" t="str">
        <f t="shared" si="27"/>
        <v>Error?</v>
      </c>
    </row>
    <row r="1802" spans="1:4" x14ac:dyDescent="0.2">
      <c r="A1802" s="5">
        <v>1741</v>
      </c>
      <c r="B1802" s="138">
        <f>'Tax Sched 23'!F14</f>
        <v>7509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1089944</v>
      </c>
      <c r="C1807" s="2" t="s">
        <v>573</v>
      </c>
      <c r="D1807" s="2" t="str">
        <f t="shared" si="27"/>
        <v>Error?</v>
      </c>
    </row>
    <row r="1808" spans="1:4" x14ac:dyDescent="0.2">
      <c r="A1808" s="5">
        <v>1747</v>
      </c>
      <c r="B1808" s="138">
        <f>'Tax Sched 23'!E4</f>
        <v>345433</v>
      </c>
      <c r="D1808" s="2" t="str">
        <f t="shared" si="27"/>
        <v>Error?</v>
      </c>
    </row>
    <row r="1809" spans="1:4" x14ac:dyDescent="0.2">
      <c r="A1809" s="5">
        <v>1748</v>
      </c>
      <c r="B1809" s="138">
        <f>'Tax Sched 23'!E5</f>
        <v>93868</v>
      </c>
      <c r="D1809" s="2" t="str">
        <f t="shared" si="27"/>
        <v>Error?</v>
      </c>
    </row>
    <row r="1810" spans="1:4" x14ac:dyDescent="0.2">
      <c r="A1810" s="5">
        <v>1749</v>
      </c>
      <c r="B1810" s="138">
        <f>'Tax Sched 23'!E6</f>
        <v>208751</v>
      </c>
      <c r="D1810" s="2" t="str">
        <f t="shared" si="27"/>
        <v>Error?</v>
      </c>
    </row>
    <row r="1811" spans="1:4" x14ac:dyDescent="0.2">
      <c r="A1811" s="5">
        <v>1750</v>
      </c>
      <c r="B1811" s="138">
        <f>'Tax Sched 23'!E7</f>
        <v>45056</v>
      </c>
      <c r="D1811" s="2" t="str">
        <f t="shared" si="27"/>
        <v>Error?</v>
      </c>
    </row>
    <row r="1812" spans="1:4" x14ac:dyDescent="0.2">
      <c r="A1812" s="5">
        <v>1751</v>
      </c>
      <c r="B1812" s="138">
        <f>'Tax Sched 23'!E8</f>
        <v>65001</v>
      </c>
      <c r="D1812" s="2" t="str">
        <f t="shared" si="27"/>
        <v>Error?</v>
      </c>
    </row>
    <row r="1813" spans="1:4" x14ac:dyDescent="0.2">
      <c r="A1813" s="5">
        <v>1752</v>
      </c>
      <c r="B1813" s="138">
        <f>'Tax Sched 23'!E10</f>
        <v>18774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198001</v>
      </c>
      <c r="D1816" s="2" t="str">
        <f t="shared" si="27"/>
        <v>Error?</v>
      </c>
    </row>
    <row r="1817" spans="1:4" x14ac:dyDescent="0.2">
      <c r="A1817" s="5">
        <v>1756</v>
      </c>
      <c r="B1817" s="138">
        <f>'Tax Sched 23'!E12</f>
        <v>18774</v>
      </c>
      <c r="D1817" s="2" t="str">
        <f t="shared" si="27"/>
        <v>Error?</v>
      </c>
    </row>
    <row r="1818" spans="1:4" x14ac:dyDescent="0.2">
      <c r="A1818" s="5">
        <v>1757</v>
      </c>
      <c r="B1818" s="138">
        <f>'Tax Sched 23'!E14</f>
        <v>7509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1089944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2295530</v>
      </c>
      <c r="C1939" s="2" t="s">
        <v>573</v>
      </c>
      <c r="D1939" s="2" t="str">
        <f t="shared" si="29"/>
        <v>Error?</v>
      </c>
    </row>
    <row r="1940" spans="1:5" x14ac:dyDescent="0.2">
      <c r="A1940" s="5">
        <v>1879</v>
      </c>
      <c r="B1940" s="138">
        <f>'Short-Term Long-Term Debt 24'!F49</f>
        <v>134772</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7271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7271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7271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127186</v>
      </c>
      <c r="D2008" s="2" t="str">
        <f t="shared" si="30"/>
        <v>Error?</v>
      </c>
    </row>
    <row r="2009" spans="1:4" x14ac:dyDescent="0.2">
      <c r="A2009" s="5">
        <v>1948</v>
      </c>
      <c r="B2009" s="138">
        <f>'Cap Outlay Deprec 26'!C8</f>
        <v>6195381</v>
      </c>
      <c r="D2009" s="2" t="str">
        <f t="shared" si="30"/>
        <v>Error?</v>
      </c>
    </row>
    <row r="2010" spans="1:4" x14ac:dyDescent="0.2">
      <c r="A2010" s="5">
        <v>1949</v>
      </c>
      <c r="B2010" s="138">
        <f>'Cap Outlay Deprec 26'!C10</f>
        <v>422014</v>
      </c>
      <c r="D2010" s="2" t="str">
        <f t="shared" si="30"/>
        <v>Error?</v>
      </c>
    </row>
    <row r="2011" spans="1:4" x14ac:dyDescent="0.2">
      <c r="A2011" s="5">
        <v>1950</v>
      </c>
      <c r="B2011" s="138">
        <f>'Cap Outlay Deprec 26'!C12</f>
        <v>897551</v>
      </c>
      <c r="D2011" s="2" t="str">
        <f t="shared" si="30"/>
        <v>Error?</v>
      </c>
    </row>
    <row r="2012" spans="1:4" x14ac:dyDescent="0.2">
      <c r="A2012" s="5">
        <v>1951</v>
      </c>
      <c r="B2012" s="138">
        <f>'Cap Outlay Deprec 26'!C13</f>
        <v>435429</v>
      </c>
      <c r="D2012" s="2" t="str">
        <f t="shared" si="30"/>
        <v>Error?</v>
      </c>
    </row>
    <row r="2013" spans="1:4" x14ac:dyDescent="0.2">
      <c r="A2013" s="5">
        <v>1952</v>
      </c>
      <c r="B2013" s="138">
        <f>'Cap Outlay Deprec 26'!C16</f>
        <v>8077561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2500</v>
      </c>
      <c r="D2016" s="2" t="str">
        <f t="shared" si="30"/>
        <v>Error?</v>
      </c>
    </row>
    <row r="2017" spans="1:4" x14ac:dyDescent="0.2">
      <c r="A2017" s="5">
        <v>1956</v>
      </c>
      <c r="B2017" s="138">
        <f>'Cap Outlay Deprec 26'!D12</f>
        <v>11932</v>
      </c>
      <c r="D2017" s="2" t="str">
        <f t="shared" si="30"/>
        <v>Error?</v>
      </c>
    </row>
    <row r="2018" spans="1:4" x14ac:dyDescent="0.2">
      <c r="A2018" s="5">
        <v>1957</v>
      </c>
      <c r="B2018" s="138">
        <f>'Cap Outlay Deprec 26'!D13</f>
        <v>155375</v>
      </c>
      <c r="D2018" s="2" t="str">
        <f t="shared" si="30"/>
        <v>Error?</v>
      </c>
    </row>
    <row r="2019" spans="1:4" x14ac:dyDescent="0.2">
      <c r="A2019" s="5">
        <v>1958</v>
      </c>
      <c r="B2019" s="138">
        <f>'Cap Outlay Deprec 26'!D16</f>
        <v>169807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72621</v>
      </c>
      <c r="D2024" s="2" t="str">
        <f t="shared" si="30"/>
        <v>Error?</v>
      </c>
    </row>
    <row r="2025" spans="1:4" x14ac:dyDescent="0.2">
      <c r="A2025" s="5">
        <v>1964</v>
      </c>
      <c r="B2025" s="138">
        <f>'Cap Outlay Deprec 26'!E16</f>
        <v>72621</v>
      </c>
      <c r="C2025" s="2" t="s">
        <v>573</v>
      </c>
      <c r="D2025" s="2" t="str">
        <f t="shared" si="30"/>
        <v>Error?</v>
      </c>
    </row>
    <row r="2026" spans="1:4" x14ac:dyDescent="0.2">
      <c r="A2026" s="5">
        <v>1965</v>
      </c>
      <c r="B2026" s="138">
        <f>'Cap Outlay Deprec 26'!F5</f>
        <v>127186</v>
      </c>
      <c r="C2026" s="2" t="s">
        <v>573</v>
      </c>
      <c r="D2026" s="2" t="str">
        <f t="shared" si="30"/>
        <v>Error?</v>
      </c>
    </row>
    <row r="2027" spans="1:4" x14ac:dyDescent="0.2">
      <c r="A2027" s="5">
        <v>1966</v>
      </c>
      <c r="B2027" s="138">
        <f>'Cap Outlay Deprec 26'!F8</f>
        <v>6195381</v>
      </c>
      <c r="C2027" s="2" t="s">
        <v>573</v>
      </c>
      <c r="D2027" s="2" t="str">
        <f t="shared" si="30"/>
        <v>Error?</v>
      </c>
    </row>
    <row r="2028" spans="1:4" x14ac:dyDescent="0.2">
      <c r="A2028" s="5">
        <v>1967</v>
      </c>
      <c r="B2028" s="138">
        <f>'Cap Outlay Deprec 26'!F10</f>
        <v>424514</v>
      </c>
      <c r="C2028" s="2" t="s">
        <v>573</v>
      </c>
      <c r="D2028" s="2" t="str">
        <f t="shared" si="30"/>
        <v>Error?</v>
      </c>
    </row>
    <row r="2029" spans="1:4" x14ac:dyDescent="0.2">
      <c r="A2029" s="5">
        <v>1968</v>
      </c>
      <c r="B2029" s="138">
        <f>'Cap Outlay Deprec 26'!F12</f>
        <v>909483</v>
      </c>
      <c r="C2029" s="2" t="s">
        <v>573</v>
      </c>
      <c r="D2029" s="2" t="str">
        <f t="shared" si="30"/>
        <v>Error?</v>
      </c>
    </row>
    <row r="2030" spans="1:4" x14ac:dyDescent="0.2">
      <c r="A2030" s="5">
        <v>1969</v>
      </c>
      <c r="B2030" s="138">
        <f>'Cap Outlay Deprec 26'!F13</f>
        <v>518183</v>
      </c>
      <c r="C2030" s="2" t="s">
        <v>573</v>
      </c>
      <c r="D2030" s="2" t="str">
        <f t="shared" si="30"/>
        <v>Error?</v>
      </c>
    </row>
    <row r="2031" spans="1:4" x14ac:dyDescent="0.2">
      <c r="A2031" s="5">
        <v>1970</v>
      </c>
      <c r="B2031" s="138">
        <f>'Cap Outlay Deprec 26'!F16</f>
        <v>8174747</v>
      </c>
      <c r="C2031" s="2" t="s">
        <v>573</v>
      </c>
      <c r="D2031" s="2" t="str">
        <f t="shared" si="30"/>
        <v>Error?</v>
      </c>
    </row>
    <row r="2032" spans="1:4" x14ac:dyDescent="0.2">
      <c r="A2032" s="10">
        <v>1971</v>
      </c>
      <c r="D2032" s="2" t="str">
        <f t="shared" si="30"/>
        <v>OK</v>
      </c>
    </row>
    <row r="2033" spans="1:4" x14ac:dyDescent="0.2">
      <c r="A2033" s="5">
        <v>1972</v>
      </c>
      <c r="B2033" s="138">
        <f>'Cap Outlay Deprec 26'!H8</f>
        <v>1835403</v>
      </c>
      <c r="D2033" s="2" t="str">
        <f t="shared" si="30"/>
        <v>Error?</v>
      </c>
    </row>
    <row r="2034" spans="1:4" x14ac:dyDescent="0.2">
      <c r="A2034" s="5">
        <v>1973</v>
      </c>
      <c r="B2034" s="138">
        <f>'Cap Outlay Deprec 26'!H10</f>
        <v>203205</v>
      </c>
      <c r="D2034" s="2" t="str">
        <f t="shared" si="30"/>
        <v>Error?</v>
      </c>
    </row>
    <row r="2035" spans="1:4" x14ac:dyDescent="0.2">
      <c r="A2035" s="5">
        <v>1974</v>
      </c>
      <c r="B2035" s="138">
        <f>'Cap Outlay Deprec 26'!H12</f>
        <v>676590</v>
      </c>
      <c r="D2035" s="2" t="str">
        <f t="shared" si="30"/>
        <v>Error?</v>
      </c>
    </row>
    <row r="2036" spans="1:4" x14ac:dyDescent="0.2">
      <c r="A2036" s="5">
        <v>1975</v>
      </c>
      <c r="B2036" s="138">
        <f>'Cap Outlay Deprec 26'!H13</f>
        <v>355567</v>
      </c>
      <c r="D2036" s="2" t="str">
        <f t="shared" si="30"/>
        <v>Error?</v>
      </c>
    </row>
    <row r="2037" spans="1:4" x14ac:dyDescent="0.2">
      <c r="A2037" s="5">
        <v>1976</v>
      </c>
      <c r="B2037" s="138">
        <f>'Cap Outlay Deprec 26'!H16</f>
        <v>3070765</v>
      </c>
      <c r="C2037" s="2" t="s">
        <v>573</v>
      </c>
      <c r="D2037" s="2" t="str">
        <f t="shared" si="30"/>
        <v>Error?</v>
      </c>
    </row>
    <row r="2038" spans="1:4" x14ac:dyDescent="0.2">
      <c r="A2038" s="10">
        <v>1977</v>
      </c>
      <c r="D2038" s="2" t="str">
        <f t="shared" si="30"/>
        <v>OK</v>
      </c>
    </row>
    <row r="2039" spans="1:4" x14ac:dyDescent="0.2">
      <c r="A2039" s="5">
        <v>1978</v>
      </c>
      <c r="B2039" s="138">
        <f>'Cap Outlay Deprec 26'!I8</f>
        <v>123908</v>
      </c>
      <c r="D2039" s="2" t="str">
        <f t="shared" si="30"/>
        <v>Error?</v>
      </c>
    </row>
    <row r="2040" spans="1:4" x14ac:dyDescent="0.2">
      <c r="A2040" s="5">
        <v>1979</v>
      </c>
      <c r="B2040" s="138">
        <f>'Cap Outlay Deprec 26'!I10</f>
        <v>21226</v>
      </c>
      <c r="D2040" s="2" t="str">
        <f t="shared" si="30"/>
        <v>Error?</v>
      </c>
    </row>
    <row r="2041" spans="1:4" x14ac:dyDescent="0.2">
      <c r="A2041" s="5">
        <v>1980</v>
      </c>
      <c r="B2041" s="138">
        <f>'Cap Outlay Deprec 26'!I12</f>
        <v>90433</v>
      </c>
      <c r="D2041" s="2" t="str">
        <f t="shared" si="30"/>
        <v>Error?</v>
      </c>
    </row>
    <row r="2042" spans="1:4" x14ac:dyDescent="0.2">
      <c r="A2042" s="5">
        <v>1981</v>
      </c>
      <c r="B2042" s="138">
        <f>'Cap Outlay Deprec 26'!I13</f>
        <v>45585</v>
      </c>
      <c r="D2042" s="2" t="str">
        <f t="shared" si="30"/>
        <v>Error?</v>
      </c>
    </row>
    <row r="2043" spans="1:4" x14ac:dyDescent="0.2">
      <c r="A2043" s="5">
        <v>1982</v>
      </c>
      <c r="B2043" s="138">
        <f>'Cap Outlay Deprec 26'!I16</f>
        <v>281152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68465</v>
      </c>
      <c r="D2048" s="2" t="str">
        <f t="shared" si="31"/>
        <v>Error?</v>
      </c>
    </row>
    <row r="2049" spans="1:4" x14ac:dyDescent="0.2">
      <c r="A2049" s="5">
        <v>1988</v>
      </c>
      <c r="B2049" s="138">
        <f>'Cap Outlay Deprec 26'!J16</f>
        <v>68465</v>
      </c>
      <c r="C2049" s="2" t="s">
        <v>573</v>
      </c>
      <c r="D2049" s="2" t="str">
        <f t="shared" si="31"/>
        <v>Error?</v>
      </c>
    </row>
    <row r="2050" spans="1:4" x14ac:dyDescent="0.2">
      <c r="A2050" s="10">
        <v>1989</v>
      </c>
      <c r="D2050" s="2" t="str">
        <f t="shared" si="31"/>
        <v>OK</v>
      </c>
    </row>
    <row r="2051" spans="1:4" x14ac:dyDescent="0.2">
      <c r="A2051" s="5">
        <v>1990</v>
      </c>
      <c r="B2051" s="138">
        <f>'Cap Outlay Deprec 26'!K8</f>
        <v>1959311</v>
      </c>
      <c r="C2051" s="2" t="s">
        <v>573</v>
      </c>
      <c r="D2051" s="2" t="str">
        <f t="shared" si="31"/>
        <v>Error?</v>
      </c>
    </row>
    <row r="2052" spans="1:4" x14ac:dyDescent="0.2">
      <c r="A2052" s="5">
        <v>1991</v>
      </c>
      <c r="B2052" s="138">
        <f>'Cap Outlay Deprec 26'!K10</f>
        <v>224431</v>
      </c>
      <c r="C2052" s="2" t="s">
        <v>573</v>
      </c>
      <c r="D2052" s="2" t="str">
        <f t="shared" si="31"/>
        <v>Error?</v>
      </c>
    </row>
    <row r="2053" spans="1:4" x14ac:dyDescent="0.2">
      <c r="A2053" s="5">
        <v>1992</v>
      </c>
      <c r="B2053" s="138">
        <f>'Cap Outlay Deprec 26'!K12</f>
        <v>767023</v>
      </c>
      <c r="C2053" s="2" t="s">
        <v>573</v>
      </c>
      <c r="D2053" s="2" t="str">
        <f t="shared" si="31"/>
        <v>Error?</v>
      </c>
    </row>
    <row r="2054" spans="1:4" x14ac:dyDescent="0.2">
      <c r="A2054" s="5">
        <v>1993</v>
      </c>
      <c r="B2054" s="138">
        <f>'Cap Outlay Deprec 26'!K13</f>
        <v>332687</v>
      </c>
      <c r="C2054" s="2" t="s">
        <v>573</v>
      </c>
      <c r="D2054" s="2" t="str">
        <f t="shared" si="31"/>
        <v>Error?</v>
      </c>
    </row>
    <row r="2055" spans="1:4" x14ac:dyDescent="0.2">
      <c r="A2055" s="5">
        <v>1994</v>
      </c>
      <c r="B2055" s="138">
        <f>'Cap Outlay Deprec 26'!K16</f>
        <v>3283452</v>
      </c>
      <c r="C2055" s="2" t="s">
        <v>573</v>
      </c>
      <c r="D2055" s="2" t="str">
        <f t="shared" si="31"/>
        <v>Error?</v>
      </c>
    </row>
    <row r="2056" spans="1:4" x14ac:dyDescent="0.2">
      <c r="A2056" s="5">
        <v>1995</v>
      </c>
      <c r="B2056" s="138">
        <f>'Cap Outlay Deprec 26'!L5</f>
        <v>127186</v>
      </c>
      <c r="C2056" s="2" t="s">
        <v>573</v>
      </c>
      <c r="D2056" s="2" t="str">
        <f t="shared" si="31"/>
        <v>Error?</v>
      </c>
    </row>
    <row r="2057" spans="1:4" x14ac:dyDescent="0.2">
      <c r="A2057" s="5">
        <v>1996</v>
      </c>
      <c r="B2057" s="138">
        <f>'Cap Outlay Deprec 26'!L8</f>
        <v>4236070</v>
      </c>
      <c r="C2057" s="2" t="s">
        <v>573</v>
      </c>
      <c r="D2057" s="2" t="str">
        <f t="shared" si="31"/>
        <v>Error?</v>
      </c>
    </row>
    <row r="2058" spans="1:4" x14ac:dyDescent="0.2">
      <c r="A2058" s="5">
        <v>1997</v>
      </c>
      <c r="B2058" s="138">
        <f>'Cap Outlay Deprec 26'!L10</f>
        <v>200083</v>
      </c>
      <c r="C2058" s="2" t="s">
        <v>573</v>
      </c>
      <c r="D2058" s="2" t="str">
        <f t="shared" si="31"/>
        <v>Error?</v>
      </c>
    </row>
    <row r="2059" spans="1:4" x14ac:dyDescent="0.2">
      <c r="A2059" s="5">
        <v>1998</v>
      </c>
      <c r="B2059" s="138">
        <f>'Cap Outlay Deprec 26'!L12</f>
        <v>142460</v>
      </c>
      <c r="C2059" s="2" t="s">
        <v>573</v>
      </c>
      <c r="D2059" s="2" t="str">
        <f t="shared" si="31"/>
        <v>Error?</v>
      </c>
    </row>
    <row r="2060" spans="1:4" x14ac:dyDescent="0.2">
      <c r="A2060" s="5">
        <v>1999</v>
      </c>
      <c r="B2060" s="138">
        <f>'Cap Outlay Deprec 26'!L13</f>
        <v>185496</v>
      </c>
      <c r="C2060" s="2" t="s">
        <v>573</v>
      </c>
      <c r="D2060" s="2" t="str">
        <f t="shared" si="31"/>
        <v>Error?</v>
      </c>
    </row>
    <row r="2061" spans="1:4" x14ac:dyDescent="0.2">
      <c r="A2061" s="5">
        <v>2000</v>
      </c>
      <c r="B2061" s="138">
        <f>'Cap Outlay Deprec 26'!L16</f>
        <v>4891295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2359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111803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311988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36183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610496</v>
      </c>
      <c r="C2551" s="2" t="s">
        <v>573</v>
      </c>
      <c r="D2551" s="2" t="str">
        <f t="shared" si="38"/>
        <v>Error?</v>
      </c>
    </row>
    <row r="2552" spans="1:4" x14ac:dyDescent="0.2">
      <c r="A2552" s="10">
        <v>2491</v>
      </c>
      <c r="D2552" s="2" t="str">
        <f t="shared" si="38"/>
        <v>OK</v>
      </c>
    </row>
    <row r="2553" spans="1:4" x14ac:dyDescent="0.2">
      <c r="A2553" s="5">
        <v>2492</v>
      </c>
      <c r="B2553" s="138">
        <f>'Acct Summary 7-8'!C6</f>
        <v>2268631</v>
      </c>
      <c r="C2553" s="2" t="s">
        <v>573</v>
      </c>
      <c r="D2553" s="2" t="str">
        <f t="shared" si="38"/>
        <v>Error?</v>
      </c>
    </row>
    <row r="2554" spans="1:4" x14ac:dyDescent="0.2">
      <c r="A2554" s="5">
        <v>2493</v>
      </c>
      <c r="B2554" s="138">
        <f>'Acct Summary 7-8'!C7</f>
        <v>263078</v>
      </c>
      <c r="C2554" s="2" t="s">
        <v>573</v>
      </c>
      <c r="D2554" s="2" t="str">
        <f t="shared" si="38"/>
        <v>Error?</v>
      </c>
    </row>
    <row r="2555" spans="1:4" x14ac:dyDescent="0.2">
      <c r="A2555" s="5">
        <v>2494</v>
      </c>
      <c r="B2555" s="138">
        <f>'Acct Summary 7-8'!C8</f>
        <v>3211175</v>
      </c>
      <c r="C2555" s="2" t="s">
        <v>573</v>
      </c>
      <c r="D2555" s="2" t="str">
        <f t="shared" si="38"/>
        <v>Error?</v>
      </c>
    </row>
    <row r="2556" spans="1:4" x14ac:dyDescent="0.2">
      <c r="A2556" s="5">
        <v>2495</v>
      </c>
      <c r="B2556" s="138">
        <f>'Acct Summary 7-8'!C12</f>
        <v>2174920</v>
      </c>
      <c r="C2556" s="2" t="s">
        <v>573</v>
      </c>
      <c r="D2556" s="2" t="str">
        <f t="shared" si="38"/>
        <v>Error?</v>
      </c>
    </row>
    <row r="2557" spans="1:4" x14ac:dyDescent="0.2">
      <c r="A2557" s="5">
        <v>2496</v>
      </c>
      <c r="B2557" s="138">
        <f>'Acct Summary 7-8'!C13</f>
        <v>863225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111803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3149948</v>
      </c>
      <c r="C2561" s="2" t="s">
        <v>573</v>
      </c>
      <c r="D2561" s="2" t="str">
        <f t="shared" si="39"/>
        <v>Error?</v>
      </c>
    </row>
    <row r="2562" spans="1:4" x14ac:dyDescent="0.2">
      <c r="A2562" s="5">
        <v>2501</v>
      </c>
      <c r="B2562" s="138">
        <f>'Acct Summary 7-8'!C20</f>
        <v>61227</v>
      </c>
      <c r="C2562" s="2" t="s">
        <v>573</v>
      </c>
      <c r="D2562" s="2" t="str">
        <f t="shared" si="39"/>
        <v>Error?</v>
      </c>
    </row>
    <row r="2563" spans="1:4" x14ac:dyDescent="0.2">
      <c r="A2563" s="5">
        <v>2502</v>
      </c>
      <c r="B2563" s="138">
        <f>'Acct Summary 7-8'!C80</f>
        <v>3439</v>
      </c>
      <c r="D2563" s="2" t="str">
        <f t="shared" si="39"/>
        <v>Error?</v>
      </c>
    </row>
    <row r="2564" spans="1:4" x14ac:dyDescent="0.2">
      <c r="A2564" s="5">
        <v>2503</v>
      </c>
      <c r="B2564" s="138">
        <f>'Acct Summary 7-8'!D4</f>
        <v>104128</v>
      </c>
      <c r="C2564" s="2" t="s">
        <v>573</v>
      </c>
      <c r="D2564" s="2" t="str">
        <f t="shared" si="39"/>
        <v>Error?</v>
      </c>
    </row>
    <row r="2565" spans="1:4" x14ac:dyDescent="0.2">
      <c r="A2565" s="10">
        <v>2504</v>
      </c>
      <c r="D2565" s="2" t="str">
        <f t="shared" si="39"/>
        <v>OK</v>
      </c>
    </row>
    <row r="2566" spans="1:4" x14ac:dyDescent="0.2">
      <c r="A2566" s="5">
        <v>2505</v>
      </c>
      <c r="B2566" s="138">
        <f>'Acct Summary 7-8'!D6</f>
        <v>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109128</v>
      </c>
      <c r="C2568" s="2" t="s">
        <v>573</v>
      </c>
      <c r="D2568" s="2" t="str">
        <f t="shared" si="39"/>
        <v>Error?</v>
      </c>
    </row>
    <row r="2569" spans="1:4" x14ac:dyDescent="0.2">
      <c r="A2569" s="5">
        <v>2508</v>
      </c>
      <c r="B2569" s="138">
        <f>'Acct Summary 7-8'!D13</f>
        <v>112203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112203</v>
      </c>
      <c r="C2573" s="2" t="s">
        <v>573</v>
      </c>
      <c r="D2573" s="2" t="str">
        <f t="shared" si="39"/>
        <v>Error?</v>
      </c>
    </row>
    <row r="2574" spans="1:4" x14ac:dyDescent="0.2">
      <c r="A2574" s="5">
        <v>2513</v>
      </c>
      <c r="B2574" s="138">
        <f>'Acct Summary 7-8'!D20</f>
        <v>-3075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46126</v>
      </c>
      <c r="C2591" s="2" t="s">
        <v>573</v>
      </c>
      <c r="D2591" s="2" t="str">
        <f t="shared" si="39"/>
        <v>Error?</v>
      </c>
    </row>
    <row r="2592" spans="1:4" x14ac:dyDescent="0.2">
      <c r="A2592" s="10">
        <v>2531</v>
      </c>
      <c r="D2592" s="2" t="str">
        <f t="shared" si="39"/>
        <v>OK</v>
      </c>
    </row>
    <row r="2593" spans="1:4" x14ac:dyDescent="0.2">
      <c r="A2593" s="5">
        <v>2532</v>
      </c>
      <c r="B2593" s="138">
        <f>'Acct Summary 7-8'!F6</f>
        <v>135172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181298</v>
      </c>
      <c r="C2595" s="2" t="s">
        <v>573</v>
      </c>
      <c r="D2595" s="2" t="str">
        <f t="shared" si="39"/>
        <v>Error?</v>
      </c>
    </row>
    <row r="2596" spans="1:4" x14ac:dyDescent="0.2">
      <c r="A2596" s="5">
        <v>2535</v>
      </c>
      <c r="B2596" s="138">
        <f>'Acct Summary 7-8'!F13</f>
        <v>247847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44736</v>
      </c>
      <c r="C2599" s="2" t="s">
        <v>573</v>
      </c>
      <c r="D2599" s="2" t="str">
        <f t="shared" si="39"/>
        <v>Error?</v>
      </c>
    </row>
    <row r="2600" spans="1:4" x14ac:dyDescent="0.2">
      <c r="A2600" s="5">
        <v>2539</v>
      </c>
      <c r="B2600" s="138">
        <f>'Acct Summary 7-8'!F17</f>
        <v>292583</v>
      </c>
      <c r="C2600" s="2" t="s">
        <v>573</v>
      </c>
      <c r="D2600" s="2" t="str">
        <f t="shared" si="39"/>
        <v>Error?</v>
      </c>
    </row>
    <row r="2601" spans="1:4" x14ac:dyDescent="0.2">
      <c r="A2601" s="5">
        <v>2540</v>
      </c>
      <c r="B2601" s="138">
        <f>'Acct Summary 7-8'!F20</f>
        <v>-111285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178221</v>
      </c>
      <c r="C2603" s="2" t="s">
        <v>573</v>
      </c>
      <c r="D2603" s="2" t="str">
        <f t="shared" si="39"/>
        <v>Error?</v>
      </c>
    </row>
    <row r="2604" spans="1:4" x14ac:dyDescent="0.2">
      <c r="A2604" s="5">
        <v>2543</v>
      </c>
      <c r="B2604" s="138">
        <f>'Acct Summary 7-8'!G6</f>
        <v>6800</v>
      </c>
      <c r="C2604" s="2" t="s">
        <v>573</v>
      </c>
      <c r="D2604" s="2" t="str">
        <f t="shared" si="39"/>
        <v>Error?</v>
      </c>
    </row>
    <row r="2605" spans="1:4" x14ac:dyDescent="0.2">
      <c r="A2605" s="5">
        <v>2544</v>
      </c>
      <c r="B2605" s="138">
        <f>'Acct Summary 7-8'!G7</f>
        <v>15037</v>
      </c>
      <c r="C2605" s="2" t="s">
        <v>573</v>
      </c>
      <c r="D2605" s="2" t="str">
        <f t="shared" si="39"/>
        <v>Error?</v>
      </c>
    </row>
    <row r="2606" spans="1:4" x14ac:dyDescent="0.2">
      <c r="A2606" s="5">
        <v>2545</v>
      </c>
      <c r="B2606" s="138">
        <f>'Acct Summary 7-8'!G8</f>
        <v>200058</v>
      </c>
      <c r="C2606" s="2" t="s">
        <v>573</v>
      </c>
      <c r="D2606" s="2" t="str">
        <f t="shared" si="39"/>
        <v>Error?</v>
      </c>
    </row>
    <row r="2607" spans="1:4" x14ac:dyDescent="0.2">
      <c r="A2607" s="5">
        <v>2546</v>
      </c>
      <c r="B2607" s="138">
        <f>'Acct Summary 7-8'!G12</f>
        <v>71103</v>
      </c>
      <c r="C2607" s="2" t="s">
        <v>573</v>
      </c>
      <c r="D2607" s="2" t="str">
        <f t="shared" si="39"/>
        <v>Error?</v>
      </c>
    </row>
    <row r="2608" spans="1:4" x14ac:dyDescent="0.2">
      <c r="A2608" s="5">
        <v>2547</v>
      </c>
      <c r="B2608" s="138">
        <f>'Acct Summary 7-8'!G13</f>
        <v>97460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168563</v>
      </c>
      <c r="C2612" s="2" t="s">
        <v>573</v>
      </c>
      <c r="D2612" s="2" t="str">
        <f t="shared" si="39"/>
        <v>Error?</v>
      </c>
    </row>
    <row r="2613" spans="1:4" x14ac:dyDescent="0.2">
      <c r="A2613" s="5">
        <v>2552</v>
      </c>
      <c r="B2613" s="138">
        <f>'Acct Summary 7-8'!G20</f>
        <v>31495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208871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208871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201170</v>
      </c>
      <c r="C2634" s="2" t="s">
        <v>573</v>
      </c>
      <c r="D2634" s="2" t="str">
        <f t="shared" si="40"/>
        <v>Error?</v>
      </c>
    </row>
    <row r="2635" spans="1:4" x14ac:dyDescent="0.2">
      <c r="A2635" s="5">
        <v>2574</v>
      </c>
      <c r="B2635" s="138">
        <f>'Acct Summary 7-8'!E17</f>
        <v>201170</v>
      </c>
      <c r="C2635" s="2" t="s">
        <v>573</v>
      </c>
      <c r="D2635" s="2" t="str">
        <f t="shared" si="40"/>
        <v>Error?</v>
      </c>
    </row>
    <row r="2636" spans="1:4" x14ac:dyDescent="0.2">
      <c r="A2636" s="5">
        <v>2575</v>
      </c>
      <c r="B2636" s="138">
        <f>'Acct Summary 7-8'!E20</f>
        <v>7701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109444</v>
      </c>
      <c r="C2789" s="2" t="s">
        <v>573</v>
      </c>
      <c r="D2789" s="2" t="str">
        <f t="shared" si="42"/>
        <v>Error?</v>
      </c>
    </row>
    <row r="2790" spans="1:4" x14ac:dyDescent="0.2">
      <c r="A2790" s="5">
        <v>2729</v>
      </c>
      <c r="B2790" s="138">
        <f>'Expenditures 15-22'!E102</f>
        <v>109444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35894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14486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35894</v>
      </c>
      <c r="D2912" s="2" t="str">
        <f t="shared" si="44"/>
        <v>Error?</v>
      </c>
    </row>
    <row r="2913" spans="1:4" x14ac:dyDescent="0.2">
      <c r="A2913" s="5">
        <v>2852</v>
      </c>
      <c r="B2913" s="138">
        <f>'Assets-Liab 5-6'!I41</f>
        <v>35894</v>
      </c>
      <c r="C2913" s="2" t="s">
        <v>573</v>
      </c>
      <c r="D2913" s="2" t="str">
        <f t="shared" si="44"/>
        <v>Error?</v>
      </c>
    </row>
    <row r="2914" spans="1:4" x14ac:dyDescent="0.2">
      <c r="A2914" s="5">
        <v>2853</v>
      </c>
      <c r="B2914" s="138">
        <f>'Assets-Liab 5-6'!L33</f>
        <v>14486</v>
      </c>
      <c r="D2914" s="2" t="str">
        <f t="shared" si="44"/>
        <v>Error?</v>
      </c>
    </row>
    <row r="2915" spans="1:4" x14ac:dyDescent="0.2">
      <c r="A2915" s="10">
        <v>2854</v>
      </c>
      <c r="D2915" s="2" t="str">
        <f t="shared" si="44"/>
        <v>OK</v>
      </c>
    </row>
    <row r="2916" spans="1:4" x14ac:dyDescent="0.2">
      <c r="A2916" s="5">
        <v>2855</v>
      </c>
      <c r="B2916" s="138">
        <f>'Assets-Liab 5-6'!L34</f>
        <v>14486</v>
      </c>
      <c r="C2916" s="2" t="s">
        <v>573</v>
      </c>
      <c r="D2916" s="2" t="str">
        <f t="shared" si="44"/>
        <v>Error?</v>
      </c>
    </row>
    <row r="2917" spans="1:4" x14ac:dyDescent="0.2">
      <c r="A2917" s="5">
        <v>2856</v>
      </c>
      <c r="B2917" s="138">
        <f>'Assets-Liab 5-6'!L41</f>
        <v>14486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109444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2359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111803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59653</v>
      </c>
      <c r="D3055" s="2" t="str">
        <f t="shared" si="46"/>
        <v>Error?</v>
      </c>
    </row>
    <row r="3056" spans="1:4" x14ac:dyDescent="0.2">
      <c r="A3056" s="5">
        <v>2995</v>
      </c>
      <c r="B3056" s="138">
        <f>'Expenditures 15-22'!D10</f>
        <v>8199</v>
      </c>
      <c r="D3056" s="2" t="str">
        <f t="shared" si="46"/>
        <v>Error?</v>
      </c>
    </row>
    <row r="3057" spans="1:4" x14ac:dyDescent="0.2">
      <c r="A3057" s="5">
        <v>2996</v>
      </c>
      <c r="B3057" s="138">
        <f>'Expenditures 15-22'!E10</f>
        <v>6282</v>
      </c>
      <c r="D3057" s="2" t="str">
        <f t="shared" si="46"/>
        <v>Error?</v>
      </c>
    </row>
    <row r="3058" spans="1:4" x14ac:dyDescent="0.2">
      <c r="A3058" s="5">
        <v>2997</v>
      </c>
      <c r="B3058" s="138">
        <f>'Expenditures 15-22'!F10</f>
        <v>32975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107109</v>
      </c>
      <c r="C3062" s="2" t="s">
        <v>573</v>
      </c>
      <c r="D3062" s="2" t="str">
        <f t="shared" si="46"/>
        <v>Error?</v>
      </c>
    </row>
    <row r="3063" spans="1:4" x14ac:dyDescent="0.2">
      <c r="A3063" s="10">
        <v>3002</v>
      </c>
      <c r="D3063" s="2" t="str">
        <f t="shared" si="46"/>
        <v>OK</v>
      </c>
    </row>
    <row r="3064" spans="1:4" x14ac:dyDescent="0.2">
      <c r="A3064" s="5">
        <v>3003</v>
      </c>
      <c r="B3064" s="138">
        <f>'Expenditures 15-22'!D219</f>
        <v>8991</v>
      </c>
      <c r="D3064" s="2" t="str">
        <f t="shared" si="46"/>
        <v>Error?</v>
      </c>
    </row>
    <row r="3065" spans="1:4" x14ac:dyDescent="0.2">
      <c r="A3065" s="5">
        <v>3004</v>
      </c>
      <c r="B3065" s="138">
        <f>'Expenditures 15-22'!K219</f>
        <v>8991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134772</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18918</v>
      </c>
      <c r="C3225" s="2" t="s">
        <v>573</v>
      </c>
      <c r="D3225" s="2" t="str">
        <f t="shared" si="49"/>
        <v>Error?</v>
      </c>
    </row>
    <row r="3226" spans="1:4" x14ac:dyDescent="0.2">
      <c r="A3226" s="5">
        <v>3165</v>
      </c>
      <c r="B3226" s="138">
        <f>'Acct Summary 7-8'!I8</f>
        <v>18918</v>
      </c>
      <c r="C3226" s="2" t="s">
        <v>573</v>
      </c>
      <c r="D3226" s="2" t="str">
        <f t="shared" si="49"/>
        <v>Error?</v>
      </c>
    </row>
    <row r="3227" spans="1:4" x14ac:dyDescent="0.2">
      <c r="A3227" s="5">
        <v>3166</v>
      </c>
      <c r="B3227" s="138">
        <f>'Acct Summary 7-8'!I20</f>
        <v>18918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61227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-3075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134772</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134772</v>
      </c>
      <c r="C3255" s="2" t="s">
        <v>573</v>
      </c>
      <c r="D3255" s="2" t="str">
        <f t="shared" si="49"/>
        <v>Error?</v>
      </c>
    </row>
    <row r="3256" spans="1:4" x14ac:dyDescent="0.2">
      <c r="A3256" s="5">
        <v>3195</v>
      </c>
      <c r="B3256" s="138">
        <f>'Acct Summary 7-8'!F78</f>
        <v>23487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31495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7701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18918</v>
      </c>
      <c r="C3320" s="2" t="s">
        <v>573</v>
      </c>
      <c r="D3320" s="2" t="str">
        <f t="shared" si="50"/>
        <v>Error?</v>
      </c>
    </row>
    <row r="3321" spans="1:4" x14ac:dyDescent="0.2">
      <c r="A3321" s="5">
        <v>3260</v>
      </c>
      <c r="B3321" s="138">
        <f>'Acct Summary 7-8'!I79</f>
        <v>16976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35894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317403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50344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666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370630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21333</v>
      </c>
      <c r="D3387" s="2" t="str">
        <f t="shared" si="51"/>
        <v>Error?</v>
      </c>
    </row>
    <row r="3388" spans="1:4" x14ac:dyDescent="0.2">
      <c r="A3388" s="5">
        <v>3327</v>
      </c>
      <c r="B3388" s="138">
        <f>'Expenditures 15-22'!D217</f>
        <v>27510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21333</v>
      </c>
      <c r="C3390" s="2" t="s">
        <v>573</v>
      </c>
      <c r="D3390" s="2" t="str">
        <f t="shared" si="51"/>
        <v>Error?</v>
      </c>
    </row>
    <row r="3391" spans="1:4" x14ac:dyDescent="0.2">
      <c r="A3391" s="5">
        <v>3330</v>
      </c>
      <c r="B3391" s="138">
        <f>'Expenditures 15-22'!K217</f>
        <v>27510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68970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752010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122018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36183</v>
      </c>
      <c r="D3417" s="2" t="str">
        <f t="shared" si="52"/>
        <v>Error?</v>
      </c>
    </row>
    <row r="3418" spans="1:4" x14ac:dyDescent="0.2">
      <c r="A3418" s="10">
        <v>3357</v>
      </c>
      <c r="D3418" s="2" t="str">
        <f t="shared" si="52"/>
        <v>OK</v>
      </c>
    </row>
    <row r="3419" spans="1:4" x14ac:dyDescent="0.2">
      <c r="A3419" s="5">
        <v>3358</v>
      </c>
      <c r="B3419" s="138">
        <f>'Assets-Liab 5-6'!F4</f>
        <v>123456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311988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35894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67446</v>
      </c>
      <c r="C3446" s="2" t="s">
        <v>573</v>
      </c>
      <c r="D3446" s="2" t="str">
        <f t="shared" si="52"/>
        <v>Error?</v>
      </c>
    </row>
    <row r="3447" spans="1:4" x14ac:dyDescent="0.2">
      <c r="A3447" s="5">
        <v>3386</v>
      </c>
      <c r="B3447" s="138">
        <f>'Tax Sched 23'!D16</f>
        <v>67446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70003</v>
      </c>
      <c r="C3449" s="2" t="s">
        <v>573</v>
      </c>
      <c r="D3449" s="2" t="str">
        <f t="shared" si="52"/>
        <v>Error?</v>
      </c>
    </row>
    <row r="3450" spans="1:4" x14ac:dyDescent="0.2">
      <c r="A3450" s="5">
        <v>3389</v>
      </c>
      <c r="B3450" s="138">
        <f>'Tax Sched 23'!E16</f>
        <v>70003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97716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97716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97716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97716</v>
      </c>
      <c r="C3568" s="2" t="s">
        <v>573</v>
      </c>
      <c r="D3568" s="2" t="str">
        <f t="shared" si="54"/>
        <v>Error?</v>
      </c>
    </row>
    <row r="3569" spans="1:4" x14ac:dyDescent="0.2">
      <c r="A3569" s="5">
        <v>3508</v>
      </c>
      <c r="B3569" s="138">
        <f>'Acct Summary 7-8'!K4</f>
        <v>20288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20288</v>
      </c>
      <c r="C3571" s="2" t="s">
        <v>573</v>
      </c>
      <c r="D3571" s="2" t="str">
        <f t="shared" si="54"/>
        <v>Error?</v>
      </c>
    </row>
    <row r="3572" spans="1:4" x14ac:dyDescent="0.2">
      <c r="A3572" s="5">
        <v>3511</v>
      </c>
      <c r="B3572" s="138">
        <f>'Acct Summary 7-8'!K13</f>
        <v>2279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2279</v>
      </c>
      <c r="C3575" s="2" t="s">
        <v>573</v>
      </c>
      <c r="D3575" s="2" t="str">
        <f t="shared" si="54"/>
        <v>Error?</v>
      </c>
    </row>
    <row r="3576" spans="1:4" x14ac:dyDescent="0.2">
      <c r="A3576" s="5">
        <v>3515</v>
      </c>
      <c r="B3576" s="138">
        <f>'Acct Summary 7-8'!K20</f>
        <v>18009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18009</v>
      </c>
      <c r="C3588" s="2" t="s">
        <v>573</v>
      </c>
      <c r="D3588" s="2" t="str">
        <f t="shared" si="55"/>
        <v>Error?</v>
      </c>
    </row>
    <row r="3589" spans="1:4" x14ac:dyDescent="0.2">
      <c r="A3589" s="5">
        <v>3528</v>
      </c>
      <c r="B3589" s="138">
        <f>'Acct Summary 7-8'!K79</f>
        <v>79707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97716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2279</v>
      </c>
      <c r="D3639" s="2" t="str">
        <f t="shared" si="55"/>
        <v>Error?</v>
      </c>
    </row>
    <row r="3640" spans="1:4" x14ac:dyDescent="0.2">
      <c r="A3640" s="5">
        <v>3579</v>
      </c>
      <c r="B3640" s="138">
        <f>'Expenditures 15-22'!F350</f>
        <v>2279</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2279</v>
      </c>
      <c r="C3642" s="2" t="s">
        <v>573</v>
      </c>
      <c r="D3642" s="2" t="str">
        <f t="shared" si="55"/>
        <v>Error?</v>
      </c>
    </row>
    <row r="3643" spans="1:4" x14ac:dyDescent="0.2">
      <c r="A3643" s="5">
        <v>3582</v>
      </c>
      <c r="B3643" s="138">
        <f>'Expenditures 15-22'!F367</f>
        <v>2279</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2279</v>
      </c>
      <c r="C3669" s="2" t="s">
        <v>573</v>
      </c>
      <c r="D3669" s="2" t="str">
        <f t="shared" si="56"/>
        <v>Error?</v>
      </c>
    </row>
    <row r="3670" spans="1:4" x14ac:dyDescent="0.2">
      <c r="A3670" s="5">
        <v>3609</v>
      </c>
      <c r="B3670" s="138">
        <f>'Expenditures 15-22'!K350</f>
        <v>2279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2279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2279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18009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18177</v>
      </c>
      <c r="C3725" s="2" t="s">
        <v>573</v>
      </c>
      <c r="D3725" s="2" t="str">
        <f t="shared" si="57"/>
        <v>Error?</v>
      </c>
    </row>
    <row r="3726" spans="1:4" x14ac:dyDescent="0.2">
      <c r="A3726" s="5">
        <v>3665</v>
      </c>
      <c r="B3726" s="138">
        <f>'Tax Sched 23'!D13</f>
        <v>18177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18774</v>
      </c>
      <c r="C3728" s="2" t="s">
        <v>573</v>
      </c>
      <c r="D3728" s="2" t="str">
        <f t="shared" si="57"/>
        <v>Error?</v>
      </c>
    </row>
    <row r="3729" spans="1:4" x14ac:dyDescent="0.2">
      <c r="A3729" s="5">
        <v>3668</v>
      </c>
      <c r="B3729" s="138">
        <f>'Tax Sched 23'!E13</f>
        <v>18774</v>
      </c>
      <c r="D3729" s="2" t="str">
        <f t="shared" si="57"/>
        <v>Error?</v>
      </c>
    </row>
    <row r="3730" spans="1:4" x14ac:dyDescent="0.2">
      <c r="A3730" s="5">
        <v>3669</v>
      </c>
      <c r="B3730" s="138">
        <f>'ICR Computation 30'!E10</f>
        <v>87389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1239638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4450813</v>
      </c>
      <c r="C4122" s="2" t="s">
        <v>573</v>
      </c>
      <c r="D4122" s="2" t="str">
        <f t="shared" si="63"/>
        <v>Error?</v>
      </c>
    </row>
    <row r="4123" spans="1:4" x14ac:dyDescent="0.2">
      <c r="A4123" s="5">
        <v>4062</v>
      </c>
      <c r="B4123" s="138">
        <f>'Acct Summary 7-8'!D10</f>
        <v>109128</v>
      </c>
      <c r="C4123" s="2" t="s">
        <v>573</v>
      </c>
      <c r="D4123" s="2" t="str">
        <f t="shared" si="63"/>
        <v>Error?</v>
      </c>
    </row>
    <row r="4124" spans="1:4" x14ac:dyDescent="0.2">
      <c r="A4124" s="5">
        <v>4063</v>
      </c>
      <c r="B4124" s="138">
        <f>'Acct Summary 7-8'!E10</f>
        <v>208871</v>
      </c>
      <c r="C4124" s="2" t="s">
        <v>573</v>
      </c>
      <c r="D4124" s="2" t="str">
        <f t="shared" si="63"/>
        <v>Error?</v>
      </c>
    </row>
    <row r="4125" spans="1:4" x14ac:dyDescent="0.2">
      <c r="A4125" s="5">
        <v>4064</v>
      </c>
      <c r="B4125" s="138">
        <f>'Acct Summary 7-8'!F10</f>
        <v>181298</v>
      </c>
      <c r="C4125" s="2" t="s">
        <v>573</v>
      </c>
      <c r="D4125" s="2" t="str">
        <f t="shared" si="63"/>
        <v>Error?</v>
      </c>
    </row>
    <row r="4126" spans="1:4" x14ac:dyDescent="0.2">
      <c r="A4126" s="5">
        <v>4065</v>
      </c>
      <c r="B4126" s="138">
        <f>'Acct Summary 7-8'!G10</f>
        <v>200058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18918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20288</v>
      </c>
      <c r="C4130" s="2" t="s">
        <v>573</v>
      </c>
      <c r="D4130" s="2" t="str">
        <f t="shared" si="63"/>
        <v>Error?</v>
      </c>
    </row>
    <row r="4131" spans="1:4" x14ac:dyDescent="0.2">
      <c r="A4131" s="5">
        <v>4070</v>
      </c>
      <c r="B4131" s="138">
        <f>'Acct Summary 7-8'!C18</f>
        <v>1239638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4389586</v>
      </c>
      <c r="C4136" s="2" t="s">
        <v>573</v>
      </c>
      <c r="D4136" s="2" t="str">
        <f t="shared" si="63"/>
        <v>Error?</v>
      </c>
    </row>
    <row r="4137" spans="1:4" x14ac:dyDescent="0.2">
      <c r="A4137" s="5">
        <v>4076</v>
      </c>
      <c r="B4137" s="138">
        <f>'Acct Summary 7-8'!D19</f>
        <v>112203</v>
      </c>
      <c r="C4137" s="2" t="s">
        <v>573</v>
      </c>
      <c r="D4137" s="2" t="str">
        <f t="shared" si="63"/>
        <v>Error?</v>
      </c>
    </row>
    <row r="4138" spans="1:4" x14ac:dyDescent="0.2">
      <c r="A4138" s="5">
        <v>4077</v>
      </c>
      <c r="B4138" s="138">
        <f>'Acct Summary 7-8'!E19</f>
        <v>201170</v>
      </c>
      <c r="C4138" s="2" t="s">
        <v>573</v>
      </c>
      <c r="D4138" s="2" t="str">
        <f t="shared" si="63"/>
        <v>Error?</v>
      </c>
    </row>
    <row r="4139" spans="1:4" x14ac:dyDescent="0.2">
      <c r="A4139" s="5">
        <v>4078</v>
      </c>
      <c r="B4139" s="138">
        <f>'Acct Summary 7-8'!F19</f>
        <v>292583</v>
      </c>
      <c r="C4139" s="2" t="s">
        <v>573</v>
      </c>
      <c r="D4139" s="2" t="str">
        <f t="shared" si="63"/>
        <v>Error?</v>
      </c>
    </row>
    <row r="4140" spans="1:4" x14ac:dyDescent="0.2">
      <c r="A4140" s="5">
        <v>4079</v>
      </c>
      <c r="B4140" s="138">
        <f>'Acct Summary 7-8'!G19</f>
        <v>168563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2279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2245668</v>
      </c>
      <c r="C4171" s="2" t="s">
        <v>573</v>
      </c>
      <c r="D4171" s="2" t="str">
        <f t="shared" si="64"/>
        <v>Error?</v>
      </c>
    </row>
    <row r="4172" spans="1:4" x14ac:dyDescent="0.2">
      <c r="A4172" s="5">
        <v>4111</v>
      </c>
      <c r="B4172" s="138">
        <f>'Short-Term Long-Term Debt 24'!J49</f>
        <v>2209485</v>
      </c>
      <c r="C4172" s="2" t="s">
        <v>573</v>
      </c>
      <c r="D4172" s="2" t="str">
        <f t="shared" si="64"/>
        <v>Error?</v>
      </c>
    </row>
    <row r="4173" spans="1:4" x14ac:dyDescent="0.2">
      <c r="A4173" s="5">
        <v>4112</v>
      </c>
      <c r="B4173" s="138">
        <f>'Short-Term Long-Term Debt 24'!H49</f>
        <v>184634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44175</v>
      </c>
      <c r="D4210" s="2" t="str">
        <f t="shared" si="64"/>
        <v>Error?</v>
      </c>
    </row>
    <row r="4211" spans="1:4" x14ac:dyDescent="0.2">
      <c r="A4211" s="5">
        <v>4150</v>
      </c>
      <c r="B4211" s="138">
        <f>'Expenditures 15-22'!K206</f>
        <v>44175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1033148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30894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30894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5275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14316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37553207</v>
      </c>
      <c r="D4995" s="2" t="str">
        <f t="shared" si="77"/>
        <v>Error?</v>
      </c>
    </row>
    <row r="4996" spans="1:4" x14ac:dyDescent="0.2">
      <c r="A4996" s="12">
        <v>4935</v>
      </c>
      <c r="B4996" s="138">
        <f>'FP Info 3'!H31</f>
        <v>2591171.2830000003</v>
      </c>
      <c r="D4996" s="2" t="str">
        <f t="shared" si="77"/>
        <v>Error?</v>
      </c>
    </row>
    <row r="4997" spans="1:4" x14ac:dyDescent="0.2">
      <c r="A4997" s="12">
        <v>4936</v>
      </c>
      <c r="B4997" s="138">
        <f>'FP Info 3'!H37</f>
        <v>2245668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18177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334282</v>
      </c>
      <c r="D5061" s="2" t="str">
        <f t="shared" si="78"/>
        <v>Error?</v>
      </c>
    </row>
    <row r="5062" spans="1:4" x14ac:dyDescent="0.2">
      <c r="A5062" s="10">
        <v>5001</v>
      </c>
      <c r="D5062" s="2" t="str">
        <f t="shared" si="78"/>
        <v>OK</v>
      </c>
    </row>
    <row r="5063" spans="1:4" x14ac:dyDescent="0.2">
      <c r="A5063" s="5">
        <v>5002</v>
      </c>
      <c r="B5063" s="138">
        <f>'Revenues 9-14'!C7</f>
        <v>7271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359730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96932</v>
      </c>
      <c r="D5069" s="2" t="str">
        <f t="shared" si="78"/>
        <v>Error?</v>
      </c>
    </row>
    <row r="5070" spans="1:4" x14ac:dyDescent="0.2">
      <c r="A5070" s="5">
        <v>5009</v>
      </c>
      <c r="B5070" s="138">
        <f>'Revenues 9-14'!C17</f>
        <v>2521</v>
      </c>
      <c r="D5070" s="2" t="str">
        <f t="shared" si="78"/>
        <v>Error?</v>
      </c>
    </row>
    <row r="5071" spans="1:4" x14ac:dyDescent="0.2">
      <c r="A5071" s="5">
        <v>5010</v>
      </c>
      <c r="B5071" s="138">
        <f>'Revenues 9-14'!C18</f>
        <v>99453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12386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12386</v>
      </c>
      <c r="C5090" s="2" t="s">
        <v>573</v>
      </c>
      <c r="D5090" s="2" t="str">
        <f t="shared" si="78"/>
        <v>Error?</v>
      </c>
    </row>
    <row r="5091" spans="1:4" x14ac:dyDescent="0.2">
      <c r="A5091" s="5">
        <v>5030</v>
      </c>
      <c r="B5091" s="138">
        <f>'Revenues 9-14'!C70</f>
        <v>7172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52</v>
      </c>
      <c r="D5093" s="2" t="str">
        <f t="shared" si="78"/>
        <v>Error?</v>
      </c>
    </row>
    <row r="5094" spans="1:4" x14ac:dyDescent="0.2">
      <c r="A5094" s="5">
        <v>5033</v>
      </c>
      <c r="B5094" s="138">
        <f>'Revenues 9-14'!C73</f>
        <v>11380</v>
      </c>
      <c r="D5094" s="2" t="str">
        <f t="shared" si="78"/>
        <v>Error?</v>
      </c>
    </row>
    <row r="5095" spans="1:4" x14ac:dyDescent="0.2">
      <c r="A5095" s="5">
        <v>5034</v>
      </c>
      <c r="B5095" s="138">
        <f>'Revenues 9-14'!C74</f>
        <v>50</v>
      </c>
      <c r="D5095" s="2" t="str">
        <f t="shared" si="78"/>
        <v>Error?</v>
      </c>
    </row>
    <row r="5096" spans="1:4" x14ac:dyDescent="0.2">
      <c r="A5096" s="5">
        <v>5035</v>
      </c>
      <c r="B5096" s="138">
        <f>'Revenues 9-14'!C75</f>
        <v>54891</v>
      </c>
      <c r="C5096" s="2" t="s">
        <v>573</v>
      </c>
      <c r="D5096" s="2" t="str">
        <f t="shared" si="78"/>
        <v>Error?</v>
      </c>
    </row>
    <row r="5097" spans="1:4" x14ac:dyDescent="0.2">
      <c r="A5097" s="5">
        <v>5036</v>
      </c>
      <c r="B5097" s="138">
        <f>'Revenues 9-14'!C77</f>
        <v>11870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12152</v>
      </c>
      <c r="D5101" s="2" t="str">
        <f t="shared" si="78"/>
        <v>Error?</v>
      </c>
    </row>
    <row r="5102" spans="1:4" x14ac:dyDescent="0.2">
      <c r="A5102" s="5">
        <v>5041</v>
      </c>
      <c r="B5102" s="138">
        <f>'Revenues 9-14'!C82</f>
        <v>25172</v>
      </c>
      <c r="C5102" s="2" t="s">
        <v>573</v>
      </c>
      <c r="D5102" s="2" t="str">
        <f t="shared" si="78"/>
        <v>Error?</v>
      </c>
    </row>
    <row r="5103" spans="1:4" x14ac:dyDescent="0.2">
      <c r="A5103" s="5">
        <v>5042</v>
      </c>
      <c r="B5103" s="138">
        <f>'Revenues 9-14'!C84</f>
        <v>6150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6150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2662</v>
      </c>
      <c r="D5114" s="2" t="str">
        <f t="shared" si="78"/>
        <v>Error?</v>
      </c>
    </row>
    <row r="5115" spans="1:4" x14ac:dyDescent="0.2">
      <c r="A5115" s="5">
        <v>5054</v>
      </c>
      <c r="B5115" s="138">
        <f>'Revenues 9-14'!C98</f>
        <v>12766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3522</v>
      </c>
      <c r="D5119" s="2" t="str">
        <f t="shared" ref="D5119:D5182" si="79">IF(ISBLANK(B5119),"OK",IF(A5119-B5119=0,"OK","Error?"))</f>
        <v>Error?</v>
      </c>
    </row>
    <row r="5120" spans="1:4" x14ac:dyDescent="0.2">
      <c r="A5120" s="5">
        <v>5059</v>
      </c>
      <c r="B5120" s="138">
        <f>'Revenues 9-14'!C108</f>
        <v>52714</v>
      </c>
      <c r="C5120" s="2" t="s">
        <v>573</v>
      </c>
      <c r="D5120" s="2" t="str">
        <f t="shared" si="79"/>
        <v>Error?</v>
      </c>
    </row>
    <row r="5121" spans="1:4" x14ac:dyDescent="0.2">
      <c r="A5121" s="5">
        <v>5060</v>
      </c>
      <c r="B5121" s="138">
        <f>'Revenues 9-14'!C109</f>
        <v>610496</v>
      </c>
      <c r="C5121" s="2" t="s">
        <v>573</v>
      </c>
      <c r="D5121" s="2" t="str">
        <f t="shared" si="79"/>
        <v>Error?</v>
      </c>
    </row>
    <row r="5122" spans="1:4" x14ac:dyDescent="0.2">
      <c r="A5122" s="5">
        <v>5061</v>
      </c>
      <c r="B5122" s="138">
        <f>'Revenues 9-14'!C111</f>
        <v>29281</v>
      </c>
      <c r="D5122" s="2" t="str">
        <f t="shared" si="79"/>
        <v>Error?</v>
      </c>
    </row>
    <row r="5123" spans="1:4" x14ac:dyDescent="0.2">
      <c r="A5123" s="5">
        <v>5062</v>
      </c>
      <c r="B5123" s="138">
        <f>'Revenues 9-14'!C112</f>
        <v>39689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68970</v>
      </c>
      <c r="C5125" s="2" t="s">
        <v>573</v>
      </c>
      <c r="D5125" s="2" t="str">
        <f t="shared" si="79"/>
        <v>Error?</v>
      </c>
    </row>
    <row r="5126" spans="1:4" x14ac:dyDescent="0.2">
      <c r="A5126" s="5">
        <v>5065</v>
      </c>
      <c r="B5126" s="138">
        <f>'Revenues 9-14'!C117</f>
        <v>2119738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2119738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2755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146138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148893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2268631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113573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35622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149195</v>
      </c>
      <c r="C5246" s="2" t="s">
        <v>573</v>
      </c>
      <c r="D5246" s="2" t="str">
        <f t="shared" si="80"/>
        <v>Error?</v>
      </c>
    </row>
    <row r="5247" spans="1:4" x14ac:dyDescent="0.2">
      <c r="A5247" s="5">
        <v>5186</v>
      </c>
      <c r="B5247" s="138">
        <f>'Revenues 9-14'!C200</f>
        <v>69414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5275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69414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263078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263078</v>
      </c>
      <c r="C5326" s="2" t="s">
        <v>573</v>
      </c>
      <c r="D5326" s="2" t="str">
        <f t="shared" si="82"/>
        <v>Error?</v>
      </c>
    </row>
    <row r="5327" spans="1:5" x14ac:dyDescent="0.2">
      <c r="A5327" s="5">
        <v>5266</v>
      </c>
      <c r="B5327" s="138">
        <f>'Revenues 9-14'!C268</f>
        <v>3211175</v>
      </c>
      <c r="C5327" s="2" t="s">
        <v>573</v>
      </c>
      <c r="D5327" s="2" t="str">
        <f t="shared" si="82"/>
        <v>Error?</v>
      </c>
    </row>
    <row r="5328" spans="1:5" x14ac:dyDescent="0.2">
      <c r="A5328" s="5">
        <v>5267</v>
      </c>
      <c r="B5328" s="138">
        <f>'Revenues 9-14'!D5</f>
        <v>90883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90883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637</v>
      </c>
      <c r="D5338" s="2" t="str">
        <f t="shared" si="82"/>
        <v>Error?</v>
      </c>
    </row>
    <row r="5339" spans="1:4" x14ac:dyDescent="0.2">
      <c r="A5339" s="5">
        <v>5278</v>
      </c>
      <c r="B5339" s="138">
        <f>'Revenues 9-14'!D18</f>
        <v>637</v>
      </c>
      <c r="C5339" s="2" t="s">
        <v>573</v>
      </c>
      <c r="D5339" s="2" t="str">
        <f t="shared" si="82"/>
        <v>Error?</v>
      </c>
    </row>
    <row r="5340" spans="1:4" x14ac:dyDescent="0.2">
      <c r="A5340" s="5">
        <v>5279</v>
      </c>
      <c r="B5340" s="138">
        <f>'Revenues 9-14'!D65</f>
        <v>2696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2696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9912</v>
      </c>
      <c r="C5355" s="2" t="s">
        <v>573</v>
      </c>
      <c r="D5355" s="2" t="str">
        <f t="shared" si="82"/>
        <v>Error?</v>
      </c>
    </row>
    <row r="5356" spans="1:4" x14ac:dyDescent="0.2">
      <c r="A5356" s="5">
        <v>5295</v>
      </c>
      <c r="B5356" s="138">
        <f>'Revenues 9-14'!D109</f>
        <v>104128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109128</v>
      </c>
      <c r="C5508" s="2" t="s">
        <v>573</v>
      </c>
      <c r="D5508" s="2" t="str">
        <f t="shared" si="85"/>
        <v>Error?</v>
      </c>
    </row>
    <row r="5509" spans="1:4" x14ac:dyDescent="0.2">
      <c r="A5509" s="5">
        <v>5448</v>
      </c>
      <c r="B5509" s="138">
        <f>'Revenues 9-14'!E5</f>
        <v>206268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206268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1445</v>
      </c>
      <c r="D5517" s="2" t="str">
        <f t="shared" si="85"/>
        <v>Error?</v>
      </c>
    </row>
    <row r="5518" spans="1:4" x14ac:dyDescent="0.2">
      <c r="A5518" s="5">
        <v>5457</v>
      </c>
      <c r="B5518" s="138">
        <f>'Revenues 9-14'!E18</f>
        <v>1445</v>
      </c>
      <c r="C5518" s="2" t="s">
        <v>573</v>
      </c>
      <c r="D5518" s="2" t="str">
        <f t="shared" si="85"/>
        <v>Error?</v>
      </c>
    </row>
    <row r="5519" spans="1:4" x14ac:dyDescent="0.2">
      <c r="A5519" s="5">
        <v>5458</v>
      </c>
      <c r="B5519" s="138">
        <f>'Revenues 9-14'!E65</f>
        <v>1158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1158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208871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208871</v>
      </c>
      <c r="C5552" s="2" t="s">
        <v>573</v>
      </c>
      <c r="D5552" s="2" t="str">
        <f t="shared" si="85"/>
        <v>Error?</v>
      </c>
    </row>
    <row r="5553" spans="1:4" x14ac:dyDescent="0.2">
      <c r="A5553" s="5">
        <v>5492</v>
      </c>
      <c r="B5553" s="138">
        <f>'Revenues 9-14'!F5</f>
        <v>43624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43624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306</v>
      </c>
      <c r="D5561" s="2" t="str">
        <f t="shared" si="85"/>
        <v>Error?</v>
      </c>
    </row>
    <row r="5562" spans="1:4" x14ac:dyDescent="0.2">
      <c r="A5562" s="5">
        <v>5501</v>
      </c>
      <c r="B5562" s="138">
        <f>'Revenues 9-14'!F18</f>
        <v>306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2132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64</v>
      </c>
      <c r="D5586" s="2" t="str">
        <f t="shared" si="86"/>
        <v>Error?</v>
      </c>
    </row>
    <row r="5587" spans="1:4" x14ac:dyDescent="0.2">
      <c r="A5587" s="5">
        <v>5526</v>
      </c>
      <c r="B5587" s="138">
        <f>'Revenues 9-14'!F108</f>
        <v>64</v>
      </c>
      <c r="C5587" s="2" t="s">
        <v>573</v>
      </c>
      <c r="D5587" s="2" t="str">
        <f t="shared" si="86"/>
        <v>Error?</v>
      </c>
    </row>
    <row r="5588" spans="1:4" x14ac:dyDescent="0.2">
      <c r="A5588" s="5">
        <v>5527</v>
      </c>
      <c r="B5588" s="138">
        <f>'Revenues 9-14'!F109</f>
        <v>46126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110172</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110172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110172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135172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181298</v>
      </c>
      <c r="C5720" s="2" t="s">
        <v>573</v>
      </c>
      <c r="D5720" s="2" t="str">
        <f t="shared" si="88"/>
        <v>Error?</v>
      </c>
    </row>
    <row r="5721" spans="1:4" x14ac:dyDescent="0.2">
      <c r="A5721" s="5">
        <v>5660</v>
      </c>
      <c r="B5721" s="138">
        <f>'Revenues 9-14'!G5</f>
        <v>78258</v>
      </c>
      <c r="D5721" s="2" t="str">
        <f t="shared" si="88"/>
        <v>Error?</v>
      </c>
    </row>
    <row r="5722" spans="1:4" x14ac:dyDescent="0.2">
      <c r="A5722" s="5">
        <v>5661</v>
      </c>
      <c r="B5722" s="138">
        <f>'Revenues 9-14'!G7</f>
        <v>0</v>
      </c>
      <c r="D5722" s="2" t="str">
        <f t="shared" si="88"/>
        <v>Error?</v>
      </c>
    </row>
    <row r="5723" spans="1:4" x14ac:dyDescent="0.2">
      <c r="A5723" s="5">
        <v>5662</v>
      </c>
      <c r="B5723" s="138">
        <f>'Revenues 9-14'!G8</f>
        <v>67446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145704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24900</v>
      </c>
      <c r="D5728" s="2" t="str">
        <f t="shared" si="88"/>
        <v>Error?</v>
      </c>
    </row>
    <row r="5729" spans="1:4" x14ac:dyDescent="0.2">
      <c r="A5729" s="5">
        <v>5668</v>
      </c>
      <c r="B5729" s="138">
        <f>'Revenues 9-14'!G17</f>
        <v>1021</v>
      </c>
      <c r="D5729" s="2" t="str">
        <f t="shared" si="88"/>
        <v>Error?</v>
      </c>
    </row>
    <row r="5730" spans="1:4" x14ac:dyDescent="0.2">
      <c r="A5730" s="5">
        <v>5669</v>
      </c>
      <c r="B5730" s="138">
        <f>'Revenues 9-14'!G18</f>
        <v>25921</v>
      </c>
      <c r="C5730" s="2" t="s">
        <v>573</v>
      </c>
      <c r="D5730" s="2" t="str">
        <f t="shared" si="88"/>
        <v>Error?</v>
      </c>
    </row>
    <row r="5731" spans="1:4" x14ac:dyDescent="0.2">
      <c r="A5731" s="5">
        <v>5670</v>
      </c>
      <c r="B5731" s="138">
        <f>'Revenues 9-14'!G65</f>
        <v>6596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6596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6800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6800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6800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15037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15037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15037</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15037</v>
      </c>
      <c r="C5869" s="2" t="s">
        <v>573</v>
      </c>
      <c r="D5869" s="2" t="str">
        <f t="shared" si="90"/>
        <v>Error?</v>
      </c>
    </row>
    <row r="5870" spans="1:4" x14ac:dyDescent="0.2">
      <c r="A5870" s="5">
        <v>5809</v>
      </c>
      <c r="B5870" s="138">
        <f>'Revenues 9-14'!G268</f>
        <v>200058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18177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18177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127</v>
      </c>
      <c r="D5922" s="2" t="str">
        <f t="shared" si="91"/>
        <v>Error?</v>
      </c>
    </row>
    <row r="5923" spans="1:4" x14ac:dyDescent="0.2">
      <c r="A5923" s="5">
        <v>5862</v>
      </c>
      <c r="B5923" s="138">
        <f>'Revenues 9-14'!I18</f>
        <v>127</v>
      </c>
      <c r="C5923" s="2" t="s">
        <v>573</v>
      </c>
      <c r="D5923" s="2" t="str">
        <f t="shared" si="91"/>
        <v>Error?</v>
      </c>
    </row>
    <row r="5924" spans="1:4" x14ac:dyDescent="0.2">
      <c r="A5924" s="5">
        <v>5863</v>
      </c>
      <c r="B5924" s="138">
        <f>'Revenues 9-14'!I65</f>
        <v>614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18918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18177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18177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20288</v>
      </c>
      <c r="C6023" s="2" t="s">
        <v>573</v>
      </c>
      <c r="D6023" s="2" t="str">
        <f t="shared" si="93"/>
        <v>Error?</v>
      </c>
    </row>
    <row r="6024" spans="1:5" x14ac:dyDescent="0.2">
      <c r="A6024" s="5">
        <v>5963</v>
      </c>
      <c r="B6024" s="138">
        <f>'Revenues 9-14'!G109</f>
        <v>178221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18918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20288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36237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368.1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687</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176335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176335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176335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176335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176335</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64666</v>
      </c>
      <c r="D6267" s="2" t="str">
        <f t="shared" si="96"/>
        <v>Error?</v>
      </c>
      <c r="E6267" s="2" t="s">
        <v>190</v>
      </c>
    </row>
    <row r="6268" spans="1:5" x14ac:dyDescent="0.2">
      <c r="A6268">
        <v>6207</v>
      </c>
      <c r="B6268" s="138">
        <f>'Acct Summary 7-8'!D82</f>
        <v>-3075</v>
      </c>
      <c r="D6268" s="2" t="str">
        <f t="shared" si="96"/>
        <v>Error?</v>
      </c>
      <c r="E6268" s="2" t="s">
        <v>190</v>
      </c>
    </row>
    <row r="6269" spans="1:5" x14ac:dyDescent="0.2">
      <c r="A6269">
        <v>6208</v>
      </c>
      <c r="B6269" s="138">
        <f>'Acct Summary 7-8'!E82</f>
        <v>7701</v>
      </c>
      <c r="D6269" s="2" t="str">
        <f t="shared" si="96"/>
        <v>Error?</v>
      </c>
      <c r="E6269" s="2" t="s">
        <v>190</v>
      </c>
    </row>
    <row r="6270" spans="1:5" x14ac:dyDescent="0.2">
      <c r="A6270">
        <v>6209</v>
      </c>
      <c r="B6270" s="138">
        <f>'Acct Summary 7-8'!F82</f>
        <v>23487</v>
      </c>
      <c r="D6270" s="2" t="str">
        <f t="shared" si="96"/>
        <v>Error?</v>
      </c>
      <c r="E6270" s="2" t="s">
        <v>190</v>
      </c>
    </row>
    <row r="6271" spans="1:5" x14ac:dyDescent="0.2">
      <c r="A6271">
        <v>6210</v>
      </c>
      <c r="B6271" s="138">
        <f>'Acct Summary 7-8'!G82</f>
        <v>31495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18918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18009</v>
      </c>
      <c r="D6275" s="2" t="str">
        <f t="shared" si="97"/>
        <v>Error?</v>
      </c>
      <c r="E6275" s="2" t="s">
        <v>190</v>
      </c>
    </row>
    <row r="6276" spans="1:5" x14ac:dyDescent="0.2">
      <c r="A6276">
        <v>6215</v>
      </c>
      <c r="B6276" s="138">
        <f>'Acct Summary 7-8'!C83</f>
        <v>8.6017185878847532E-2</v>
      </c>
      <c r="D6276" s="2" t="str">
        <f t="shared" si="97"/>
        <v>Error?</v>
      </c>
      <c r="E6276" s="2" t="s">
        <v>190</v>
      </c>
    </row>
    <row r="6277" spans="1:5" x14ac:dyDescent="0.2">
      <c r="A6277">
        <v>6216</v>
      </c>
      <c r="B6277" s="138">
        <f>'Acct Summary 7-8'!D83</f>
        <v>-2.5201199822976937E-2</v>
      </c>
      <c r="D6277" s="2" t="str">
        <f t="shared" si="97"/>
        <v>Error?</v>
      </c>
      <c r="E6277" s="2" t="s">
        <v>190</v>
      </c>
    </row>
    <row r="6278" spans="1:5" x14ac:dyDescent="0.2">
      <c r="A6278">
        <v>6217</v>
      </c>
      <c r="B6278" s="138">
        <f>'Acct Summary 7-8'!E83</f>
        <v>0.21283475665367715</v>
      </c>
      <c r="D6278" s="2" t="str">
        <f t="shared" si="97"/>
        <v>Error?</v>
      </c>
      <c r="E6278" s="2" t="s">
        <v>190</v>
      </c>
    </row>
    <row r="6279" spans="1:5" x14ac:dyDescent="0.2">
      <c r="A6279">
        <v>6218</v>
      </c>
      <c r="B6279" s="138">
        <f>'Acct Summary 7-8'!F83</f>
        <v>0.19024591757387246</v>
      </c>
      <c r="D6279" s="2" t="str">
        <f t="shared" si="97"/>
        <v>Error?</v>
      </c>
      <c r="E6279" s="2" t="s">
        <v>190</v>
      </c>
    </row>
    <row r="6280" spans="1:5" x14ac:dyDescent="0.2">
      <c r="A6280">
        <v>6219</v>
      </c>
      <c r="B6280" s="138">
        <f>'Acct Summary 7-8'!G83</f>
        <v>0.10094939548957012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0.52705187496517525</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0.18429939825617095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174885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174885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1225</v>
      </c>
      <c r="D6305" s="2" t="str">
        <f t="shared" si="97"/>
        <v>Error?</v>
      </c>
      <c r="E6305" s="2" t="s">
        <v>190</v>
      </c>
    </row>
    <row r="6306" spans="1:5" x14ac:dyDescent="0.2">
      <c r="A6306">
        <v>6245</v>
      </c>
      <c r="B6306" s="138">
        <f>'Revenues 9-14'!J18</f>
        <v>1225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19448</v>
      </c>
      <c r="D6330" s="2" t="str">
        <f t="shared" si="97"/>
        <v>Error?</v>
      </c>
      <c r="E6330" s="2" t="s">
        <v>190</v>
      </c>
    </row>
    <row r="6331" spans="1:5" x14ac:dyDescent="0.2">
      <c r="A6331">
        <v>6270</v>
      </c>
      <c r="B6331" s="138">
        <f>'Revenues 9-14'!D100</f>
        <v>9912</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176335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84427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991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114738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991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21075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21075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21075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22066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176335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176335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561</v>
      </c>
      <c r="D7067" s="2" t="str">
        <f t="shared" si="109"/>
        <v>Error?</v>
      </c>
    </row>
    <row r="7068" spans="1:4" x14ac:dyDescent="0.2">
      <c r="A7068">
        <v>7007</v>
      </c>
      <c r="B7068" s="138">
        <f>'Expenditures 15-22'!K205</f>
        <v>561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7126</v>
      </c>
      <c r="D7075" s="2" t="str">
        <f t="shared" si="109"/>
        <v>Error?</v>
      </c>
    </row>
    <row r="7076" spans="1:4" x14ac:dyDescent="0.2">
      <c r="A7076">
        <v>7015</v>
      </c>
      <c r="B7076" s="138">
        <f>'Expenditures 15-22'!K218</f>
        <v>7126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14935</v>
      </c>
      <c r="D7093" s="2" t="str">
        <f t="shared" si="109"/>
        <v>Error?</v>
      </c>
    </row>
    <row r="7094" spans="1:4" x14ac:dyDescent="0.2">
      <c r="A7094">
        <v>7033</v>
      </c>
      <c r="B7094" s="138">
        <f>'Expenditures 15-22'!K254</f>
        <v>14935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54762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54762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89842</v>
      </c>
      <c r="D7172" s="2" t="str">
        <f t="shared" si="111"/>
        <v>Error?</v>
      </c>
    </row>
    <row r="7173" spans="1:4" x14ac:dyDescent="0.2">
      <c r="A7173">
        <v>7112</v>
      </c>
      <c r="B7173" s="138">
        <f>'Expenditures 15-22'!D325</f>
        <v>2036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91878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29695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29695</v>
      </c>
      <c r="D7198" s="2" t="str">
        <f t="shared" si="111"/>
        <v>Error?</v>
      </c>
    </row>
    <row r="7199" spans="1:4" x14ac:dyDescent="0.2">
      <c r="A7199">
        <v>7138</v>
      </c>
      <c r="B7199" s="138">
        <f>'Expenditures 15-22'!C330</f>
        <v>89842</v>
      </c>
      <c r="D7199" s="2" t="str">
        <f t="shared" si="111"/>
        <v>Error?</v>
      </c>
    </row>
    <row r="7200" spans="1:4" x14ac:dyDescent="0.2">
      <c r="A7200">
        <v>7139</v>
      </c>
      <c r="B7200" s="138">
        <f>'Expenditures 15-22'!D330</f>
        <v>2036</v>
      </c>
      <c r="D7200" s="2" t="str">
        <f t="shared" si="111"/>
        <v>Error?</v>
      </c>
    </row>
    <row r="7201" spans="1:4" x14ac:dyDescent="0.2">
      <c r="A7201">
        <v>7140</v>
      </c>
      <c r="B7201" s="138">
        <f>'Expenditures 15-22'!E330</f>
        <v>84457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176335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89842</v>
      </c>
      <c r="D7216" s="2" t="str">
        <f t="shared" si="111"/>
        <v>Error?</v>
      </c>
    </row>
    <row r="7217" spans="1:4" x14ac:dyDescent="0.2">
      <c r="A7217">
        <v>7156</v>
      </c>
      <c r="B7217" s="138">
        <f>'Expenditures 15-22'!D342</f>
        <v>2036</v>
      </c>
      <c r="D7217" s="2" t="str">
        <f t="shared" si="111"/>
        <v>Error?</v>
      </c>
    </row>
    <row r="7218" spans="1:4" x14ac:dyDescent="0.2">
      <c r="A7218">
        <v>7157</v>
      </c>
      <c r="B7218" s="138">
        <f>'Expenditures 15-22'!E342</f>
        <v>84457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176335</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15256</v>
      </c>
      <c r="D7246" s="2" t="str">
        <f t="shared" si="112"/>
        <v>Error?</v>
      </c>
    </row>
    <row r="7247" spans="1:4" x14ac:dyDescent="0.2">
      <c r="A7247">
        <f t="shared" si="113"/>
        <v>7186</v>
      </c>
      <c r="B7247" s="138">
        <f>'Expenditures 15-22'!E7</f>
        <v>2331</v>
      </c>
      <c r="D7247" s="2" t="str">
        <f t="shared" si="112"/>
        <v>Error?</v>
      </c>
    </row>
    <row r="7248" spans="1:4" x14ac:dyDescent="0.2">
      <c r="A7248">
        <f t="shared" si="113"/>
        <v>7187</v>
      </c>
      <c r="B7248" s="138">
        <f>'Expenditures 15-22'!F7</f>
        <v>12035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689</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22066</v>
      </c>
      <c r="D7624" s="2" t="str">
        <f t="shared" si="124"/>
        <v>Error?</v>
      </c>
      <c r="E7624" s="2" t="s">
        <v>19</v>
      </c>
    </row>
    <row r="7625" spans="1:5" x14ac:dyDescent="0.2">
      <c r="A7625">
        <f t="shared" si="123"/>
        <v>7564</v>
      </c>
      <c r="B7625" s="138">
        <f>'Cap Outlay Deprec 26'!I17</f>
        <v>2206.6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283358.59999999998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7271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1989</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Vienna SD 55</v>
      </c>
      <c r="B7" s="2391"/>
      <c r="C7" s="2391"/>
      <c r="D7" s="2428"/>
      <c r="E7" s="2429">
        <f>COVER!A13</f>
        <v>21044055002</v>
      </c>
      <c r="F7" s="2430"/>
      <c r="G7" s="2397" t="str">
        <f>COVER!T23</f>
        <v>66-6003889</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Beussink, Hey, Roe &amp; Stroder, L.L.C.</v>
      </c>
      <c r="H9" s="2404"/>
      <c r="I9" s="2404"/>
      <c r="J9" s="2404"/>
      <c r="K9" s="2404"/>
      <c r="L9" s="2405"/>
    </row>
    <row r="10" spans="1:29" ht="13.5" customHeight="1" x14ac:dyDescent="0.2">
      <c r="A10" s="2387" t="str">
        <f>COVER!A38</f>
        <v>Greg Frehner</v>
      </c>
      <c r="B10" s="2388"/>
      <c r="C10" s="2388"/>
      <c r="D10" s="2388"/>
      <c r="E10" s="2388"/>
      <c r="F10" s="2389"/>
      <c r="G10" s="2403" t="str">
        <f>COVER!T17</f>
        <v>16 S. Silver Springs Road</v>
      </c>
      <c r="H10" s="2416"/>
      <c r="I10" s="2416"/>
      <c r="J10" s="2416"/>
      <c r="K10" s="2416"/>
      <c r="L10" s="2417"/>
    </row>
    <row r="11" spans="1:29" ht="13.5" customHeight="1" x14ac:dyDescent="0.2">
      <c r="A11" s="1184" t="s">
        <v>1519</v>
      </c>
      <c r="B11" s="1185"/>
      <c r="C11" s="1186"/>
      <c r="D11" s="1191"/>
      <c r="E11" s="1186"/>
      <c r="F11" s="1190"/>
      <c r="G11" s="2403" t="str">
        <f>COVER!T19</f>
        <v>Cape Girardeau</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jstroder@bhrcpas.com</v>
      </c>
      <c r="J13" s="2425"/>
      <c r="K13" s="2425"/>
      <c r="L13" s="2426"/>
    </row>
    <row r="14" spans="1:29" ht="13.5" customHeight="1" x14ac:dyDescent="0.2">
      <c r="A14" s="2403" t="str">
        <f>COVER!A19</f>
        <v>P.O. Box 427</v>
      </c>
      <c r="B14" s="2416"/>
      <c r="C14" s="2416"/>
      <c r="D14" s="2416"/>
      <c r="E14" s="2416"/>
      <c r="F14" s="2417"/>
      <c r="G14" s="1195" t="s">
        <v>1185</v>
      </c>
      <c r="H14" s="1193"/>
      <c r="I14" s="1193"/>
      <c r="J14" s="1193"/>
      <c r="K14" s="1193"/>
      <c r="L14" s="1194"/>
    </row>
    <row r="15" spans="1:29" ht="13.5" customHeight="1" x14ac:dyDescent="0.2">
      <c r="A15" s="2403" t="str">
        <f>COVER!A21</f>
        <v xml:space="preserve">Vienna  </v>
      </c>
      <c r="B15" s="2416"/>
      <c r="C15" s="2416"/>
      <c r="D15" s="2416"/>
      <c r="E15" s="2416"/>
      <c r="F15" s="2417"/>
      <c r="G15" s="2413" t="str">
        <f>COVER!T15</f>
        <v>Jeffrey C. Stroder, CPA</v>
      </c>
      <c r="H15" s="2414"/>
      <c r="I15" s="2414"/>
      <c r="J15" s="2414"/>
      <c r="K15" s="2414"/>
      <c r="L15" s="2415"/>
    </row>
    <row r="16" spans="1:29" ht="12.2" customHeight="1" x14ac:dyDescent="0.2">
      <c r="A16" s="2393">
        <f>COVER!A25</f>
        <v>62995</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573-334-7971</v>
      </c>
      <c r="H18" s="2391"/>
      <c r="I18" s="2391"/>
      <c r="J18" s="2391"/>
      <c r="K18" s="2390" t="str">
        <f>COVER!X21</f>
        <v>573-334-8875</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Vienna SD 55</v>
      </c>
      <c r="B1" s="2427"/>
      <c r="C1" s="2427"/>
      <c r="D1" s="2427"/>
    </row>
    <row r="2" spans="1:11" s="1212" customFormat="1" ht="12.75" x14ac:dyDescent="0.2">
      <c r="A2" s="2432">
        <f>'Single Audit Cover'!E7</f>
        <v>21044055002</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Vienna SD 55</v>
      </c>
      <c r="B1" s="2435"/>
      <c r="C1" s="2435"/>
      <c r="D1" s="2435"/>
      <c r="E1" s="2435"/>
    </row>
    <row r="2" spans="1:5" x14ac:dyDescent="0.2">
      <c r="A2" s="2436">
        <f>'Single Audit Cover'!E7</f>
        <v>21044055002</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278115</v>
      </c>
    </row>
    <row r="11" spans="1:5" ht="18" customHeight="1" x14ac:dyDescent="0.2">
      <c r="A11" s="1258" t="s">
        <v>1240</v>
      </c>
      <c r="B11" s="1259"/>
      <c r="C11" s="1259"/>
    </row>
    <row r="12" spans="1:5" x14ac:dyDescent="0.2">
      <c r="A12" s="1258" t="s">
        <v>1239</v>
      </c>
      <c r="B12" s="1259" t="s">
        <v>1238</v>
      </c>
      <c r="C12" s="1259"/>
      <c r="D12" s="1261">
        <f>SUM('Revenues 9-14'!C112:D112,'Revenues 9-14'!F112:G112)</f>
        <v>39689</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317804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317804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0</v>
      </c>
    </row>
    <row r="49" spans="2:4" x14ac:dyDescent="0.2">
      <c r="B49" s="1269" t="s">
        <v>1226</v>
      </c>
      <c r="C49" s="1269"/>
      <c r="D49" s="1270">
        <f>D32-D47</f>
        <v>317804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Vienna SD 55</v>
      </c>
      <c r="C1" s="2439"/>
      <c r="D1" s="2439"/>
      <c r="E1" s="2439"/>
      <c r="F1" s="2439"/>
      <c r="G1" s="2439"/>
      <c r="H1" s="2439"/>
      <c r="I1" s="2439"/>
      <c r="J1" s="2439"/>
      <c r="K1" s="2439"/>
      <c r="L1" s="2439"/>
      <c r="M1" s="2439"/>
    </row>
    <row r="2" spans="2:14" ht="15" x14ac:dyDescent="0.2">
      <c r="B2" s="2440">
        <f>'Single Audit Cover'!E7</f>
        <v>21044055002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2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Vienna SD 55</v>
      </c>
      <c r="B1" s="2444"/>
      <c r="C1" s="2444"/>
      <c r="D1" s="2444"/>
      <c r="E1" s="2444"/>
      <c r="F1" s="2444"/>
    </row>
    <row r="2" spans="1:7" ht="13.5" customHeight="1" x14ac:dyDescent="0.2">
      <c r="A2" s="2440">
        <f>'Single Audit Cover'!E7</f>
        <v>21044055002</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1" t="s">
        <v>1732</v>
      </c>
      <c r="B32" s="2451"/>
      <c r="C32" s="2451"/>
      <c r="D32" s="2451"/>
      <c r="E32" s="2451"/>
      <c r="F32" s="245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2">
        <f>+C33+C34</f>
        <v>0</v>
      </c>
      <c r="F34" s="245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K143"/>
  <sheetViews>
    <sheetView showGridLines="0" defaultGridColor="0" view="pageBreakPreview" topLeftCell="A86" colorId="8" zoomScale="95" zoomScaleNormal="110" zoomScaleSheetLayoutView="95" workbookViewId="0">
      <selection activeCell="O43" sqref="O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t="s">
        <v>2081</v>
      </c>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44" right="0.16" top="0.39" bottom="0.33" header="0.19" footer="0.17"/>
  <pageSetup scale="85"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Vienna SD 55</v>
      </c>
      <c r="C1" s="2460"/>
      <c r="D1" s="2460"/>
      <c r="E1" s="2460"/>
      <c r="F1" s="2460"/>
      <c r="G1" s="2460"/>
      <c r="H1" s="2460"/>
      <c r="I1" s="2460"/>
      <c r="J1" s="1406"/>
    </row>
    <row r="2" spans="2:10" s="317" customFormat="1" ht="12.75" customHeight="1" x14ac:dyDescent="0.2">
      <c r="B2" s="2461">
        <f>'Single Audit Cover'!E7</f>
        <v>21044055002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1593</v>
      </c>
      <c r="D43" s="2474"/>
      <c r="E43" s="2474"/>
      <c r="F43" s="2475"/>
      <c r="G43" s="2476">
        <f>SUM(G38:I42)</f>
        <v>0</v>
      </c>
      <c r="H43" s="2476"/>
      <c r="I43" s="2476"/>
    </row>
    <row r="44" spans="2:9" ht="12.75" customHeight="1" x14ac:dyDescent="0.2"/>
    <row r="45" spans="2:9" ht="12.75" customHeight="1" x14ac:dyDescent="0.2">
      <c r="B45" s="1419" t="s">
        <v>1841</v>
      </c>
      <c r="D45" s="2477">
        <v>0</v>
      </c>
      <c r="E45" s="247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9"/>
      <c r="F49" s="2479"/>
      <c r="G49" s="247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Vienna SD 55</v>
      </c>
      <c r="C1" s="2459"/>
      <c r="D1" s="2459"/>
      <c r="E1" s="2459"/>
      <c r="F1" s="2459"/>
      <c r="G1" s="2459"/>
      <c r="H1" s="2459"/>
      <c r="I1" s="2459"/>
      <c r="J1" s="2459"/>
      <c r="K1" s="2459"/>
      <c r="L1" s="1371"/>
      <c r="M1" s="1371"/>
    </row>
    <row r="2" spans="1:13" ht="12" customHeight="1" x14ac:dyDescent="0.2">
      <c r="B2" s="2461">
        <f>'Single Audit Cover'!E7</f>
        <v>21044055002</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2135</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2141</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2136</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2137</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2107</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2138</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2144</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4E1DC-C864-4CDA-9B4C-4AD3E3B0F5D9}">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Vienna SD 55</v>
      </c>
      <c r="C1" s="2459"/>
      <c r="D1" s="2459"/>
      <c r="E1" s="2459"/>
      <c r="F1" s="2459"/>
      <c r="G1" s="2459"/>
      <c r="H1" s="2459"/>
      <c r="I1" s="2459"/>
      <c r="J1" s="2459"/>
      <c r="K1" s="2459"/>
      <c r="L1" s="1371"/>
      <c r="M1" s="1371"/>
    </row>
    <row r="2" spans="1:13" ht="12" customHeight="1" x14ac:dyDescent="0.2">
      <c r="B2" s="2461">
        <f>'Single Audit Cover'!E7</f>
        <v>21044055002</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938"/>
      <c r="M3" s="1938"/>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2113</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2108</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2109</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2110</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2111</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2112</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2145</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A9665-494B-41CA-AF6D-5C245308BA09}">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Vienna SD 55</v>
      </c>
      <c r="C1" s="2459"/>
      <c r="D1" s="2459"/>
      <c r="E1" s="2459"/>
      <c r="F1" s="2459"/>
      <c r="G1" s="2459"/>
      <c r="H1" s="2459"/>
      <c r="I1" s="2459"/>
      <c r="J1" s="2459"/>
      <c r="K1" s="2459"/>
      <c r="L1" s="1371"/>
      <c r="M1" s="1371"/>
    </row>
    <row r="2" spans="1:13" ht="12" customHeight="1" x14ac:dyDescent="0.2">
      <c r="B2" s="2461">
        <f>'Single Audit Cover'!E7</f>
        <v>21044055002</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938"/>
      <c r="M3" s="1938"/>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3</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2114</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2117</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2115</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2116</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2118</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2119</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2146</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1A89C-083D-4417-AC39-996E2032AB5E}">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Vienna SD 55</v>
      </c>
      <c r="C1" s="2459"/>
      <c r="D1" s="2459"/>
      <c r="E1" s="2459"/>
      <c r="F1" s="2459"/>
      <c r="G1" s="2459"/>
      <c r="H1" s="2459"/>
      <c r="I1" s="2459"/>
      <c r="J1" s="2459"/>
      <c r="K1" s="2459"/>
      <c r="L1" s="1371"/>
      <c r="M1" s="1371"/>
    </row>
    <row r="2" spans="1:13" ht="12" customHeight="1" x14ac:dyDescent="0.2">
      <c r="B2" s="2461">
        <f>'Single Audit Cover'!E7</f>
        <v>21044055002</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938"/>
      <c r="M3" s="1938"/>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4</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2139</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2120</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2121</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2122</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2123</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2124</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2147</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Vienna SD 55</v>
      </c>
      <c r="C1" s="2486"/>
      <c r="D1" s="2486"/>
      <c r="E1" s="2486"/>
      <c r="F1" s="2486"/>
      <c r="G1" s="2486"/>
      <c r="H1" s="2486"/>
      <c r="I1" s="2486"/>
      <c r="J1" s="2486"/>
      <c r="K1" s="2486"/>
      <c r="L1" s="1449"/>
    </row>
    <row r="2" spans="1:12" ht="12.75" customHeight="1" x14ac:dyDescent="0.2">
      <c r="B2" s="2487">
        <f>'Single Audit Cover'!E7</f>
        <v>21044055002</v>
      </c>
      <c r="C2" s="2487"/>
      <c r="D2" s="2487"/>
      <c r="E2" s="2487"/>
      <c r="F2" s="2487"/>
      <c r="G2" s="2487"/>
      <c r="H2" s="2487"/>
      <c r="I2" s="2487"/>
      <c r="J2" s="2487"/>
      <c r="K2" s="2487"/>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R10" sqref="R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Vienna SD 55</v>
      </c>
      <c r="C1" s="2459"/>
      <c r="D1" s="2459"/>
      <c r="E1" s="1469"/>
    </row>
    <row r="2" spans="2:5" s="1279" customFormat="1" ht="12.75" customHeight="1" x14ac:dyDescent="0.2">
      <c r="B2" s="2461">
        <f>'Single Audit Cover'!E7</f>
        <v>21044055002</v>
      </c>
      <c r="C2" s="2461"/>
      <c r="D2" s="2461"/>
      <c r="E2" s="1470"/>
    </row>
    <row r="3" spans="2:5" ht="12.75" customHeight="1" x14ac:dyDescent="0.2">
      <c r="B3" s="2482" t="s">
        <v>1766</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2125</v>
      </c>
      <c r="C7" s="324" t="s">
        <v>2126</v>
      </c>
      <c r="D7" s="324" t="s">
        <v>2130</v>
      </c>
      <c r="E7" s="324"/>
    </row>
    <row r="8" spans="2:5" ht="13.5" customHeight="1" x14ac:dyDescent="0.2">
      <c r="B8" s="1474"/>
      <c r="C8" s="324" t="s">
        <v>2127</v>
      </c>
      <c r="D8" s="324"/>
      <c r="E8" s="324"/>
    </row>
    <row r="9" spans="2:5" ht="13.5" customHeight="1" x14ac:dyDescent="0.2">
      <c r="B9" s="1475"/>
      <c r="C9" s="323" t="s">
        <v>2129</v>
      </c>
      <c r="D9" s="323"/>
      <c r="E9" s="323"/>
    </row>
    <row r="10" spans="2:5" ht="13.5" customHeight="1" x14ac:dyDescent="0.2">
      <c r="B10" s="1474"/>
      <c r="C10" s="323" t="s">
        <v>2128</v>
      </c>
      <c r="D10" s="323"/>
      <c r="E10" s="323"/>
    </row>
    <row r="11" spans="2:5" ht="13.5" customHeight="1" x14ac:dyDescent="0.2">
      <c r="B11" s="1474"/>
      <c r="C11" s="323"/>
      <c r="D11" s="323"/>
      <c r="E11" s="323"/>
    </row>
    <row r="12" spans="2:5" ht="13.5" customHeight="1" x14ac:dyDescent="0.2">
      <c r="B12" s="1474" t="s">
        <v>2131</v>
      </c>
      <c r="C12" s="323" t="s">
        <v>2132</v>
      </c>
      <c r="D12" s="323" t="s">
        <v>2134</v>
      </c>
      <c r="E12" s="323"/>
    </row>
    <row r="13" spans="2:5" ht="13.5" customHeight="1" x14ac:dyDescent="0.2">
      <c r="B13" s="1474"/>
      <c r="C13" s="323" t="s">
        <v>2133</v>
      </c>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0" colorId="8" zoomScale="110" zoomScaleNormal="110" workbookViewId="0">
      <selection activeCell="O43" sqref="O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37553207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1.1999999999999999E-3</v>
      </c>
      <c r="I10" s="356" t="s">
        <v>1006</v>
      </c>
      <c r="J10" s="1732">
        <f>ROUND(D10+F10+H10,5)</f>
        <v>1.29E-2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3520519</v>
      </c>
      <c r="E16" s="356"/>
      <c r="F16" s="1733">
        <f>SUM('Acct Summary 7-8'!C17,'Acct Summary 7-8'!D17,'Acct Summary 7-8'!F17)</f>
        <v>3554734</v>
      </c>
      <c r="G16" s="356"/>
      <c r="H16" s="1733">
        <f>SUM(D16-F16)</f>
        <v>-34215</v>
      </c>
      <c r="I16" s="222"/>
      <c r="J16" s="1733">
        <f>SUM('Acct Summary 7-8'!C81,'Acct Summary 7-8'!D81,'Acct Summary 7-8'!F81,'Acct Summary 7-8'!I81)</f>
        <v>1033148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2591171.2830000003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2245668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O43" sqref="O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Vienna SD 55</v>
      </c>
      <c r="E7" s="391"/>
      <c r="G7" s="252"/>
      <c r="H7" s="387"/>
      <c r="I7" s="387"/>
      <c r="J7" s="387"/>
      <c r="K7" s="387"/>
      <c r="L7" s="329"/>
      <c r="M7" s="329"/>
      <c r="N7" s="329"/>
      <c r="O7" s="329"/>
      <c r="P7" s="329"/>
    </row>
    <row r="8" spans="1:18" ht="12.75" x14ac:dyDescent="0.2">
      <c r="A8" s="329"/>
      <c r="B8" s="329"/>
      <c r="C8" s="389" t="s">
        <v>1125</v>
      </c>
      <c r="D8" s="392">
        <f>COVER!A13</f>
        <v>21044055002</v>
      </c>
      <c r="E8" s="393"/>
      <c r="G8" s="329"/>
      <c r="H8" s="329"/>
      <c r="I8" s="329"/>
      <c r="J8" s="329"/>
      <c r="K8" s="329"/>
      <c r="L8" s="329"/>
      <c r="M8" s="329"/>
      <c r="N8" s="329"/>
      <c r="O8" s="329"/>
      <c r="P8" s="329"/>
    </row>
    <row r="9" spans="1:18" ht="12.75" x14ac:dyDescent="0.2">
      <c r="A9" s="329"/>
      <c r="B9" s="329"/>
      <c r="C9" s="389" t="s">
        <v>713</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1033148</v>
      </c>
      <c r="I12" s="404"/>
      <c r="J12" s="404"/>
      <c r="K12" s="405">
        <f>TRUNC((H12/H13*100000),5)/100000</f>
        <v>0.29346468510000001</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3520519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3554734</v>
      </c>
      <c r="I17" s="404"/>
      <c r="J17" s="416"/>
      <c r="K17" s="405">
        <f>TRUNC((H17/H18*100000),5)/100000</f>
        <v>1.0097187373999998</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3520519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19.906359899999998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1033378</v>
      </c>
      <c r="I24" s="422"/>
      <c r="J24" s="422"/>
      <c r="K24" s="423">
        <f>TRUNC(((H24/H25*100000)/100000),2)</f>
        <v>104.65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9874.2611099999995</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411770.91476000001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2245668</v>
      </c>
      <c r="I32" s="420"/>
      <c r="J32" s="420"/>
      <c r="K32" s="423">
        <f>TRUNC(100-((((H32/H33*100))*100)/100),2)</f>
        <v>13.33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2591171.2830000003</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4"/>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110" zoomScaleNormal="110" workbookViewId="0">
      <pane ySplit="2" topLeftCell="A24" activePane="bottomLeft" state="frozen"/>
      <selection pane="bottomLeft" activeCell="D53" sqref="D5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752010</v>
      </c>
      <c r="D4" s="466">
        <v>122018</v>
      </c>
      <c r="E4" s="466">
        <v>36183</v>
      </c>
      <c r="F4" s="466">
        <v>123456</v>
      </c>
      <c r="G4" s="466">
        <v>311988</v>
      </c>
      <c r="H4" s="466"/>
      <c r="I4" s="466">
        <v>35894</v>
      </c>
      <c r="J4" s="467"/>
      <c r="K4" s="466">
        <v>97716</v>
      </c>
      <c r="L4" s="466">
        <v>14486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457</v>
      </c>
      <c r="D12" s="466"/>
      <c r="E12" s="466"/>
      <c r="F12" s="466"/>
      <c r="G12" s="466"/>
      <c r="H12" s="466"/>
      <c r="I12" s="466"/>
      <c r="J12" s="467"/>
      <c r="K12" s="466"/>
      <c r="L12" s="466"/>
      <c r="M12" s="469"/>
      <c r="N12" s="469"/>
    </row>
    <row r="13" spans="1:14" ht="13.5" customHeight="1" thickBot="1" x14ac:dyDescent="0.25">
      <c r="A13" s="1736" t="s">
        <v>644</v>
      </c>
      <c r="B13" s="1709"/>
      <c r="C13" s="1737">
        <f>SUM(C4:C12)</f>
        <v>752467</v>
      </c>
      <c r="D13" s="1737">
        <f t="shared" ref="D13:L13" si="0">SUM(D4:D12)</f>
        <v>122018</v>
      </c>
      <c r="E13" s="1737">
        <f t="shared" si="0"/>
        <v>36183</v>
      </c>
      <c r="F13" s="1737">
        <f t="shared" si="0"/>
        <v>123456</v>
      </c>
      <c r="G13" s="1737">
        <f t="shared" si="0"/>
        <v>311988</v>
      </c>
      <c r="H13" s="1737">
        <f t="shared" si="0"/>
        <v>0</v>
      </c>
      <c r="I13" s="1737">
        <f t="shared" si="0"/>
        <v>35894</v>
      </c>
      <c r="J13" s="1737">
        <f t="shared" si="0"/>
        <v>0</v>
      </c>
      <c r="K13" s="1737">
        <f t="shared" si="0"/>
        <v>97716</v>
      </c>
      <c r="L13" s="1737">
        <f t="shared" si="0"/>
        <v>14486</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127186</v>
      </c>
      <c r="N16" s="484"/>
    </row>
    <row r="17" spans="1:14" s="485" customFormat="1" ht="12.75" customHeight="1" x14ac:dyDescent="0.2">
      <c r="A17" s="482" t="s">
        <v>1403</v>
      </c>
      <c r="B17" s="483">
        <v>230</v>
      </c>
      <c r="C17" s="477"/>
      <c r="D17" s="477"/>
      <c r="E17" s="477"/>
      <c r="F17" s="477"/>
      <c r="G17" s="477"/>
      <c r="H17" s="477"/>
      <c r="I17" s="477"/>
      <c r="J17" s="477"/>
      <c r="K17" s="477"/>
      <c r="L17" s="477"/>
      <c r="M17" s="467">
        <v>6195381</v>
      </c>
      <c r="N17" s="484"/>
    </row>
    <row r="18" spans="1:14" s="485" customFormat="1" ht="12.75" customHeight="1" x14ac:dyDescent="0.2">
      <c r="A18" s="482" t="s">
        <v>1404</v>
      </c>
      <c r="B18" s="483">
        <v>240</v>
      </c>
      <c r="C18" s="477"/>
      <c r="D18" s="477"/>
      <c r="E18" s="477"/>
      <c r="F18" s="477"/>
      <c r="G18" s="477"/>
      <c r="H18" s="477"/>
      <c r="I18" s="477"/>
      <c r="J18" s="477"/>
      <c r="K18" s="477"/>
      <c r="L18" s="477"/>
      <c r="M18" s="467">
        <v>424514</v>
      </c>
      <c r="N18" s="484"/>
    </row>
    <row r="19" spans="1:14" s="485" customFormat="1" ht="12.75" customHeight="1" x14ac:dyDescent="0.2">
      <c r="A19" s="482" t="s">
        <v>1405</v>
      </c>
      <c r="B19" s="483">
        <v>250</v>
      </c>
      <c r="C19" s="477"/>
      <c r="D19" s="477"/>
      <c r="E19" s="477"/>
      <c r="F19" s="477"/>
      <c r="G19" s="477"/>
      <c r="H19" s="477"/>
      <c r="I19" s="477"/>
      <c r="J19" s="477"/>
      <c r="K19" s="477"/>
      <c r="L19" s="477"/>
      <c r="M19" s="467">
        <f>909483+518183</f>
        <v>1427666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36183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2209485</v>
      </c>
    </row>
    <row r="23" spans="1:14" ht="13.5" customHeight="1" thickBot="1" x14ac:dyDescent="0.25">
      <c r="A23" s="1736" t="s">
        <v>643</v>
      </c>
      <c r="B23" s="1741"/>
      <c r="C23" s="468"/>
      <c r="D23" s="468"/>
      <c r="E23" s="468"/>
      <c r="F23" s="468"/>
      <c r="G23" s="468"/>
      <c r="H23" s="468"/>
      <c r="I23" s="468"/>
      <c r="J23" s="468"/>
      <c r="K23" s="468"/>
      <c r="L23" s="468"/>
      <c r="M23" s="1688">
        <f>SUM(M15:M22)</f>
        <v>8174747</v>
      </c>
      <c r="N23" s="1688">
        <f>SUM(N21:N22)</f>
        <v>2245668</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687</v>
      </c>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14486</v>
      </c>
      <c r="M33" s="468"/>
      <c r="N33" s="469"/>
    </row>
    <row r="34" spans="1:14" ht="13.5" customHeight="1" thickBot="1" x14ac:dyDescent="0.25">
      <c r="A34" s="1738" t="s">
        <v>654</v>
      </c>
      <c r="B34" s="1739"/>
      <c r="C34" s="1740">
        <f>SUM(C25:C33)</f>
        <v>687</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14486</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2245668</v>
      </c>
    </row>
    <row r="37" spans="1:14" ht="13.5" thickBot="1" x14ac:dyDescent="0.25">
      <c r="A37" s="1736" t="s">
        <v>653</v>
      </c>
      <c r="B37" s="1741"/>
      <c r="C37" s="477"/>
      <c r="D37" s="477"/>
      <c r="E37" s="477"/>
      <c r="F37" s="477"/>
      <c r="G37" s="477"/>
      <c r="H37" s="477"/>
      <c r="I37" s="477"/>
      <c r="J37" s="477"/>
      <c r="K37" s="477"/>
      <c r="L37" s="480"/>
      <c r="M37" s="468"/>
      <c r="N37" s="1688">
        <f>SUM(N36:N36)</f>
        <v>2245668</v>
      </c>
    </row>
    <row r="38" spans="1:14" s="329" customFormat="1" ht="13.5" customHeight="1" thickTop="1" x14ac:dyDescent="0.2">
      <c r="A38" s="496" t="s">
        <v>420</v>
      </c>
      <c r="B38" s="483">
        <v>714</v>
      </c>
      <c r="C38" s="466"/>
      <c r="D38" s="466"/>
      <c r="E38" s="466">
        <v>36183</v>
      </c>
      <c r="F38" s="466"/>
      <c r="G38" s="466">
        <v>311988</v>
      </c>
      <c r="H38" s="466"/>
      <c r="I38" s="466"/>
      <c r="J38" s="467"/>
      <c r="K38" s="466">
        <v>97716</v>
      </c>
      <c r="L38" s="481"/>
      <c r="M38" s="497"/>
      <c r="N38" s="497"/>
    </row>
    <row r="39" spans="1:14" s="329" customFormat="1" ht="13.5" customHeight="1" x14ac:dyDescent="0.2">
      <c r="A39" s="496" t="s">
        <v>342</v>
      </c>
      <c r="B39" s="483">
        <v>730</v>
      </c>
      <c r="C39" s="466">
        <v>751780</v>
      </c>
      <c r="D39" s="466">
        <v>122018</v>
      </c>
      <c r="E39" s="466"/>
      <c r="F39" s="466">
        <v>123456</v>
      </c>
      <c r="G39" s="466"/>
      <c r="H39" s="466"/>
      <c r="I39" s="466">
        <v>35894</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8174747</v>
      </c>
      <c r="N40" s="497"/>
    </row>
    <row r="41" spans="1:14" ht="13.5" customHeight="1" thickBot="1" x14ac:dyDescent="0.25">
      <c r="A41" s="1736" t="s">
        <v>655</v>
      </c>
      <c r="B41" s="1706"/>
      <c r="C41" s="1688">
        <f>(SUM(C34,C37,C38,C39))</f>
        <v>752467</v>
      </c>
      <c r="D41" s="1688">
        <f t="shared" ref="D41:L41" si="2">SUM(D34,D37,D38:D39)</f>
        <v>122018</v>
      </c>
      <c r="E41" s="1688">
        <f t="shared" si="2"/>
        <v>36183</v>
      </c>
      <c r="F41" s="1688">
        <f t="shared" si="2"/>
        <v>123456</v>
      </c>
      <c r="G41" s="1688">
        <f t="shared" si="2"/>
        <v>311988</v>
      </c>
      <c r="H41" s="1688">
        <f t="shared" si="2"/>
        <v>0</v>
      </c>
      <c r="I41" s="1688">
        <f t="shared" si="2"/>
        <v>35894</v>
      </c>
      <c r="J41" s="1688">
        <f t="shared" si="2"/>
        <v>0</v>
      </c>
      <c r="K41" s="1688">
        <f t="shared" si="2"/>
        <v>97716</v>
      </c>
      <c r="L41" s="1688">
        <f t="shared" si="2"/>
        <v>14486</v>
      </c>
      <c r="M41" s="1688">
        <f>SUM(M40)</f>
        <v>8174747</v>
      </c>
      <c r="N41" s="1688">
        <f>SUM(N37)</f>
        <v>2245668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headings="1" gridLinesSet="0"/>
  <pageMargins left="0.3" right="0.15" top="1.1100000000000001" bottom="0.5" header="0.53" footer="0.4"/>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K5" sqref="K5"/>
      <selection pane="bottomLeft" activeCell="K5" sqref="K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610496</v>
      </c>
      <c r="D4" s="1742">
        <f>'Revenues 9-14'!D109</f>
        <v>104128</v>
      </c>
      <c r="E4" s="1742">
        <f>'Revenues 9-14'!E109</f>
        <v>208871</v>
      </c>
      <c r="F4" s="1742">
        <f>'Revenues 9-14'!F109</f>
        <v>46126</v>
      </c>
      <c r="G4" s="1742">
        <f>'Revenues 9-14'!G109</f>
        <v>178221</v>
      </c>
      <c r="H4" s="1742">
        <f>'Revenues 9-14'!H109</f>
        <v>0</v>
      </c>
      <c r="I4" s="1742">
        <f>'Revenues 9-14'!I109</f>
        <v>18918</v>
      </c>
      <c r="J4" s="1742">
        <f>'Revenues 9-14'!J109</f>
        <v>176335</v>
      </c>
      <c r="K4" s="1742">
        <f>'Revenues 9-14'!K109</f>
        <v>20288</v>
      </c>
      <c r="L4" s="347"/>
    </row>
    <row r="5" spans="1:13" ht="15.75" customHeight="1" x14ac:dyDescent="0.2">
      <c r="A5" s="1576" t="s">
        <v>1500</v>
      </c>
      <c r="B5" s="1577">
        <v>2000</v>
      </c>
      <c r="C5" s="1743">
        <f>'Revenues 9-14'!C114</f>
        <v>68970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2268631</v>
      </c>
      <c r="D6" s="1743">
        <f>'Revenues 9-14'!D170</f>
        <v>5000</v>
      </c>
      <c r="E6" s="1743">
        <f>'Revenues 9-14'!E170</f>
        <v>0</v>
      </c>
      <c r="F6" s="1743">
        <f>'Revenues 9-14'!F170</f>
        <v>135172</v>
      </c>
      <c r="G6" s="1743">
        <f>'Revenues 9-14'!G170</f>
        <v>6800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263078</v>
      </c>
      <c r="D7" s="1743">
        <f>'Revenues 9-14'!D267</f>
        <v>0</v>
      </c>
      <c r="E7" s="1743">
        <f>'Revenues 9-14'!E267</f>
        <v>0</v>
      </c>
      <c r="F7" s="1743">
        <f>'Revenues 9-14'!F267</f>
        <v>0</v>
      </c>
      <c r="G7" s="1743">
        <f>'Revenues 9-14'!G267</f>
        <v>15037</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3211175</v>
      </c>
      <c r="D8" s="1688">
        <f t="shared" ref="D8:K8" si="0">SUM(D4:D7)</f>
        <v>109128</v>
      </c>
      <c r="E8" s="1688">
        <f t="shared" si="0"/>
        <v>208871</v>
      </c>
      <c r="F8" s="1688">
        <f t="shared" si="0"/>
        <v>181298</v>
      </c>
      <c r="G8" s="1688">
        <f t="shared" si="0"/>
        <v>200058</v>
      </c>
      <c r="H8" s="1688">
        <f t="shared" si="0"/>
        <v>0</v>
      </c>
      <c r="I8" s="1688">
        <f t="shared" si="0"/>
        <v>18918</v>
      </c>
      <c r="J8" s="1688">
        <f t="shared" si="0"/>
        <v>176335</v>
      </c>
      <c r="K8" s="1688">
        <f t="shared" si="0"/>
        <v>20288</v>
      </c>
      <c r="L8" s="347"/>
    </row>
    <row r="9" spans="1:13" ht="15.75" thickTop="1" x14ac:dyDescent="0.2">
      <c r="A9" s="514" t="s">
        <v>1653</v>
      </c>
      <c r="B9" s="515">
        <v>3998</v>
      </c>
      <c r="C9" s="481">
        <v>1239638</v>
      </c>
      <c r="D9" s="516"/>
      <c r="E9" s="481"/>
      <c r="F9" s="481"/>
      <c r="G9" s="517"/>
      <c r="H9" s="481"/>
      <c r="I9" s="509" t="s">
        <v>1169</v>
      </c>
      <c r="J9" s="478"/>
      <c r="K9" s="481"/>
      <c r="L9" s="347"/>
    </row>
    <row r="10" spans="1:13" s="519" customFormat="1" ht="13.5" thickBot="1" x14ac:dyDescent="0.25">
      <c r="A10" s="1736" t="s">
        <v>1173</v>
      </c>
      <c r="B10" s="1709"/>
      <c r="C10" s="1688">
        <f>SUM(C8:C9)</f>
        <v>4450813</v>
      </c>
      <c r="D10" s="1688">
        <f t="shared" ref="D10:K10" si="1">SUM(D8:D9)</f>
        <v>109128</v>
      </c>
      <c r="E10" s="1688">
        <f t="shared" si="1"/>
        <v>208871</v>
      </c>
      <c r="F10" s="1688">
        <f t="shared" si="1"/>
        <v>181298</v>
      </c>
      <c r="G10" s="1688">
        <f t="shared" si="1"/>
        <v>200058</v>
      </c>
      <c r="H10" s="1688">
        <f t="shared" si="1"/>
        <v>0</v>
      </c>
      <c r="I10" s="1688">
        <f t="shared" si="1"/>
        <v>18918</v>
      </c>
      <c r="J10" s="1688">
        <f t="shared" si="1"/>
        <v>176335</v>
      </c>
      <c r="K10" s="1688">
        <f t="shared" si="1"/>
        <v>20288</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2174920</v>
      </c>
      <c r="D12" s="520" t="s">
        <v>1169</v>
      </c>
      <c r="E12" s="468" t="s">
        <v>1169</v>
      </c>
      <c r="F12" s="468" t="s">
        <v>1169</v>
      </c>
      <c r="G12" s="1742">
        <f>'Expenditures 15-22'!K229</f>
        <v>71103</v>
      </c>
      <c r="H12" s="521"/>
      <c r="I12" s="468" t="s">
        <v>1169</v>
      </c>
      <c r="J12" s="468" t="s">
        <v>1169</v>
      </c>
      <c r="K12" s="521" t="s">
        <v>1169</v>
      </c>
      <c r="L12" s="347"/>
    </row>
    <row r="13" spans="1:13" ht="15.75" customHeight="1" x14ac:dyDescent="0.2">
      <c r="A13" s="1576" t="s">
        <v>457</v>
      </c>
      <c r="B13" s="1578">
        <v>2000</v>
      </c>
      <c r="C13" s="1743">
        <f>'Expenditures 15-22'!K74</f>
        <v>863225</v>
      </c>
      <c r="D13" s="1743">
        <f>'Expenditures 15-22'!K129</f>
        <v>112203</v>
      </c>
      <c r="E13" s="469" t="s">
        <v>1169</v>
      </c>
      <c r="F13" s="1743">
        <f>'Expenditures 15-22'!K184</f>
        <v>247847</v>
      </c>
      <c r="G13" s="1743">
        <f>'Expenditures 15-22'!K279</f>
        <v>97460</v>
      </c>
      <c r="H13" s="1743">
        <f>'Expenditures 15-22'!K303</f>
        <v>0</v>
      </c>
      <c r="I13" s="468" t="s">
        <v>1169</v>
      </c>
      <c r="J13" s="1743">
        <f>'Expenditures 15-22'!K330</f>
        <v>176335</v>
      </c>
      <c r="K13" s="1747">
        <f>'Expenditures 15-22'!K352</f>
        <v>2279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111803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201170</v>
      </c>
      <c r="F16" s="1743">
        <f>'Expenditures 15-22'!K208</f>
        <v>44736</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3149948</v>
      </c>
      <c r="D17" s="1688">
        <f t="shared" si="2"/>
        <v>112203</v>
      </c>
      <c r="E17" s="1688">
        <f t="shared" si="2"/>
        <v>201170</v>
      </c>
      <c r="F17" s="1688">
        <f t="shared" si="2"/>
        <v>292583</v>
      </c>
      <c r="G17" s="1688">
        <f t="shared" si="2"/>
        <v>168563</v>
      </c>
      <c r="H17" s="1688">
        <f t="shared" si="2"/>
        <v>0</v>
      </c>
      <c r="I17" s="468"/>
      <c r="J17" s="1688">
        <f>SUM(J12:J16)</f>
        <v>176335</v>
      </c>
      <c r="K17" s="1688">
        <f>SUM(K12:K16)</f>
        <v>2279</v>
      </c>
      <c r="L17" s="347"/>
    </row>
    <row r="18" spans="1:12" ht="15" customHeight="1" thickTop="1" x14ac:dyDescent="0.2">
      <c r="A18" s="1744" t="s">
        <v>1654</v>
      </c>
      <c r="B18" s="1745">
        <v>4180</v>
      </c>
      <c r="C18" s="1742">
        <f t="shared" ref="C18:H18" si="3">C9</f>
        <v>1239638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4389586</v>
      </c>
      <c r="D19" s="1688">
        <f t="shared" si="4"/>
        <v>112203</v>
      </c>
      <c r="E19" s="1688">
        <f t="shared" si="4"/>
        <v>201170</v>
      </c>
      <c r="F19" s="1688">
        <f t="shared" si="4"/>
        <v>292583</v>
      </c>
      <c r="G19" s="1688">
        <f t="shared" si="4"/>
        <v>168563</v>
      </c>
      <c r="H19" s="1688">
        <f t="shared" si="4"/>
        <v>0</v>
      </c>
      <c r="I19" s="468"/>
      <c r="J19" s="1688">
        <f>SUM(J17:J18)</f>
        <v>176335</v>
      </c>
      <c r="K19" s="1688">
        <f>SUM(K17:K18)</f>
        <v>2279</v>
      </c>
      <c r="L19" s="347"/>
    </row>
    <row r="20" spans="1:12" ht="16.5" thickTop="1" thickBot="1" x14ac:dyDescent="0.25">
      <c r="A20" s="2132" t="s">
        <v>1655</v>
      </c>
      <c r="B20" s="2133"/>
      <c r="C20" s="1746">
        <f>C8-C17</f>
        <v>61227</v>
      </c>
      <c r="D20" s="1746">
        <f t="shared" ref="D20:K20" si="5">D8-D17</f>
        <v>-3075</v>
      </c>
      <c r="E20" s="1746">
        <f t="shared" si="5"/>
        <v>7701</v>
      </c>
      <c r="F20" s="1746">
        <f t="shared" si="5"/>
        <v>-111285</v>
      </c>
      <c r="G20" s="1746">
        <f t="shared" si="5"/>
        <v>31495</v>
      </c>
      <c r="H20" s="1746">
        <f t="shared" si="5"/>
        <v>0</v>
      </c>
      <c r="I20" s="1746">
        <f t="shared" si="5"/>
        <v>18918</v>
      </c>
      <c r="J20" s="1746">
        <f t="shared" si="5"/>
        <v>0</v>
      </c>
      <c r="K20" s="1746">
        <f t="shared" si="5"/>
        <v>18009</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v>134772</v>
      </c>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0</v>
      </c>
      <c r="D44" s="1703">
        <f t="shared" ref="D44:K44" si="6">SUM(D24:D43)</f>
        <v>0</v>
      </c>
      <c r="E44" s="1703">
        <f t="shared" si="6"/>
        <v>0</v>
      </c>
      <c r="F44" s="1703">
        <f t="shared" si="6"/>
        <v>134772</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4" t="s">
        <v>1177</v>
      </c>
      <c r="B77" s="2125"/>
      <c r="C77" s="1703">
        <f t="shared" ref="C77:K77" si="8">C44-C76</f>
        <v>0</v>
      </c>
      <c r="D77" s="1703">
        <f t="shared" si="8"/>
        <v>0</v>
      </c>
      <c r="E77" s="1703">
        <f t="shared" si="8"/>
        <v>0</v>
      </c>
      <c r="F77" s="1703">
        <f t="shared" si="8"/>
        <v>134772</v>
      </c>
      <c r="G77" s="1703">
        <f t="shared" si="8"/>
        <v>0</v>
      </c>
      <c r="H77" s="1703">
        <f t="shared" si="8"/>
        <v>0</v>
      </c>
      <c r="I77" s="1703">
        <f t="shared" si="8"/>
        <v>0</v>
      </c>
      <c r="J77" s="1703">
        <f t="shared" si="8"/>
        <v>0</v>
      </c>
      <c r="K77" s="1703">
        <f t="shared" si="8"/>
        <v>0</v>
      </c>
      <c r="L77" s="347"/>
    </row>
    <row r="78" spans="1:12" ht="21.75" customHeight="1" thickTop="1" thickBot="1" x14ac:dyDescent="0.25">
      <c r="A78" s="2128" t="s">
        <v>597</v>
      </c>
      <c r="B78" s="2129"/>
      <c r="C78" s="1702">
        <f t="shared" ref="C78:K78" si="9">C20+C77</f>
        <v>61227</v>
      </c>
      <c r="D78" s="1702">
        <f t="shared" si="9"/>
        <v>-3075</v>
      </c>
      <c r="E78" s="1702">
        <f t="shared" si="9"/>
        <v>7701</v>
      </c>
      <c r="F78" s="1702">
        <f t="shared" si="9"/>
        <v>23487</v>
      </c>
      <c r="G78" s="1702">
        <f t="shared" si="9"/>
        <v>31495</v>
      </c>
      <c r="H78" s="1702">
        <f t="shared" si="9"/>
        <v>0</v>
      </c>
      <c r="I78" s="1702">
        <f t="shared" si="9"/>
        <v>18918</v>
      </c>
      <c r="J78" s="1702">
        <f t="shared" si="9"/>
        <v>0</v>
      </c>
      <c r="K78" s="1702">
        <f t="shared" si="9"/>
        <v>18009</v>
      </c>
      <c r="L78" s="533"/>
    </row>
    <row r="79" spans="1:12" ht="13.5" thickTop="1" x14ac:dyDescent="0.2">
      <c r="A79" s="1494" t="s">
        <v>1949</v>
      </c>
      <c r="B79" s="534"/>
      <c r="C79" s="478">
        <v>687114</v>
      </c>
      <c r="D79" s="535">
        <v>125093</v>
      </c>
      <c r="E79" s="535">
        <v>28482</v>
      </c>
      <c r="F79" s="535">
        <v>99969</v>
      </c>
      <c r="G79" s="535">
        <v>280493</v>
      </c>
      <c r="H79" s="535"/>
      <c r="I79" s="535">
        <v>16976</v>
      </c>
      <c r="J79" s="535"/>
      <c r="K79" s="535">
        <v>79707</v>
      </c>
      <c r="L79" s="347"/>
    </row>
    <row r="80" spans="1:12" x14ac:dyDescent="0.2">
      <c r="A80" s="2134" t="s">
        <v>1795</v>
      </c>
      <c r="B80" s="2135"/>
      <c r="C80" s="467">
        <v>3439</v>
      </c>
      <c r="D80" s="467"/>
      <c r="E80" s="467"/>
      <c r="F80" s="467"/>
      <c r="G80" s="467"/>
      <c r="H80" s="467"/>
      <c r="I80" s="467"/>
      <c r="J80" s="467"/>
      <c r="K80" s="467"/>
      <c r="L80" s="347"/>
    </row>
    <row r="81" spans="1:12" ht="13.5" thickBot="1" x14ac:dyDescent="0.25">
      <c r="A81" s="2126" t="s">
        <v>1950</v>
      </c>
      <c r="B81" s="2127"/>
      <c r="C81" s="1688">
        <f>(SUM(C78:C80))</f>
        <v>751780</v>
      </c>
      <c r="D81" s="1688">
        <f>SUM(D78:D80)</f>
        <v>122018</v>
      </c>
      <c r="E81" s="1688">
        <f t="shared" ref="E81:K81" si="10">SUM(E78:E80)</f>
        <v>36183</v>
      </c>
      <c r="F81" s="1688">
        <f t="shared" si="10"/>
        <v>123456</v>
      </c>
      <c r="G81" s="1688">
        <f t="shared" si="10"/>
        <v>311988</v>
      </c>
      <c r="H81" s="1688">
        <f t="shared" si="10"/>
        <v>0</v>
      </c>
      <c r="I81" s="1688">
        <f t="shared" si="10"/>
        <v>35894</v>
      </c>
      <c r="J81" s="1688">
        <f t="shared" si="10"/>
        <v>0</v>
      </c>
      <c r="K81" s="1688">
        <f t="shared" si="10"/>
        <v>97716</v>
      </c>
      <c r="L81" s="347"/>
    </row>
    <row r="82" spans="1:12" ht="0.75" customHeight="1" thickTop="1" thickBot="1" x14ac:dyDescent="0.25">
      <c r="A82" s="536" t="s">
        <v>343</v>
      </c>
      <c r="B82" s="537"/>
      <c r="C82" s="538">
        <f>(C81-C79)</f>
        <v>64666</v>
      </c>
      <c r="D82" s="538">
        <f t="shared" ref="D82:K82" si="11">(D81-D79)</f>
        <v>-3075</v>
      </c>
      <c r="E82" s="538">
        <f t="shared" si="11"/>
        <v>7701</v>
      </c>
      <c r="F82" s="538">
        <f t="shared" si="11"/>
        <v>23487</v>
      </c>
      <c r="G82" s="538">
        <f t="shared" si="11"/>
        <v>31495</v>
      </c>
      <c r="H82" s="538">
        <f t="shared" si="11"/>
        <v>0</v>
      </c>
      <c r="I82" s="538">
        <f t="shared" si="11"/>
        <v>18918</v>
      </c>
      <c r="J82" s="538">
        <f t="shared" si="11"/>
        <v>0</v>
      </c>
      <c r="K82" s="538">
        <f t="shared" si="11"/>
        <v>18009</v>
      </c>
    </row>
    <row r="83" spans="1:12" ht="14.25" hidden="1" thickTop="1" thickBot="1" x14ac:dyDescent="0.25">
      <c r="A83" s="539" t="s">
        <v>344</v>
      </c>
      <c r="B83" s="464"/>
      <c r="C83" s="540">
        <f>C82/C81</f>
        <v>8.6017185878847532E-2</v>
      </c>
      <c r="D83" s="540">
        <f t="shared" ref="D83:K83" si="12">D82/D81</f>
        <v>-2.5201199822976937E-2</v>
      </c>
      <c r="E83" s="540">
        <f t="shared" si="12"/>
        <v>0.21283475665367715</v>
      </c>
      <c r="F83" s="540">
        <f t="shared" si="12"/>
        <v>0.19024591757387246</v>
      </c>
      <c r="G83" s="540">
        <f t="shared" si="12"/>
        <v>0.10094939548957012</v>
      </c>
      <c r="H83" s="540" t="e">
        <f t="shared" si="12"/>
        <v>#DIV/0!</v>
      </c>
      <c r="I83" s="540">
        <f t="shared" si="12"/>
        <v>0.52705187496517525</v>
      </c>
      <c r="J83" s="540" t="e">
        <f t="shared" si="12"/>
        <v>#DIV/0!</v>
      </c>
      <c r="K83" s="540">
        <f t="shared" si="12"/>
        <v>0.18429939825617095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21" right="0" top="1.05" bottom="0.5" header="0.4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9" activePane="bottomLeft" state="frozen"/>
      <selection activeCell="K5" sqref="K5"/>
      <selection pane="bottomLeft" activeCell="D100" sqref="D1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334282</v>
      </c>
      <c r="D5" s="481">
        <v>90883</v>
      </c>
      <c r="E5" s="466">
        <v>206268</v>
      </c>
      <c r="F5" s="548">
        <v>43624</v>
      </c>
      <c r="G5" s="466">
        <v>78258</v>
      </c>
      <c r="H5" s="466"/>
      <c r="I5" s="466">
        <v>18177</v>
      </c>
      <c r="J5" s="467">
        <v>174885</v>
      </c>
      <c r="K5" s="466">
        <v>18177</v>
      </c>
    </row>
    <row r="6" spans="1:12" ht="15" x14ac:dyDescent="0.2">
      <c r="A6" s="463" t="s">
        <v>1662</v>
      </c>
      <c r="B6" s="470">
        <v>1130</v>
      </c>
      <c r="C6" s="466">
        <v>18177</v>
      </c>
      <c r="D6" s="466"/>
      <c r="E6" s="475"/>
      <c r="F6" s="475"/>
      <c r="G6" s="468"/>
      <c r="H6" s="468"/>
      <c r="I6" s="468"/>
      <c r="J6" s="468"/>
      <c r="K6" s="468"/>
    </row>
    <row r="7" spans="1:12" x14ac:dyDescent="0.2">
      <c r="A7" s="463" t="s">
        <v>110</v>
      </c>
      <c r="B7" s="549">
        <v>1140</v>
      </c>
      <c r="C7" s="466">
        <v>7271</v>
      </c>
      <c r="D7" s="466"/>
      <c r="E7" s="468"/>
      <c r="F7" s="467"/>
      <c r="G7" s="467"/>
      <c r="H7" s="467"/>
      <c r="I7" s="468"/>
      <c r="J7" s="468"/>
      <c r="K7" s="468"/>
    </row>
    <row r="8" spans="1:12" x14ac:dyDescent="0.2">
      <c r="A8" s="463" t="s">
        <v>413</v>
      </c>
      <c r="B8" s="470">
        <v>1150</v>
      </c>
      <c r="C8" s="475"/>
      <c r="D8" s="475"/>
      <c r="E8" s="477"/>
      <c r="F8" s="477"/>
      <c r="G8" s="481">
        <v>67446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359730</v>
      </c>
      <c r="D12" s="1707">
        <f t="shared" si="0"/>
        <v>90883</v>
      </c>
      <c r="E12" s="1707">
        <f t="shared" si="0"/>
        <v>206268</v>
      </c>
      <c r="F12" s="1707">
        <f t="shared" si="0"/>
        <v>43624</v>
      </c>
      <c r="G12" s="1707">
        <f t="shared" si="0"/>
        <v>145704</v>
      </c>
      <c r="H12" s="1707">
        <f t="shared" si="0"/>
        <v>0</v>
      </c>
      <c r="I12" s="1707">
        <f t="shared" si="0"/>
        <v>18177</v>
      </c>
      <c r="J12" s="1707">
        <f t="shared" si="0"/>
        <v>174885</v>
      </c>
      <c r="K12" s="1688">
        <f t="shared" si="0"/>
        <v>18177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96932</v>
      </c>
      <c r="D16" s="466"/>
      <c r="E16" s="466"/>
      <c r="F16" s="466"/>
      <c r="G16" s="466">
        <v>24900</v>
      </c>
      <c r="H16" s="466"/>
      <c r="I16" s="466"/>
      <c r="J16" s="467"/>
      <c r="K16" s="466"/>
    </row>
    <row r="17" spans="1:11" ht="12.75" customHeight="1" x14ac:dyDescent="0.2">
      <c r="A17" s="463" t="s">
        <v>807</v>
      </c>
      <c r="B17" s="470">
        <v>1290</v>
      </c>
      <c r="C17" s="551">
        <v>2521</v>
      </c>
      <c r="D17" s="466">
        <v>637</v>
      </c>
      <c r="E17" s="466">
        <v>1445</v>
      </c>
      <c r="F17" s="466">
        <v>306</v>
      </c>
      <c r="G17" s="466">
        <v>1021</v>
      </c>
      <c r="H17" s="466"/>
      <c r="I17" s="466">
        <v>127</v>
      </c>
      <c r="J17" s="467">
        <v>1225</v>
      </c>
      <c r="K17" s="466"/>
    </row>
    <row r="18" spans="1:11" ht="12.75" customHeight="1" thickBot="1" x14ac:dyDescent="0.25">
      <c r="A18" s="1708" t="s">
        <v>537</v>
      </c>
      <c r="B18" s="1709"/>
      <c r="C18" s="1710">
        <f>SUM(C14:C17)</f>
        <v>99453</v>
      </c>
      <c r="D18" s="1710">
        <f t="shared" ref="D18:K18" si="1">SUM(D14:D17)</f>
        <v>637</v>
      </c>
      <c r="E18" s="1710">
        <f t="shared" si="1"/>
        <v>1445</v>
      </c>
      <c r="F18" s="1710">
        <f t="shared" si="1"/>
        <v>306</v>
      </c>
      <c r="G18" s="1710">
        <f t="shared" si="1"/>
        <v>25921</v>
      </c>
      <c r="H18" s="1710">
        <f t="shared" si="1"/>
        <v>0</v>
      </c>
      <c r="I18" s="1710">
        <f t="shared" si="1"/>
        <v>127</v>
      </c>
      <c r="J18" s="1710">
        <f t="shared" si="1"/>
        <v>1225</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12386</v>
      </c>
      <c r="D65" s="466">
        <v>2696</v>
      </c>
      <c r="E65" s="466">
        <v>1158</v>
      </c>
      <c r="F65" s="467">
        <v>2132</v>
      </c>
      <c r="G65" s="466">
        <v>6596</v>
      </c>
      <c r="H65" s="466"/>
      <c r="I65" s="466">
        <v>614</v>
      </c>
      <c r="J65" s="467">
        <v>225</v>
      </c>
      <c r="K65" s="466">
        <v>2111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12386</v>
      </c>
      <c r="D67" s="1688">
        <f t="shared" ref="D67:K67" si="2">SUM(D65:D66)</f>
        <v>2696</v>
      </c>
      <c r="E67" s="1688">
        <f t="shared" si="2"/>
        <v>1158</v>
      </c>
      <c r="F67" s="1688">
        <f t="shared" si="2"/>
        <v>2132</v>
      </c>
      <c r="G67" s="1688">
        <f t="shared" si="2"/>
        <v>6596</v>
      </c>
      <c r="H67" s="1688">
        <f t="shared" si="2"/>
        <v>0</v>
      </c>
      <c r="I67" s="1688">
        <f t="shared" si="2"/>
        <v>614</v>
      </c>
      <c r="J67" s="1688">
        <f t="shared" si="2"/>
        <v>225</v>
      </c>
      <c r="K67" s="1688">
        <f t="shared" si="2"/>
        <v>2111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36237</v>
      </c>
      <c r="D69" s="468"/>
      <c r="E69" s="468"/>
      <c r="F69" s="468"/>
      <c r="G69" s="468"/>
      <c r="H69" s="468"/>
      <c r="I69" s="468"/>
      <c r="J69" s="468"/>
      <c r="K69" s="468"/>
    </row>
    <row r="70" spans="1:11" ht="12.75" customHeight="1" x14ac:dyDescent="0.2">
      <c r="A70" s="463" t="s">
        <v>997</v>
      </c>
      <c r="B70" s="470">
        <v>1612</v>
      </c>
      <c r="C70" s="551">
        <v>7172</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52</v>
      </c>
      <c r="D72" s="468"/>
      <c r="E72" s="468"/>
      <c r="F72" s="468"/>
      <c r="G72" s="468"/>
      <c r="H72" s="468"/>
      <c r="I72" s="468"/>
      <c r="J72" s="468"/>
      <c r="K72" s="468"/>
    </row>
    <row r="73" spans="1:11" ht="12.75" customHeight="1" x14ac:dyDescent="0.2">
      <c r="A73" s="463" t="s">
        <v>998</v>
      </c>
      <c r="B73" s="470">
        <v>1620</v>
      </c>
      <c r="C73" s="551">
        <v>11380</v>
      </c>
      <c r="D73" s="468"/>
      <c r="E73" s="468"/>
      <c r="F73" s="468"/>
      <c r="G73" s="468"/>
      <c r="H73" s="468"/>
      <c r="I73" s="468"/>
      <c r="J73" s="468"/>
      <c r="K73" s="468"/>
    </row>
    <row r="74" spans="1:11" ht="12.75" customHeight="1" x14ac:dyDescent="0.2">
      <c r="A74" s="463" t="s">
        <v>25</v>
      </c>
      <c r="B74" s="470">
        <v>1690</v>
      </c>
      <c r="C74" s="551">
        <v>50</v>
      </c>
      <c r="D74" s="468"/>
      <c r="E74" s="468"/>
      <c r="F74" s="468"/>
      <c r="G74" s="468"/>
      <c r="H74" s="468"/>
      <c r="I74" s="468"/>
      <c r="J74" s="468"/>
      <c r="K74" s="468"/>
    </row>
    <row r="75" spans="1:11" ht="12.75" customHeight="1" thickBot="1" x14ac:dyDescent="0.25">
      <c r="A75" s="1708" t="s">
        <v>548</v>
      </c>
      <c r="B75" s="1709"/>
      <c r="C75" s="1688">
        <f>SUM(C69:C74)</f>
        <v>54891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11870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1150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12152</v>
      </c>
      <c r="D81" s="466"/>
      <c r="E81" s="468"/>
      <c r="F81" s="468"/>
      <c r="G81" s="468"/>
      <c r="H81" s="468"/>
      <c r="I81" s="468"/>
      <c r="J81" s="468"/>
      <c r="K81" s="468"/>
    </row>
    <row r="82" spans="1:11" ht="12.75" customHeight="1" thickBot="1" x14ac:dyDescent="0.25">
      <c r="A82" s="1708" t="s">
        <v>241</v>
      </c>
      <c r="B82" s="1709"/>
      <c r="C82" s="1707">
        <f>SUM(C77:C81)</f>
        <v>25172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6150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6150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2662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12766</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19448</v>
      </c>
      <c r="D100" s="489">
        <v>9912</v>
      </c>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14316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3522</v>
      </c>
      <c r="D107" s="466"/>
      <c r="E107" s="466"/>
      <c r="F107" s="466">
        <v>64</v>
      </c>
      <c r="G107" s="466"/>
      <c r="H107" s="466"/>
      <c r="I107" s="466"/>
      <c r="J107" s="467"/>
      <c r="K107" s="466"/>
    </row>
    <row r="108" spans="1:12" ht="12.75" customHeight="1" thickBot="1" x14ac:dyDescent="0.25">
      <c r="A108" s="1708" t="s">
        <v>487</v>
      </c>
      <c r="B108" s="1712"/>
      <c r="C108" s="1707">
        <f>SUM(C95:C107)</f>
        <v>52714</v>
      </c>
      <c r="D108" s="1707">
        <f t="shared" ref="D108:K108" si="3">SUM(D95:D107)</f>
        <v>9912</v>
      </c>
      <c r="E108" s="1707">
        <f t="shared" si="3"/>
        <v>0</v>
      </c>
      <c r="F108" s="1707">
        <f t="shared" si="3"/>
        <v>64</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610496</v>
      </c>
      <c r="D109" s="1715">
        <f t="shared" si="4"/>
        <v>104128</v>
      </c>
      <c r="E109" s="1715">
        <f t="shared" si="4"/>
        <v>208871</v>
      </c>
      <c r="F109" s="1715">
        <f t="shared" si="4"/>
        <v>46126</v>
      </c>
      <c r="G109" s="1715">
        <f t="shared" si="4"/>
        <v>178221</v>
      </c>
      <c r="H109" s="1715">
        <f t="shared" si="4"/>
        <v>0</v>
      </c>
      <c r="I109" s="1715">
        <f t="shared" si="4"/>
        <v>18918</v>
      </c>
      <c r="J109" s="1715">
        <f t="shared" si="4"/>
        <v>176335</v>
      </c>
      <c r="K109" s="1702">
        <f t="shared" si="4"/>
        <v>20288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29281</v>
      </c>
      <c r="D111" s="481"/>
      <c r="E111" s="561"/>
      <c r="F111" s="481"/>
      <c r="G111" s="481"/>
      <c r="H111" s="561"/>
      <c r="I111" s="468"/>
      <c r="J111" s="468"/>
      <c r="K111" s="468"/>
    </row>
    <row r="112" spans="1:12" ht="12.75" customHeight="1" x14ac:dyDescent="0.2">
      <c r="A112" s="463" t="s">
        <v>824</v>
      </c>
      <c r="B112" s="470">
        <v>2200</v>
      </c>
      <c r="C112" s="551">
        <v>39689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68970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2119738</v>
      </c>
      <c r="D117" s="481">
        <v>5000</v>
      </c>
      <c r="E117" s="466"/>
      <c r="F117" s="481">
        <v>25000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2119738</v>
      </c>
      <c r="D122" s="1707">
        <f t="shared" si="5"/>
        <v>5000</v>
      </c>
      <c r="E122" s="1707">
        <f t="shared" si="5"/>
        <v>0</v>
      </c>
      <c r="F122" s="1707">
        <f t="shared" si="5"/>
        <v>25000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2755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110172</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110172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146138</v>
      </c>
      <c r="D159" s="578"/>
      <c r="E159" s="561"/>
      <c r="F159" s="576"/>
      <c r="G159" s="576">
        <v>6800</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148893</v>
      </c>
      <c r="D169" s="1722">
        <f t="shared" si="6"/>
        <v>0</v>
      </c>
      <c r="E169" s="1722">
        <f t="shared" si="6"/>
        <v>0</v>
      </c>
      <c r="F169" s="1722">
        <f t="shared" si="6"/>
        <v>110172</v>
      </c>
      <c r="G169" s="1722">
        <f t="shared" si="6"/>
        <v>6800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2268631</v>
      </c>
      <c r="D170" s="1715">
        <f t="shared" si="7"/>
        <v>5000</v>
      </c>
      <c r="E170" s="1715">
        <f t="shared" si="7"/>
        <v>0</v>
      </c>
      <c r="F170" s="1715">
        <f t="shared" si="7"/>
        <v>135172</v>
      </c>
      <c r="G170" s="1715">
        <f t="shared" si="7"/>
        <v>6800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30894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30894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113573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35622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149195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69414</v>
      </c>
      <c r="D200" s="466"/>
      <c r="E200" s="468"/>
      <c r="F200" s="466"/>
      <c r="G200" s="466">
        <v>15037</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69414</v>
      </c>
      <c r="D204" s="1707">
        <f>SUM(D200:D203)</f>
        <v>0</v>
      </c>
      <c r="E204" s="468"/>
      <c r="F204" s="1707">
        <f>SUM(F200:F203)</f>
        <v>0</v>
      </c>
      <c r="G204" s="1707">
        <f>SUM(G200:G203)</f>
        <v>15037</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5275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5275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8300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c r="E263" s="468"/>
      <c r="F263" s="576"/>
      <c r="G263" s="576"/>
      <c r="H263" s="468"/>
      <c r="I263" s="468"/>
      <c r="J263" s="468"/>
      <c r="K263" s="468"/>
    </row>
    <row r="264" spans="1:11" ht="12.75" customHeight="1" thickTop="1" thickBot="1" x14ac:dyDescent="0.25">
      <c r="A264" s="463" t="s">
        <v>377</v>
      </c>
      <c r="B264" s="470">
        <v>4992</v>
      </c>
      <c r="C264" s="575">
        <v>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263078</v>
      </c>
      <c r="D266" s="1715">
        <f t="shared" si="10"/>
        <v>0</v>
      </c>
      <c r="E266" s="1715">
        <f t="shared" si="10"/>
        <v>0</v>
      </c>
      <c r="F266" s="1715">
        <f t="shared" si="10"/>
        <v>0</v>
      </c>
      <c r="G266" s="1715">
        <f t="shared" si="10"/>
        <v>15037</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263078</v>
      </c>
      <c r="D267" s="1715">
        <f>SUM(D175,D181,D266)</f>
        <v>0</v>
      </c>
      <c r="E267" s="1715">
        <f>SUM(E175,E266)</f>
        <v>0</v>
      </c>
      <c r="F267" s="1715">
        <f t="shared" ref="F267:K267" si="11">SUM(F175,F181,F266)</f>
        <v>0</v>
      </c>
      <c r="G267" s="1715">
        <f t="shared" si="11"/>
        <v>15037</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3211175</v>
      </c>
      <c r="D268" s="1715">
        <f t="shared" si="12"/>
        <v>109128</v>
      </c>
      <c r="E268" s="1715">
        <f t="shared" si="12"/>
        <v>208871</v>
      </c>
      <c r="F268" s="1715">
        <f t="shared" si="12"/>
        <v>181298</v>
      </c>
      <c r="G268" s="1715">
        <f t="shared" si="12"/>
        <v>200058</v>
      </c>
      <c r="H268" s="1715">
        <f t="shared" si="12"/>
        <v>0</v>
      </c>
      <c r="I268" s="1715">
        <f t="shared" si="12"/>
        <v>18918</v>
      </c>
      <c r="J268" s="1715">
        <f t="shared" si="12"/>
        <v>176335</v>
      </c>
      <c r="K268" s="1702">
        <f t="shared" si="12"/>
        <v>20288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headings="1" gridLines="1"/>
  <pageMargins left="0.25" right="0.15" top="0.66" bottom="0.5" header="0.26"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21" activePane="bottomLeft" state="frozen"/>
      <selection activeCell="K5" sqref="K5"/>
      <selection pane="bottomLeft" activeCell="H206" sqref="H20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1181160</v>
      </c>
      <c r="D5" s="466">
        <v>265273</v>
      </c>
      <c r="E5" s="466">
        <v>22113</v>
      </c>
      <c r="F5" s="466">
        <v>33354</v>
      </c>
      <c r="G5" s="466">
        <v>13204</v>
      </c>
      <c r="H5" s="466">
        <v>920</v>
      </c>
      <c r="I5" s="467">
        <v>991</v>
      </c>
      <c r="J5" s="467"/>
      <c r="K5" s="1671">
        <f>SUM(C5:J5)</f>
        <v>1517015</v>
      </c>
      <c r="L5" s="466">
        <v>1542919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84427</v>
      </c>
      <c r="D7" s="467">
        <v>15256</v>
      </c>
      <c r="E7" s="467">
        <v>2331</v>
      </c>
      <c r="F7" s="467">
        <v>12035</v>
      </c>
      <c r="G7" s="467"/>
      <c r="H7" s="467">
        <v>689</v>
      </c>
      <c r="I7" s="467"/>
      <c r="J7" s="467"/>
      <c r="K7" s="1671">
        <f t="shared" ref="K7:K32" si="0">SUM(C7:J7)</f>
        <v>114738</v>
      </c>
      <c r="L7" s="466"/>
    </row>
    <row r="8" spans="1:14" x14ac:dyDescent="0.2">
      <c r="A8" s="1504" t="s">
        <v>164</v>
      </c>
      <c r="B8" s="614">
        <v>1200</v>
      </c>
      <c r="C8" s="466">
        <v>317403</v>
      </c>
      <c r="D8" s="466">
        <v>50344</v>
      </c>
      <c r="E8" s="466">
        <v>992</v>
      </c>
      <c r="F8" s="466">
        <v>1225</v>
      </c>
      <c r="G8" s="466"/>
      <c r="H8" s="466">
        <v>666</v>
      </c>
      <c r="I8" s="467"/>
      <c r="J8" s="467"/>
      <c r="K8" s="1671">
        <f t="shared" si="0"/>
        <v>370630</v>
      </c>
      <c r="L8" s="466">
        <v>505858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59653</v>
      </c>
      <c r="D10" s="466">
        <v>8199</v>
      </c>
      <c r="E10" s="466">
        <v>6282</v>
      </c>
      <c r="F10" s="466">
        <v>32975</v>
      </c>
      <c r="G10" s="466"/>
      <c r="H10" s="466"/>
      <c r="I10" s="467"/>
      <c r="J10" s="467"/>
      <c r="K10" s="1671">
        <f t="shared" si="0"/>
        <v>107109</v>
      </c>
      <c r="L10" s="466">
        <v>110016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24874</v>
      </c>
      <c r="D14" s="466">
        <v>1699</v>
      </c>
      <c r="E14" s="466">
        <v>9280</v>
      </c>
      <c r="F14" s="466">
        <v>6418</v>
      </c>
      <c r="G14" s="466">
        <v>3624</v>
      </c>
      <c r="H14" s="466"/>
      <c r="I14" s="467"/>
      <c r="J14" s="467"/>
      <c r="K14" s="1671">
        <f t="shared" si="0"/>
        <v>45895</v>
      </c>
      <c r="L14" s="466">
        <v>43715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19533</v>
      </c>
      <c r="D18" s="466"/>
      <c r="E18" s="466"/>
      <c r="F18" s="466"/>
      <c r="G18" s="466"/>
      <c r="H18" s="466"/>
      <c r="I18" s="467"/>
      <c r="J18" s="467"/>
      <c r="K18" s="1671">
        <f t="shared" si="0"/>
        <v>19533</v>
      </c>
      <c r="L18" s="466">
        <v>21331</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1687050</v>
      </c>
      <c r="D33" s="1670">
        <f t="shared" ref="D33:L33" si="1">SUM(D5:D32)</f>
        <v>340771</v>
      </c>
      <c r="E33" s="1670">
        <f t="shared" si="1"/>
        <v>40998</v>
      </c>
      <c r="F33" s="1670">
        <f t="shared" si="1"/>
        <v>86007</v>
      </c>
      <c r="G33" s="1670">
        <f t="shared" si="1"/>
        <v>16828</v>
      </c>
      <c r="H33" s="1670">
        <f t="shared" si="1"/>
        <v>2275</v>
      </c>
      <c r="I33" s="1670">
        <f t="shared" si="1"/>
        <v>991</v>
      </c>
      <c r="J33" s="1670">
        <f t="shared" si="1"/>
        <v>0</v>
      </c>
      <c r="K33" s="1670">
        <f t="shared" si="1"/>
        <v>2174920</v>
      </c>
      <c r="L33" s="1670">
        <f t="shared" si="1"/>
        <v>2223839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33211</v>
      </c>
      <c r="D36" s="481">
        <v>4322</v>
      </c>
      <c r="E36" s="481">
        <v>105</v>
      </c>
      <c r="F36" s="481">
        <v>93</v>
      </c>
      <c r="G36" s="481"/>
      <c r="H36" s="481"/>
      <c r="I36" s="467"/>
      <c r="J36" s="467"/>
      <c r="K36" s="1671">
        <f t="shared" ref="K36:K41" si="2">SUM(C36:J36)</f>
        <v>37731</v>
      </c>
      <c r="L36" s="466">
        <v>40079</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21575</v>
      </c>
      <c r="D38" s="466"/>
      <c r="E38" s="466">
        <v>495</v>
      </c>
      <c r="F38" s="466">
        <v>3662</v>
      </c>
      <c r="G38" s="466">
        <v>1600</v>
      </c>
      <c r="H38" s="466"/>
      <c r="I38" s="467"/>
      <c r="J38" s="467"/>
      <c r="K38" s="1671">
        <f t="shared" si="2"/>
        <v>27332</v>
      </c>
      <c r="L38" s="466">
        <v>26756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41232</v>
      </c>
      <c r="D40" s="466">
        <v>10848</v>
      </c>
      <c r="E40" s="466"/>
      <c r="F40" s="466">
        <v>93</v>
      </c>
      <c r="G40" s="466"/>
      <c r="H40" s="466"/>
      <c r="I40" s="467"/>
      <c r="J40" s="467"/>
      <c r="K40" s="1671">
        <f t="shared" si="2"/>
        <v>52173</v>
      </c>
      <c r="L40" s="466">
        <v>52881</v>
      </c>
    </row>
    <row r="41" spans="1:14" x14ac:dyDescent="0.2">
      <c r="A41" s="1504" t="s">
        <v>1669</v>
      </c>
      <c r="B41" s="614">
        <v>2190</v>
      </c>
      <c r="C41" s="466">
        <v>64360</v>
      </c>
      <c r="D41" s="466"/>
      <c r="E41" s="466"/>
      <c r="F41" s="466">
        <v>7898</v>
      </c>
      <c r="G41" s="466"/>
      <c r="H41" s="466"/>
      <c r="I41" s="467"/>
      <c r="J41" s="467"/>
      <c r="K41" s="1671">
        <f t="shared" si="2"/>
        <v>72258</v>
      </c>
      <c r="L41" s="466">
        <v>67811</v>
      </c>
    </row>
    <row r="42" spans="1:14" ht="12.75" customHeight="1" thickBot="1" x14ac:dyDescent="0.25">
      <c r="A42" s="1668" t="s">
        <v>560</v>
      </c>
      <c r="B42" s="1669" t="s">
        <v>716</v>
      </c>
      <c r="C42" s="1670">
        <f>SUM(C36:C41)</f>
        <v>160378</v>
      </c>
      <c r="D42" s="1670">
        <f t="shared" ref="D42:L42" si="3">SUM(D36:D41)</f>
        <v>15170</v>
      </c>
      <c r="E42" s="1670">
        <f t="shared" si="3"/>
        <v>600</v>
      </c>
      <c r="F42" s="1670">
        <f t="shared" si="3"/>
        <v>11746</v>
      </c>
      <c r="G42" s="1670">
        <f t="shared" si="3"/>
        <v>1600</v>
      </c>
      <c r="H42" s="1670">
        <f t="shared" si="3"/>
        <v>0</v>
      </c>
      <c r="I42" s="1670">
        <f t="shared" si="3"/>
        <v>0</v>
      </c>
      <c r="J42" s="1670">
        <f t="shared" si="3"/>
        <v>0</v>
      </c>
      <c r="K42" s="1670">
        <f t="shared" si="3"/>
        <v>189494</v>
      </c>
      <c r="L42" s="1670">
        <f t="shared" si="3"/>
        <v>187527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18897</v>
      </c>
      <c r="D44" s="481">
        <v>3994</v>
      </c>
      <c r="E44" s="481">
        <v>1335</v>
      </c>
      <c r="F44" s="481">
        <v>2179</v>
      </c>
      <c r="G44" s="481">
        <v>1644</v>
      </c>
      <c r="H44" s="481"/>
      <c r="I44" s="467">
        <v>21075</v>
      </c>
      <c r="J44" s="467"/>
      <c r="K44" s="1672">
        <f>SUM(C44:J44)</f>
        <v>49124</v>
      </c>
      <c r="L44" s="481">
        <v>33141</v>
      </c>
    </row>
    <row r="45" spans="1:14" x14ac:dyDescent="0.2">
      <c r="A45" s="1504" t="s">
        <v>815</v>
      </c>
      <c r="B45" s="614">
        <v>2220</v>
      </c>
      <c r="C45" s="466">
        <v>10253</v>
      </c>
      <c r="D45" s="466">
        <v>3004</v>
      </c>
      <c r="E45" s="466"/>
      <c r="F45" s="466">
        <v>1387</v>
      </c>
      <c r="G45" s="466"/>
      <c r="H45" s="466"/>
      <c r="I45" s="467"/>
      <c r="J45" s="467"/>
      <c r="K45" s="1672">
        <f>SUM(C45:J45)</f>
        <v>14644</v>
      </c>
      <c r="L45" s="466">
        <v>14120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29150</v>
      </c>
      <c r="D47" s="1670">
        <f t="shared" ref="D47:K47" si="4">SUM(D44:D46)</f>
        <v>6998</v>
      </c>
      <c r="E47" s="1670">
        <f t="shared" si="4"/>
        <v>1335</v>
      </c>
      <c r="F47" s="1670">
        <f t="shared" si="4"/>
        <v>3566</v>
      </c>
      <c r="G47" s="1670">
        <f t="shared" si="4"/>
        <v>1644</v>
      </c>
      <c r="H47" s="1670">
        <f t="shared" si="4"/>
        <v>0</v>
      </c>
      <c r="I47" s="1670">
        <f t="shared" si="4"/>
        <v>21075</v>
      </c>
      <c r="J47" s="1670">
        <f t="shared" si="4"/>
        <v>0</v>
      </c>
      <c r="K47" s="1670">
        <f t="shared" si="4"/>
        <v>63768</v>
      </c>
      <c r="L47" s="1670">
        <f>SUM(L44:L46)</f>
        <v>47261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19238</v>
      </c>
      <c r="F49" s="481">
        <v>1988</v>
      </c>
      <c r="G49" s="481"/>
      <c r="H49" s="481">
        <v>4366</v>
      </c>
      <c r="I49" s="467"/>
      <c r="J49" s="467"/>
      <c r="K49" s="1672">
        <f>SUM(C49:J49)</f>
        <v>25592</v>
      </c>
      <c r="L49" s="481">
        <v>21786</v>
      </c>
    </row>
    <row r="50" spans="1:14" x14ac:dyDescent="0.2">
      <c r="A50" s="1504" t="s">
        <v>818</v>
      </c>
      <c r="B50" s="614">
        <v>2320</v>
      </c>
      <c r="C50" s="466">
        <v>103025</v>
      </c>
      <c r="D50" s="466">
        <v>17053</v>
      </c>
      <c r="E50" s="466">
        <v>4554</v>
      </c>
      <c r="F50" s="466">
        <v>880</v>
      </c>
      <c r="G50" s="466"/>
      <c r="H50" s="466">
        <v>2171</v>
      </c>
      <c r="I50" s="467"/>
      <c r="J50" s="467"/>
      <c r="K50" s="1672">
        <f>SUM(C50:J50)</f>
        <v>127683</v>
      </c>
      <c r="L50" s="466">
        <v>151984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103025</v>
      </c>
      <c r="D53" s="1670">
        <f t="shared" ref="D53:L53" si="5">SUM(D49:D52)</f>
        <v>17053</v>
      </c>
      <c r="E53" s="1670">
        <f t="shared" si="5"/>
        <v>23792</v>
      </c>
      <c r="F53" s="1670">
        <f t="shared" si="5"/>
        <v>2868</v>
      </c>
      <c r="G53" s="1670">
        <f t="shared" si="5"/>
        <v>0</v>
      </c>
      <c r="H53" s="1670">
        <f t="shared" si="5"/>
        <v>6537</v>
      </c>
      <c r="I53" s="1670">
        <f t="shared" si="5"/>
        <v>0</v>
      </c>
      <c r="J53" s="1670">
        <f t="shared" si="5"/>
        <v>0</v>
      </c>
      <c r="K53" s="1670">
        <f t="shared" si="5"/>
        <v>153275</v>
      </c>
      <c r="L53" s="1670">
        <f t="shared" si="5"/>
        <v>173770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86081</v>
      </c>
      <c r="D55" s="481">
        <v>4831</v>
      </c>
      <c r="E55" s="481">
        <v>197</v>
      </c>
      <c r="F55" s="481">
        <v>528</v>
      </c>
      <c r="G55" s="481"/>
      <c r="H55" s="481">
        <v>548</v>
      </c>
      <c r="I55" s="467"/>
      <c r="J55" s="467"/>
      <c r="K55" s="1672">
        <f>SUM(C55:J55)</f>
        <v>92185</v>
      </c>
      <c r="L55" s="481">
        <v>92116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86081</v>
      </c>
      <c r="D57" s="1674">
        <f t="shared" ref="D57:K57" si="6">SUM(D55:D56)</f>
        <v>4831</v>
      </c>
      <c r="E57" s="1674">
        <f t="shared" si="6"/>
        <v>197</v>
      </c>
      <c r="F57" s="1674">
        <f t="shared" si="6"/>
        <v>528</v>
      </c>
      <c r="G57" s="1674">
        <f t="shared" si="6"/>
        <v>0</v>
      </c>
      <c r="H57" s="1674">
        <f t="shared" si="6"/>
        <v>548</v>
      </c>
      <c r="I57" s="1674">
        <f t="shared" si="6"/>
        <v>0</v>
      </c>
      <c r="J57" s="1674">
        <f t="shared" si="6"/>
        <v>0</v>
      </c>
      <c r="K57" s="1674">
        <f t="shared" si="6"/>
        <v>92185</v>
      </c>
      <c r="L57" s="1670">
        <f>SUM(L55:L56)</f>
        <v>92116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49345</v>
      </c>
      <c r="D60" s="466">
        <v>5431</v>
      </c>
      <c r="E60" s="466">
        <v>5308</v>
      </c>
      <c r="F60" s="466">
        <v>757</v>
      </c>
      <c r="G60" s="466"/>
      <c r="H60" s="466">
        <v>20</v>
      </c>
      <c r="I60" s="467"/>
      <c r="J60" s="467"/>
      <c r="K60" s="1672">
        <f t="shared" si="7"/>
        <v>60861</v>
      </c>
      <c r="L60" s="466">
        <v>63083</v>
      </c>
      <c r="M60" s="609"/>
      <c r="N60" s="609"/>
    </row>
    <row r="61" spans="1:14" s="343" customFormat="1" x14ac:dyDescent="0.2">
      <c r="A61" s="1504" t="s">
        <v>197</v>
      </c>
      <c r="B61" s="614">
        <v>2540</v>
      </c>
      <c r="C61" s="466">
        <v>75346</v>
      </c>
      <c r="D61" s="466">
        <v>6030</v>
      </c>
      <c r="E61" s="466">
        <v>22570</v>
      </c>
      <c r="F61" s="466">
        <v>31272</v>
      </c>
      <c r="G61" s="466"/>
      <c r="H61" s="466">
        <v>110</v>
      </c>
      <c r="I61" s="467"/>
      <c r="J61" s="467"/>
      <c r="K61" s="1672">
        <f t="shared" si="7"/>
        <v>135328</v>
      </c>
      <c r="L61" s="466">
        <v>131266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75012</v>
      </c>
      <c r="D63" s="466">
        <v>4822</v>
      </c>
      <c r="E63" s="466">
        <v>4900</v>
      </c>
      <c r="F63" s="466">
        <v>82489</v>
      </c>
      <c r="G63" s="466"/>
      <c r="H63" s="466">
        <v>1091</v>
      </c>
      <c r="I63" s="467"/>
      <c r="J63" s="467"/>
      <c r="K63" s="1672">
        <f t="shared" si="7"/>
        <v>168314</v>
      </c>
      <c r="L63" s="466">
        <v>161329</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199703</v>
      </c>
      <c r="D65" s="1670">
        <f t="shared" ref="D65:L65" si="8">SUM(D59:D64)</f>
        <v>16283</v>
      </c>
      <c r="E65" s="1670">
        <f t="shared" si="8"/>
        <v>32778</v>
      </c>
      <c r="F65" s="1670">
        <f t="shared" si="8"/>
        <v>114518</v>
      </c>
      <c r="G65" s="1670">
        <f t="shared" si="8"/>
        <v>0</v>
      </c>
      <c r="H65" s="1670">
        <f t="shared" si="8"/>
        <v>1221</v>
      </c>
      <c r="I65" s="1670">
        <f t="shared" si="8"/>
        <v>0</v>
      </c>
      <c r="J65" s="1670">
        <f t="shared" si="8"/>
        <v>0</v>
      </c>
      <c r="K65" s="1670">
        <f t="shared" si="8"/>
        <v>364503</v>
      </c>
      <c r="L65" s="1670">
        <f t="shared" si="8"/>
        <v>355678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578337</v>
      </c>
      <c r="D74" s="1677">
        <f t="shared" ref="D74:K74" si="10">SUM(D42,D47,D53,D57,D65,D72,D73)</f>
        <v>60335</v>
      </c>
      <c r="E74" s="1677">
        <f t="shared" si="10"/>
        <v>58702</v>
      </c>
      <c r="F74" s="1677">
        <f t="shared" si="10"/>
        <v>133226</v>
      </c>
      <c r="G74" s="1677">
        <f t="shared" si="10"/>
        <v>3244</v>
      </c>
      <c r="H74" s="1677">
        <f t="shared" si="10"/>
        <v>8306</v>
      </c>
      <c r="I74" s="1677">
        <f t="shared" si="10"/>
        <v>21075</v>
      </c>
      <c r="J74" s="1677">
        <f t="shared" si="10"/>
        <v>0</v>
      </c>
      <c r="K74" s="1677">
        <f t="shared" si="10"/>
        <v>863225</v>
      </c>
      <c r="L74" s="1677">
        <f>SUM(L42,L47,L53,L57,L65,L72,L73)</f>
        <v>856352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109444</v>
      </c>
      <c r="F79" s="616"/>
      <c r="G79" s="616"/>
      <c r="H79" s="466">
        <v>2359</v>
      </c>
      <c r="I79" s="477"/>
      <c r="J79" s="477"/>
      <c r="K79" s="1671">
        <f t="shared" si="11"/>
        <v>111803</v>
      </c>
      <c r="L79" s="466">
        <v>71320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109444</v>
      </c>
      <c r="F84" s="616"/>
      <c r="G84" s="616"/>
      <c r="H84" s="1670">
        <f>SUM(H78:H83)</f>
        <v>2359</v>
      </c>
      <c r="I84" s="477"/>
      <c r="J84" s="477"/>
      <c r="K84" s="1670">
        <f>SUM(K78:K83)</f>
        <v>111803</v>
      </c>
      <c r="L84" s="1670">
        <f>SUM(L78:L83)</f>
        <v>71320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109444</v>
      </c>
      <c r="F102" s="616"/>
      <c r="G102" s="616"/>
      <c r="H102" s="1677">
        <f>SUM(H84,H92,H100,H101)</f>
        <v>2359</v>
      </c>
      <c r="I102" s="477"/>
      <c r="J102" s="477"/>
      <c r="K102" s="1677">
        <f>SUM(K84,K92,K100,K101)</f>
        <v>111803</v>
      </c>
      <c r="L102" s="1677">
        <f>SUM(L84,L92,L100,L101)</f>
        <v>71320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2265387</v>
      </c>
      <c r="D114" s="1670">
        <f t="shared" ref="D114:K114" si="13">SUM(D33,D74,D75,D102,D112,D113)</f>
        <v>401106</v>
      </c>
      <c r="E114" s="1670">
        <f t="shared" si="13"/>
        <v>209144</v>
      </c>
      <c r="F114" s="1670">
        <f t="shared" si="13"/>
        <v>219233</v>
      </c>
      <c r="G114" s="1670">
        <f t="shared" si="13"/>
        <v>20072</v>
      </c>
      <c r="H114" s="1670">
        <f>SUM(H33,H74,H75,H102,H112,H113)</f>
        <v>12940</v>
      </c>
      <c r="I114" s="1670">
        <f t="shared" si="13"/>
        <v>22066</v>
      </c>
      <c r="J114" s="1670">
        <f t="shared" si="13"/>
        <v>0</v>
      </c>
      <c r="K114" s="1670">
        <f t="shared" si="13"/>
        <v>3149948</v>
      </c>
      <c r="L114" s="1670">
        <f>SUM(L33,L74,L75,L102,L112,L113)</f>
        <v>3151511</v>
      </c>
    </row>
    <row r="115" spans="1:14" ht="13.5" thickTop="1" x14ac:dyDescent="0.2">
      <c r="A115" s="2162" t="s">
        <v>996</v>
      </c>
      <c r="B115" s="2163"/>
      <c r="C115" s="618"/>
      <c r="D115" s="618"/>
      <c r="E115" s="618"/>
      <c r="F115" s="618"/>
      <c r="G115" s="618"/>
      <c r="H115" s="618"/>
      <c r="I115" s="618"/>
      <c r="J115" s="618"/>
      <c r="K115" s="1684">
        <f>'Revenues 9-14'!C268-'Expenditures 15-22'!K114</f>
        <v>61227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40009</v>
      </c>
      <c r="F124" s="466">
        <v>57687</v>
      </c>
      <c r="G124" s="466">
        <v>14432</v>
      </c>
      <c r="H124" s="466">
        <v>75</v>
      </c>
      <c r="I124" s="467"/>
      <c r="J124" s="467"/>
      <c r="K124" s="1670">
        <f>SUM(C124:J124)</f>
        <v>112203</v>
      </c>
      <c r="L124" s="466">
        <v>104994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40009</v>
      </c>
      <c r="F127" s="1670">
        <f t="shared" si="14"/>
        <v>57687</v>
      </c>
      <c r="G127" s="1670">
        <f t="shared" si="14"/>
        <v>14432</v>
      </c>
      <c r="H127" s="1670">
        <f t="shared" si="14"/>
        <v>75</v>
      </c>
      <c r="I127" s="1670">
        <f t="shared" si="14"/>
        <v>0</v>
      </c>
      <c r="J127" s="1670">
        <f t="shared" si="14"/>
        <v>0</v>
      </c>
      <c r="K127" s="1670">
        <f t="shared" si="14"/>
        <v>112203</v>
      </c>
      <c r="L127" s="1670">
        <f t="shared" si="14"/>
        <v>104994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40009</v>
      </c>
      <c r="F129" s="1677">
        <f t="shared" si="15"/>
        <v>57687</v>
      </c>
      <c r="G129" s="1677">
        <f t="shared" si="15"/>
        <v>14432</v>
      </c>
      <c r="H129" s="1677">
        <f t="shared" si="15"/>
        <v>75</v>
      </c>
      <c r="I129" s="1677">
        <f t="shared" si="15"/>
        <v>0</v>
      </c>
      <c r="J129" s="1677">
        <f t="shared" si="15"/>
        <v>0</v>
      </c>
      <c r="K129" s="1677">
        <f t="shared" si="15"/>
        <v>112203</v>
      </c>
      <c r="L129" s="1677">
        <f t="shared" si="15"/>
        <v>104994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9" t="s">
        <v>620</v>
      </c>
      <c r="B151" s="2159"/>
      <c r="C151" s="1670">
        <f>SUM(C129,C130,C139,C149,C150)</f>
        <v>0</v>
      </c>
      <c r="D151" s="1670">
        <f t="shared" ref="D151:K151" si="16">SUM(D129,D130,D139,D149,D150)</f>
        <v>0</v>
      </c>
      <c r="E151" s="1670">
        <f t="shared" si="16"/>
        <v>40009</v>
      </c>
      <c r="F151" s="1670">
        <f t="shared" si="16"/>
        <v>57687</v>
      </c>
      <c r="G151" s="1670">
        <f t="shared" si="16"/>
        <v>14432</v>
      </c>
      <c r="H151" s="1670">
        <f t="shared" si="16"/>
        <v>75</v>
      </c>
      <c r="I151" s="1670">
        <f t="shared" si="16"/>
        <v>0</v>
      </c>
      <c r="J151" s="1670">
        <f t="shared" si="16"/>
        <v>0</v>
      </c>
      <c r="K151" s="1670">
        <f t="shared" si="16"/>
        <v>112203</v>
      </c>
      <c r="L151" s="1670">
        <f>SUM(L129,L130,L139,L149,L150)</f>
        <v>104994</v>
      </c>
    </row>
    <row r="152" spans="1:14" ht="12.75" customHeight="1" thickTop="1" x14ac:dyDescent="0.2">
      <c r="A152" s="2182" t="s">
        <v>1178</v>
      </c>
      <c r="B152" s="2183"/>
      <c r="C152" s="618"/>
      <c r="D152" s="618"/>
      <c r="E152" s="618"/>
      <c r="F152" s="618"/>
      <c r="G152" s="618"/>
      <c r="H152" s="618"/>
      <c r="I152" s="618"/>
      <c r="J152" s="616"/>
      <c r="K152" s="1684">
        <f>'Revenues 9-14'!D268-'Expenditures 15-22'!K151</f>
        <v>-3075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108065</v>
      </c>
      <c r="I169" s="616"/>
      <c r="J169" s="616"/>
      <c r="K169" s="1671">
        <f>SUM(C169:H169)</f>
        <v>108065</v>
      </c>
      <c r="L169" s="656">
        <v>108065</v>
      </c>
    </row>
    <row r="170" spans="1:14" ht="33.75" customHeight="1" x14ac:dyDescent="0.2">
      <c r="A170" s="669" t="s">
        <v>1670</v>
      </c>
      <c r="B170" s="671" t="s">
        <v>31</v>
      </c>
      <c r="C170" s="616"/>
      <c r="D170" s="616"/>
      <c r="E170" s="616"/>
      <c r="F170" s="616"/>
      <c r="G170" s="616"/>
      <c r="H170" s="569">
        <v>90000</v>
      </c>
      <c r="I170" s="616"/>
      <c r="J170" s="616"/>
      <c r="K170" s="1671">
        <f>SUM(C170:J170)</f>
        <v>90000</v>
      </c>
      <c r="L170" s="569">
        <v>90000</v>
      </c>
    </row>
    <row r="171" spans="1:14" ht="15.75" customHeight="1" x14ac:dyDescent="0.2">
      <c r="A171" s="621" t="s">
        <v>766</v>
      </c>
      <c r="B171" s="672" t="s">
        <v>84</v>
      </c>
      <c r="C171" s="616"/>
      <c r="D171" s="616"/>
      <c r="E171" s="466"/>
      <c r="F171" s="616"/>
      <c r="G171" s="616"/>
      <c r="H171" s="569">
        <v>3105</v>
      </c>
      <c r="I171" s="477"/>
      <c r="J171" s="616"/>
      <c r="K171" s="1671">
        <f>SUM(C171:J171)</f>
        <v>3105</v>
      </c>
      <c r="L171" s="569">
        <v>2303</v>
      </c>
    </row>
    <row r="172" spans="1:14" ht="12.75" customHeight="1" thickBot="1" x14ac:dyDescent="0.25">
      <c r="A172" s="1668" t="s">
        <v>638</v>
      </c>
      <c r="B172" s="1669" t="s">
        <v>492</v>
      </c>
      <c r="C172" s="616"/>
      <c r="D172" s="616"/>
      <c r="E172" s="1677">
        <f>SUM(E168,E169,E170,E171)</f>
        <v>0</v>
      </c>
      <c r="F172" s="616"/>
      <c r="G172" s="616"/>
      <c r="H172" s="1677">
        <f>SUM(H168,H169,H170,H171)</f>
        <v>201170</v>
      </c>
      <c r="I172" s="638"/>
      <c r="J172" s="616"/>
      <c r="K172" s="1677">
        <f>SUM(K168,K169,K170,K171)</f>
        <v>201170</v>
      </c>
      <c r="L172" s="1677">
        <f>SUM(L168,L169,L170,L171)</f>
        <v>200368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201170</v>
      </c>
      <c r="I174" s="638"/>
      <c r="J174" s="616"/>
      <c r="K174" s="1677">
        <f>SUM(K160,K172,K173)</f>
        <v>201170</v>
      </c>
      <c r="L174" s="1677">
        <f>SUM(L160,L172,L173)</f>
        <v>200368</v>
      </c>
    </row>
    <row r="175" spans="1:14" ht="13.5" thickTop="1" x14ac:dyDescent="0.2">
      <c r="A175" s="2162" t="s">
        <v>996</v>
      </c>
      <c r="B175" s="2163"/>
      <c r="C175" s="616"/>
      <c r="D175" s="616"/>
      <c r="E175" s="616"/>
      <c r="F175" s="616"/>
      <c r="G175" s="616"/>
      <c r="H175" s="618"/>
      <c r="I175" s="616"/>
      <c r="J175" s="616"/>
      <c r="K175" s="1684">
        <f>'Revenues 9-14'!E268-'Expenditures 15-22'!K174</f>
        <v>7701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79928</v>
      </c>
      <c r="D182" s="466"/>
      <c r="E182" s="466">
        <v>11959</v>
      </c>
      <c r="F182" s="466">
        <v>21188</v>
      </c>
      <c r="G182" s="466">
        <v>134772</v>
      </c>
      <c r="H182" s="466"/>
      <c r="I182" s="467"/>
      <c r="J182" s="467"/>
      <c r="K182" s="1671">
        <f>SUM(C182:J182)</f>
        <v>247847</v>
      </c>
      <c r="L182" s="466">
        <v>121133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79928</v>
      </c>
      <c r="D184" s="1677">
        <f t="shared" ref="D184:J184" si="17">SUM(D180,D182,D183)</f>
        <v>0</v>
      </c>
      <c r="E184" s="1677">
        <f t="shared" si="17"/>
        <v>11959</v>
      </c>
      <c r="F184" s="1677">
        <f t="shared" si="17"/>
        <v>21188</v>
      </c>
      <c r="G184" s="1677">
        <f t="shared" si="17"/>
        <v>134772</v>
      </c>
      <c r="H184" s="1677">
        <f t="shared" si="17"/>
        <v>0</v>
      </c>
      <c r="I184" s="1677">
        <f t="shared" si="17"/>
        <v>0</v>
      </c>
      <c r="J184" s="1677">
        <f t="shared" si="17"/>
        <v>0</v>
      </c>
      <c r="K184" s="1677">
        <f>SUM(K180,K182,K183)</f>
        <v>247847</v>
      </c>
      <c r="L184" s="1677">
        <f>SUM(L180, L182:L183)</f>
        <v>121133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561</v>
      </c>
      <c r="I205" s="616"/>
      <c r="J205" s="616"/>
      <c r="K205" s="1685">
        <f>SUM(H205)</f>
        <v>561</v>
      </c>
      <c r="L205" s="535">
        <v>1070</v>
      </c>
    </row>
    <row r="206" spans="1:14" ht="30" customHeight="1" x14ac:dyDescent="0.2">
      <c r="A206" s="681" t="s">
        <v>1671</v>
      </c>
      <c r="B206" s="672" t="s">
        <v>31</v>
      </c>
      <c r="C206" s="616"/>
      <c r="D206" s="616"/>
      <c r="E206" s="616"/>
      <c r="F206" s="616"/>
      <c r="G206" s="616"/>
      <c r="H206" s="466">
        <v>44175</v>
      </c>
      <c r="I206" s="616"/>
      <c r="J206" s="616"/>
      <c r="K206" s="1671">
        <f>SUM(H206)</f>
        <v>44175</v>
      </c>
      <c r="L206" s="466">
        <v>65531</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44736</v>
      </c>
      <c r="I208" s="616"/>
      <c r="J208" s="616"/>
      <c r="K208" s="1677">
        <f>SUM(K204,K205,K206,K207)</f>
        <v>44736</v>
      </c>
      <c r="L208" s="1677">
        <f>SUM(L204,L205,L206,L207)</f>
        <v>66601</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79928</v>
      </c>
      <c r="D210" s="1670">
        <f>SUM(D184,D185)</f>
        <v>0</v>
      </c>
      <c r="E210" s="1670">
        <f>SUM(E184,E185,E196)</f>
        <v>11959</v>
      </c>
      <c r="F210" s="1670">
        <f>SUM(F184,F185)</f>
        <v>21188</v>
      </c>
      <c r="G210" s="1670">
        <f>SUM(G184,G185)</f>
        <v>134772</v>
      </c>
      <c r="H210" s="1670">
        <f>SUM(H184,H185,H196,H208,H209)</f>
        <v>44736</v>
      </c>
      <c r="I210" s="1670">
        <f>SUM(I184,I185)</f>
        <v>0</v>
      </c>
      <c r="J210" s="1670">
        <f>SUM(J184,J185)</f>
        <v>0</v>
      </c>
      <c r="K210" s="1671">
        <f>SUM(K184,K185,K196,K208,K209)</f>
        <v>292583</v>
      </c>
      <c r="L210" s="1670">
        <f>SUM(L184,L185,L196,L208,L209)</f>
        <v>187734</v>
      </c>
    </row>
    <row r="211" spans="1:14" ht="13.5" thickTop="1" x14ac:dyDescent="0.2">
      <c r="A211" s="2162" t="s">
        <v>996</v>
      </c>
      <c r="B211" s="2163"/>
      <c r="C211" s="618"/>
      <c r="D211" s="618"/>
      <c r="E211" s="618"/>
      <c r="F211" s="618"/>
      <c r="G211" s="618"/>
      <c r="H211" s="618"/>
      <c r="I211" s="616"/>
      <c r="J211" s="616"/>
      <c r="K211" s="1684">
        <f>'Revenues 9-14'!F268-'Expenditures 15-22'!K210</f>
        <v>-111285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21333</v>
      </c>
      <c r="E215" s="616"/>
      <c r="F215" s="616"/>
      <c r="G215" s="616"/>
      <c r="H215" s="616"/>
      <c r="I215" s="616"/>
      <c r="J215" s="616"/>
      <c r="K215" s="1671">
        <f>D215</f>
        <v>21333</v>
      </c>
      <c r="L215" s="466">
        <v>20958</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27510</v>
      </c>
      <c r="E217" s="616"/>
      <c r="F217" s="616"/>
      <c r="G217" s="616"/>
      <c r="H217" s="616"/>
      <c r="I217" s="616"/>
      <c r="J217" s="616"/>
      <c r="K217" s="1671">
        <f t="shared" si="19"/>
        <v>27510</v>
      </c>
      <c r="L217" s="466">
        <v>34305</v>
      </c>
    </row>
    <row r="218" spans="1:14" x14ac:dyDescent="0.2">
      <c r="A218" s="1504" t="s">
        <v>278</v>
      </c>
      <c r="B218" s="614" t="s">
        <v>968</v>
      </c>
      <c r="C218" s="616"/>
      <c r="D218" s="467">
        <v>7126</v>
      </c>
      <c r="E218" s="616"/>
      <c r="F218" s="616"/>
      <c r="G218" s="616"/>
      <c r="H218" s="616"/>
      <c r="I218" s="616"/>
      <c r="J218" s="616"/>
      <c r="K218" s="1671">
        <f t="shared" si="19"/>
        <v>7126</v>
      </c>
      <c r="L218" s="466"/>
    </row>
    <row r="219" spans="1:14" x14ac:dyDescent="0.2">
      <c r="A219" s="1504" t="s">
        <v>279</v>
      </c>
      <c r="B219" s="614">
        <v>1250</v>
      </c>
      <c r="C219" s="616"/>
      <c r="D219" s="466">
        <v>8991</v>
      </c>
      <c r="E219" s="616"/>
      <c r="F219" s="616"/>
      <c r="G219" s="616"/>
      <c r="H219" s="616"/>
      <c r="I219" s="616"/>
      <c r="J219" s="616"/>
      <c r="K219" s="1671">
        <f t="shared" si="19"/>
        <v>8991</v>
      </c>
      <c r="L219" s="466">
        <v>10048</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2047</v>
      </c>
      <c r="E223" s="616"/>
      <c r="F223" s="616"/>
      <c r="G223" s="616"/>
      <c r="H223" s="616"/>
      <c r="I223" s="616"/>
      <c r="J223" s="616"/>
      <c r="K223" s="1671">
        <f t="shared" si="19"/>
        <v>2047</v>
      </c>
      <c r="L223" s="466">
        <v>2546</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4096</v>
      </c>
      <c r="E227" s="616"/>
      <c r="F227" s="616"/>
      <c r="G227" s="616"/>
      <c r="H227" s="616"/>
      <c r="I227" s="616"/>
      <c r="J227" s="616"/>
      <c r="K227" s="1671">
        <f t="shared" si="19"/>
        <v>4096</v>
      </c>
      <c r="L227" s="466">
        <v>4390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71103</v>
      </c>
      <c r="E229" s="616"/>
      <c r="F229" s="616"/>
      <c r="G229" s="616"/>
      <c r="H229" s="616"/>
      <c r="I229" s="616"/>
      <c r="J229" s="616"/>
      <c r="K229" s="1670">
        <f>SUM(K215:K228)</f>
        <v>71103</v>
      </c>
      <c r="L229" s="1670">
        <f>SUM(L215:L228)</f>
        <v>72247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563</v>
      </c>
      <c r="E232" s="616"/>
      <c r="F232" s="616"/>
      <c r="G232" s="616"/>
      <c r="H232" s="616"/>
      <c r="I232" s="616"/>
      <c r="J232" s="616"/>
      <c r="K232" s="1671">
        <f t="shared" ref="K232:K237" si="20">D232</f>
        <v>563</v>
      </c>
      <c r="L232" s="466">
        <v>563</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4334</v>
      </c>
      <c r="E234" s="616"/>
      <c r="F234" s="616"/>
      <c r="G234" s="616"/>
      <c r="H234" s="616"/>
      <c r="I234" s="616"/>
      <c r="J234" s="616"/>
      <c r="K234" s="1671">
        <f t="shared" si="20"/>
        <v>4334</v>
      </c>
      <c r="L234" s="466">
        <v>4746</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657</v>
      </c>
      <c r="E236" s="616"/>
      <c r="F236" s="616"/>
      <c r="G236" s="616"/>
      <c r="H236" s="616"/>
      <c r="I236" s="616"/>
      <c r="J236" s="616"/>
      <c r="K236" s="1671">
        <f t="shared" si="20"/>
        <v>657</v>
      </c>
      <c r="L236" s="466">
        <v>585</v>
      </c>
    </row>
    <row r="237" spans="1:12" x14ac:dyDescent="0.2">
      <c r="A237" s="1504" t="s">
        <v>165</v>
      </c>
      <c r="B237" s="614">
        <v>2190</v>
      </c>
      <c r="C237" s="616"/>
      <c r="D237" s="466">
        <v>12847</v>
      </c>
      <c r="E237" s="616"/>
      <c r="F237" s="616"/>
      <c r="G237" s="616"/>
      <c r="H237" s="616"/>
      <c r="I237" s="616"/>
      <c r="J237" s="616"/>
      <c r="K237" s="1671">
        <f t="shared" si="20"/>
        <v>12847</v>
      </c>
      <c r="L237" s="466">
        <v>13686</v>
      </c>
    </row>
    <row r="238" spans="1:12" ht="12.75" customHeight="1" thickBot="1" x14ac:dyDescent="0.25">
      <c r="A238" s="1668" t="s">
        <v>560</v>
      </c>
      <c r="B238" s="1675" t="s">
        <v>716</v>
      </c>
      <c r="C238" s="616"/>
      <c r="D238" s="1670">
        <f>SUM(D232:D237)</f>
        <v>18401</v>
      </c>
      <c r="E238" s="616"/>
      <c r="F238" s="616"/>
      <c r="G238" s="616"/>
      <c r="H238" s="616"/>
      <c r="I238" s="616"/>
      <c r="J238" s="616"/>
      <c r="K238" s="1670">
        <f>SUM(K232:K237)</f>
        <v>18401</v>
      </c>
      <c r="L238" s="1670">
        <f>SUM(L232:L237)</f>
        <v>19580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1216</v>
      </c>
      <c r="E240" s="616"/>
      <c r="F240" s="616"/>
      <c r="G240" s="616"/>
      <c r="H240" s="616"/>
      <c r="I240" s="616"/>
      <c r="J240" s="616"/>
      <c r="K240" s="1672">
        <f>D240</f>
        <v>1216</v>
      </c>
      <c r="L240" s="481">
        <v>1318</v>
      </c>
    </row>
    <row r="241" spans="1:12" x14ac:dyDescent="0.2">
      <c r="A241" s="1504" t="s">
        <v>815</v>
      </c>
      <c r="B241" s="614">
        <v>2220</v>
      </c>
      <c r="C241" s="616"/>
      <c r="D241" s="466">
        <v>2169</v>
      </c>
      <c r="E241" s="616"/>
      <c r="F241" s="616"/>
      <c r="G241" s="616"/>
      <c r="H241" s="616"/>
      <c r="I241" s="616"/>
      <c r="J241" s="616"/>
      <c r="K241" s="1672">
        <f>D241</f>
        <v>2169</v>
      </c>
      <c r="L241" s="466">
        <v>2400</v>
      </c>
    </row>
    <row r="242" spans="1:12" x14ac:dyDescent="0.2">
      <c r="A242" s="1504" t="s">
        <v>816</v>
      </c>
      <c r="B242" s="614">
        <v>2230</v>
      </c>
      <c r="C242" s="616"/>
      <c r="D242" s="466">
        <v>4254</v>
      </c>
      <c r="E242" s="616"/>
      <c r="F242" s="616"/>
      <c r="G242" s="616"/>
      <c r="H242" s="616"/>
      <c r="I242" s="616"/>
      <c r="J242" s="616"/>
      <c r="K242" s="1672">
        <f>D242</f>
        <v>4254</v>
      </c>
      <c r="L242" s="466"/>
    </row>
    <row r="243" spans="1:12" ht="12.75" customHeight="1" thickBot="1" x14ac:dyDescent="0.25">
      <c r="A243" s="1694" t="s">
        <v>561</v>
      </c>
      <c r="B243" s="1695">
        <v>2200</v>
      </c>
      <c r="C243" s="616"/>
      <c r="D243" s="1670">
        <f>SUM(D240:D242)</f>
        <v>7639</v>
      </c>
      <c r="E243" s="616"/>
      <c r="F243" s="616"/>
      <c r="G243" s="616"/>
      <c r="H243" s="616"/>
      <c r="I243" s="616"/>
      <c r="J243" s="616"/>
      <c r="K243" s="1670">
        <f>SUM(K240:K242)</f>
        <v>7639</v>
      </c>
      <c r="L243" s="1670">
        <f>SUM(L240:L242)</f>
        <v>3718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v>4604</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14935</v>
      </c>
      <c r="E254" s="616"/>
      <c r="F254" s="616"/>
      <c r="G254" s="616"/>
      <c r="H254" s="616"/>
      <c r="I254" s="616"/>
      <c r="J254" s="616"/>
      <c r="K254" s="1672">
        <f t="shared" si="21"/>
        <v>14935</v>
      </c>
      <c r="L254" s="466">
        <v>16200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14935</v>
      </c>
      <c r="E257" s="616"/>
      <c r="F257" s="616"/>
      <c r="G257" s="616"/>
      <c r="H257" s="616"/>
      <c r="I257" s="616"/>
      <c r="J257" s="616"/>
      <c r="K257" s="1670">
        <f>SUM(K245:K256)</f>
        <v>14935</v>
      </c>
      <c r="L257" s="1670">
        <f>SUM(L245:L256)</f>
        <v>20804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3195</v>
      </c>
      <c r="E259" s="616"/>
      <c r="F259" s="616"/>
      <c r="G259" s="616"/>
      <c r="H259" s="616"/>
      <c r="I259" s="616"/>
      <c r="J259" s="616"/>
      <c r="K259" s="1672">
        <f>D259</f>
        <v>3195</v>
      </c>
      <c r="L259" s="481">
        <v>3346</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3195</v>
      </c>
      <c r="E261" s="616"/>
      <c r="F261" s="616"/>
      <c r="G261" s="616"/>
      <c r="H261" s="616"/>
      <c r="I261" s="616"/>
      <c r="J261" s="616"/>
      <c r="K261" s="1670">
        <f>SUM(K259:K260)</f>
        <v>3195</v>
      </c>
      <c r="L261" s="1670">
        <f>SUM(L259:L260)</f>
        <v>3346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10433</v>
      </c>
      <c r="E264" s="616"/>
      <c r="F264" s="616"/>
      <c r="G264" s="616"/>
      <c r="H264" s="616"/>
      <c r="I264" s="616"/>
      <c r="J264" s="616"/>
      <c r="K264" s="1672">
        <f t="shared" ref="K264:K269" si="22">D264</f>
        <v>10433</v>
      </c>
      <c r="L264" s="466">
        <v>10625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15315</v>
      </c>
      <c r="E266" s="616"/>
      <c r="F266" s="616"/>
      <c r="G266" s="616"/>
      <c r="H266" s="616"/>
      <c r="I266" s="616"/>
      <c r="J266" s="616"/>
      <c r="K266" s="1672">
        <f t="shared" si="22"/>
        <v>15315</v>
      </c>
      <c r="L266" s="466">
        <v>15100</v>
      </c>
    </row>
    <row r="267" spans="1:14" x14ac:dyDescent="0.2">
      <c r="A267" s="1504" t="s">
        <v>953</v>
      </c>
      <c r="B267" s="614">
        <v>2550</v>
      </c>
      <c r="C267" s="616"/>
      <c r="D267" s="466">
        <v>12299</v>
      </c>
      <c r="E267" s="616"/>
      <c r="F267" s="616"/>
      <c r="G267" s="616"/>
      <c r="H267" s="616"/>
      <c r="I267" s="616"/>
      <c r="J267" s="616"/>
      <c r="K267" s="1672">
        <f t="shared" si="22"/>
        <v>12299</v>
      </c>
      <c r="L267" s="466">
        <v>13127</v>
      </c>
    </row>
    <row r="268" spans="1:14" x14ac:dyDescent="0.2">
      <c r="A268" s="1504" t="s">
        <v>100</v>
      </c>
      <c r="B268" s="614">
        <v>2560</v>
      </c>
      <c r="C268" s="616"/>
      <c r="D268" s="466">
        <v>15243</v>
      </c>
      <c r="E268" s="616"/>
      <c r="F268" s="616"/>
      <c r="G268" s="616"/>
      <c r="H268" s="616"/>
      <c r="I268" s="616"/>
      <c r="J268" s="616"/>
      <c r="K268" s="1672">
        <f t="shared" si="22"/>
        <v>15243</v>
      </c>
      <c r="L268" s="466">
        <v>16056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53290</v>
      </c>
      <c r="E270" s="616"/>
      <c r="F270" s="616"/>
      <c r="G270" s="616"/>
      <c r="H270" s="616"/>
      <c r="I270" s="616"/>
      <c r="J270" s="616"/>
      <c r="K270" s="1670">
        <f>SUM(K263:K269)</f>
        <v>53290</v>
      </c>
      <c r="L270" s="1670">
        <f>SUM(L263:L269)</f>
        <v>54908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97460</v>
      </c>
      <c r="E279" s="616"/>
      <c r="F279" s="616"/>
      <c r="G279" s="616"/>
      <c r="H279" s="616"/>
      <c r="I279" s="616"/>
      <c r="J279" s="616"/>
      <c r="K279" s="1677">
        <f>SUM(K238,K243,K257,K261,K270,K277,K278)</f>
        <v>97460</v>
      </c>
      <c r="L279" s="1677">
        <f>SUM(L238,L243,L257,L261,L270,L277,L278)</f>
        <v>102356</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70">
        <f>SUM(D229,D279,D280,D285)</f>
        <v>168563</v>
      </c>
      <c r="E295" s="616"/>
      <c r="F295" s="616"/>
      <c r="G295" s="616"/>
      <c r="H295" s="1670">
        <f>H293</f>
        <v>0</v>
      </c>
      <c r="I295" s="616"/>
      <c r="J295" s="616"/>
      <c r="K295" s="1670">
        <f>SUM(K229,K279,K280,K285,K293,K294)</f>
        <v>168563</v>
      </c>
      <c r="L295" s="1670">
        <f>SUM(L229,L279,L280,L285,L293,L294)</f>
        <v>174603</v>
      </c>
    </row>
    <row r="296" spans="1:14" ht="13.5" thickTop="1" x14ac:dyDescent="0.2">
      <c r="A296" s="2162" t="s">
        <v>996</v>
      </c>
      <c r="B296" s="2163"/>
      <c r="C296" s="616"/>
      <c r="D296" s="618"/>
      <c r="E296" s="616"/>
      <c r="F296" s="616"/>
      <c r="G296" s="616"/>
      <c r="H296" s="687"/>
      <c r="I296" s="616"/>
      <c r="J296" s="616"/>
      <c r="K296" s="1684">
        <f>'Revenues 9-14'!G268-'Expenditures 15-22'!K295</f>
        <v>31495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54762</v>
      </c>
      <c r="F322" s="467"/>
      <c r="G322" s="467"/>
      <c r="H322" s="467"/>
      <c r="I322" s="467"/>
      <c r="J322" s="467"/>
      <c r="K322" s="1671">
        <f t="shared" si="24"/>
        <v>54762</v>
      </c>
      <c r="L322" s="467">
        <v>50711</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89842</v>
      </c>
      <c r="D325" s="467">
        <v>2036</v>
      </c>
      <c r="E325" s="467"/>
      <c r="F325" s="467"/>
      <c r="G325" s="467"/>
      <c r="H325" s="467"/>
      <c r="I325" s="467"/>
      <c r="J325" s="467"/>
      <c r="K325" s="1671">
        <f t="shared" si="24"/>
        <v>91878</v>
      </c>
      <c r="L325" s="467">
        <v>95468</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29695</v>
      </c>
      <c r="F327" s="467"/>
      <c r="G327" s="467"/>
      <c r="H327" s="467"/>
      <c r="I327" s="467"/>
      <c r="J327" s="467"/>
      <c r="K327" s="1671">
        <f t="shared" si="24"/>
        <v>29695</v>
      </c>
      <c r="L327" s="467">
        <v>30000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89842</v>
      </c>
      <c r="D330" s="1670">
        <f t="shared" ref="D330:J330" si="25">SUM(D319:D329)</f>
        <v>2036</v>
      </c>
      <c r="E330" s="1670">
        <f t="shared" si="25"/>
        <v>84457</v>
      </c>
      <c r="F330" s="1670">
        <f t="shared" si="25"/>
        <v>0</v>
      </c>
      <c r="G330" s="1670">
        <f t="shared" si="25"/>
        <v>0</v>
      </c>
      <c r="H330" s="1670">
        <f t="shared" si="25"/>
        <v>0</v>
      </c>
      <c r="I330" s="1670">
        <f t="shared" si="25"/>
        <v>0</v>
      </c>
      <c r="J330" s="1670">
        <f t="shared" si="25"/>
        <v>0</v>
      </c>
      <c r="K330" s="1670">
        <f>SUM(K319:K329)</f>
        <v>176335</v>
      </c>
      <c r="L330" s="1670">
        <f>SUM(L319:L329)</f>
        <v>176179</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89842</v>
      </c>
      <c r="D342" s="1670">
        <f>SUM(D330)</f>
        <v>2036</v>
      </c>
      <c r="E342" s="1670">
        <f>SUM(E330)</f>
        <v>84457</v>
      </c>
      <c r="F342" s="1670">
        <f>SUM(F330)</f>
        <v>0</v>
      </c>
      <c r="G342" s="1670">
        <f>SUM(G330)</f>
        <v>0</v>
      </c>
      <c r="H342" s="1670">
        <f>SUM(H330,H334,H340)</f>
        <v>0</v>
      </c>
      <c r="I342" s="1670">
        <f>SUM(I330)</f>
        <v>0</v>
      </c>
      <c r="J342" s="1670">
        <f>SUM(J330)</f>
        <v>0</v>
      </c>
      <c r="K342" s="1670">
        <f>SUM(K330,K334,K340)</f>
        <v>176335</v>
      </c>
      <c r="L342" s="1677">
        <f>SUM(L330,L340,L341)</f>
        <v>176179</v>
      </c>
    </row>
    <row r="343" spans="1:14" ht="12.75" customHeight="1" thickTop="1" x14ac:dyDescent="0.2">
      <c r="A343" s="2175" t="s">
        <v>996</v>
      </c>
      <c r="B343" s="2176"/>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v>2279</v>
      </c>
      <c r="G349" s="466"/>
      <c r="H349" s="466"/>
      <c r="I349" s="467"/>
      <c r="J349" s="467"/>
      <c r="K349" s="1671">
        <f>SUM(C349:J349)</f>
        <v>2279</v>
      </c>
      <c r="L349" s="466">
        <v>2300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2279</v>
      </c>
      <c r="G350" s="1670">
        <f t="shared" si="26"/>
        <v>0</v>
      </c>
      <c r="H350" s="1670">
        <f t="shared" si="26"/>
        <v>0</v>
      </c>
      <c r="I350" s="1670">
        <f t="shared" si="26"/>
        <v>0</v>
      </c>
      <c r="J350" s="1670">
        <f t="shared" si="26"/>
        <v>0</v>
      </c>
      <c r="K350" s="1670">
        <f t="shared" si="26"/>
        <v>2279</v>
      </c>
      <c r="L350" s="1670">
        <f t="shared" si="26"/>
        <v>2300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2279</v>
      </c>
      <c r="G352" s="1670">
        <f t="shared" si="27"/>
        <v>0</v>
      </c>
      <c r="H352" s="1670">
        <f t="shared" si="27"/>
        <v>0</v>
      </c>
      <c r="I352" s="1670">
        <f t="shared" si="27"/>
        <v>0</v>
      </c>
      <c r="J352" s="1670">
        <f t="shared" si="27"/>
        <v>0</v>
      </c>
      <c r="K352" s="1670">
        <f t="shared" si="27"/>
        <v>2279</v>
      </c>
      <c r="L352" s="1670">
        <f t="shared" si="27"/>
        <v>2300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2279</v>
      </c>
      <c r="G367" s="1670">
        <f t="shared" si="28"/>
        <v>0</v>
      </c>
      <c r="H367" s="1670">
        <f t="shared" si="28"/>
        <v>0</v>
      </c>
      <c r="I367" s="1670">
        <f t="shared" si="28"/>
        <v>0</v>
      </c>
      <c r="J367" s="1670">
        <f t="shared" si="28"/>
        <v>0</v>
      </c>
      <c r="K367" s="1670">
        <f t="shared" si="28"/>
        <v>2279</v>
      </c>
      <c r="L367" s="1670">
        <f t="shared" si="28"/>
        <v>2300</v>
      </c>
    </row>
    <row r="368" spans="1:14" ht="13.5" thickTop="1" x14ac:dyDescent="0.2">
      <c r="A368" s="2162" t="s">
        <v>996</v>
      </c>
      <c r="B368" s="2163"/>
      <c r="C368" s="654"/>
      <c r="D368" s="654"/>
      <c r="E368" s="626"/>
      <c r="F368" s="626"/>
      <c r="G368" s="626"/>
      <c r="H368" s="626"/>
      <c r="I368" s="626"/>
      <c r="J368" s="623"/>
      <c r="K368" s="1671">
        <f>'Revenues 9-14'!K268-'Expenditures 15-22'!K367</f>
        <v>18009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2006/documentManagement/types"/>
    <ds:schemaRef ds:uri="6ce3111e-7420-4802-b50a-75d4e9a0b980"/>
    <ds:schemaRef ds:uri="4d435f69-8686-490b-bd6d-b153bf22ab50"/>
    <ds:schemaRef ds:uri="http://schemas.openxmlformats.org/package/2006/metadata/core-properties"/>
    <ds:schemaRef ds:uri="http://www.w3.org/XML/1998/namespace"/>
    <ds:schemaRef ds:uri="http://schemas.microsoft.com/office/infopath/2007/PartnerControls"/>
    <ds:schemaRef ds:uri="http://schemas.microsoft.com/sharepoint/v3"/>
    <ds:schemaRef ds:uri="d21dc803-237d-4c68-8692-8d731fd29118"/>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Sec-2.1</vt:lpstr>
      <vt:lpstr>SF&amp;QC Sec-2.2</vt:lpstr>
      <vt:lpstr>SF&amp;QC Sec-2.3</vt:lpstr>
      <vt:lpstr>SF&amp;QC Sec-2.4</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2019-10-16T19:44:34Z</cp:lastPrinted>
  <dcterms:created xsi:type="dcterms:W3CDTF">2003-10-29T19:06:34Z</dcterms:created>
  <dcterms:modified xsi:type="dcterms:W3CDTF">2019-12-13T20:51:39Z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