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9" i="3" l="1"/>
  <c r="E349" i="29" l="1"/>
  <c r="G349" i="29"/>
  <c r="E322" i="29"/>
  <c r="E320" i="29"/>
  <c r="E182" i="29" l="1"/>
  <c r="F182" i="29"/>
  <c r="E124" i="29"/>
  <c r="F124" i="29"/>
  <c r="E49" i="29"/>
  <c r="F5" i="29"/>
  <c r="E5" i="29"/>
  <c r="D5" i="29"/>
  <c r="C5" i="29"/>
  <c r="C4" i="3"/>
  <c r="J31" i="8"/>
  <c r="L10" i="37"/>
  <c r="H10" i="37"/>
  <c r="F10" i="37"/>
  <c r="D10" i="3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9" i="118"/>
  <c r="H33" i="118"/>
  <c r="D11" i="37"/>
  <c r="D24" i="37"/>
  <c r="B4270" i="106" s="1"/>
  <c r="D4270" i="106" s="1"/>
  <c r="B5752" i="106"/>
  <c r="D5752" i="106" s="1"/>
  <c r="D17" i="7"/>
  <c r="B4104" i="106" s="1"/>
  <c r="D4104" i="106" s="1"/>
  <c r="B7235" i="106" l="1"/>
  <c r="D7235" i="106" s="1"/>
  <c r="H365" i="29"/>
  <c r="B7242" i="106" s="1"/>
  <c r="D7242" i="106" s="1"/>
  <c r="H44" i="4"/>
  <c r="B3254" i="106"/>
  <c r="D3254" i="106" s="1"/>
  <c r="B1308" i="106"/>
  <c r="D1308" i="106" s="1"/>
  <c r="E174" i="29"/>
  <c r="B1309" i="106" s="1"/>
  <c r="D1309" i="106" s="1"/>
  <c r="I24" i="12"/>
  <c r="B1996" i="106" s="1"/>
  <c r="D1996" i="106" s="1"/>
  <c r="G15" i="145"/>
  <c r="C352" i="29"/>
  <c r="D6103" i="106"/>
  <c r="G210" i="29"/>
  <c r="B281" i="106"/>
  <c r="D281" i="106" s="1"/>
  <c r="D52" i="36"/>
  <c r="D9" i="7"/>
  <c r="B1767" i="106" s="1"/>
  <c r="D1767" i="106" s="1"/>
  <c r="K184" i="29"/>
  <c r="F13" i="4" s="1"/>
  <c r="B2596" i="106" s="1"/>
  <c r="D2596" i="106" s="1"/>
  <c r="G29" i="108"/>
  <c r="E29" i="108"/>
  <c r="F28" i="108"/>
  <c r="F41" i="108" s="1"/>
  <c r="G43" i="108" s="1"/>
  <c r="L13" i="11"/>
  <c r="B2060" i="106" s="1"/>
  <c r="D2060" i="106" s="1"/>
  <c r="L15" i="11"/>
  <c r="B3459" i="106" s="1"/>
  <c r="D3459" i="106" s="1"/>
  <c r="L5" i="11"/>
  <c r="B2056" i="106" s="1"/>
  <c r="D2056" i="106" s="1"/>
  <c r="I26" i="12"/>
  <c r="B7741" i="106" s="1"/>
  <c r="D7741" i="106" s="1"/>
  <c r="J22" i="37"/>
  <c r="H28" i="118"/>
  <c r="K28" i="118" s="1"/>
  <c r="O27" i="118" s="1"/>
  <c r="O29" i="118" s="1"/>
  <c r="D22" i="37"/>
  <c r="F19" i="7"/>
  <c r="B1807" i="106" s="1"/>
  <c r="D1807" i="106" s="1"/>
  <c r="J77" i="4"/>
  <c r="B6262" i="106" s="1"/>
  <c r="D6262" i="106" s="1"/>
  <c r="K76" i="4"/>
  <c r="B3586" i="106" s="1"/>
  <c r="D3586" i="106"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65" i="106" l="1"/>
  <c r="D1365" i="106" s="1"/>
  <c r="F65" i="34"/>
  <c r="D7255" i="106"/>
  <c r="L114" i="29"/>
  <c r="K342" i="29"/>
  <c r="F13" i="34" s="1"/>
  <c r="B1381" i="106"/>
  <c r="D1381" i="106" s="1"/>
  <c r="B1317" i="106"/>
  <c r="D1317" i="106" s="1"/>
  <c r="B5527" i="106"/>
  <c r="D5527" i="106" s="1"/>
  <c r="C114" i="29"/>
  <c r="B757" i="106" s="1"/>
  <c r="D757" i="106" s="1"/>
  <c r="F174" i="34"/>
  <c r="D44" i="36"/>
  <c r="L16" i="11"/>
  <c r="B2061" i="106" s="1"/>
  <c r="D2061" i="106" s="1"/>
  <c r="K77" i="4"/>
  <c r="B3587" i="106" s="1"/>
  <c r="D3587" i="106" s="1"/>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F8" i="4"/>
  <c r="F10" i="4" s="1"/>
  <c r="B4125" i="106" s="1"/>
  <c r="D4125" i="106" s="1"/>
  <c r="J19" i="4"/>
  <c r="B6229" i="106" s="1"/>
  <c r="D6229" i="106" s="1"/>
  <c r="K17" i="4"/>
  <c r="K19" i="4" s="1"/>
  <c r="B4144" i="106" s="1"/>
  <c r="D4144"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<sst xmlns="http://schemas.openxmlformats.org/spreadsheetml/2006/main" count="5062" uniqueCount="2089">
  <si>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</si>
  <si>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</si>
  <si>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</si>
  <si>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</si>
  <si>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</si>
  <si>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</si>
  <si>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</si>
  <si>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</si>
  <si>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</si>
  <si>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</si>
  <si>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</si>
  <si>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</si>
  <si>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</si>
  <si>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</si>
  <si>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</si>
  <si>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</si>
  <si>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</si>
  <si>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</si>
  <si>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</si>
  <si>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</si>
  <si>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</si>
  <si>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</si>
  <si>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</si>
  <si>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</si>
  <si>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</si>
  <si>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</si>
  <si>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</si>
  <si>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</si>
  <si>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</si>
  <si>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</si>
  <si>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</si>
  <si>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</si>
  <si>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</si>
  <si>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</si>
  <si>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</si>
  <si>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</si>
  <si>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</si>
  <si>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</si>
  <si>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</si>
  <si>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</si>
  <si>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</si>
  <si>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</si>
  <si>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</si>
  <si>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</si>
  <si>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</si>
  <si>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</si>
  <si>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</si>
  <si>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</si>
  <si>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</si>
  <si>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</si>
  <si>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</si>
  <si>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</si>
  <si>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</si>
  <si>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</si>
  <si>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</si>
  <si>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</si>
  <si>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</si>
  <si>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</si>
  <si>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</si>
  <si>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</si>
  <si>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</si>
  <si>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</si>
  <si>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</si>
  <si>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</si>
  <si>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</si>
  <si>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</si>
  <si>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</si>
  <si>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</si>
  <si>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</si>
  <si>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</si>
  <si>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</si>
  <si>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</si>
  <si>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</si>
  <si>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</si>
  <si>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</si>
  <si>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</si>
  <si>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</si>
  <si>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</si>
  <si>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</si>
  <si>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</si>
  <si>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</si>
  <si>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</si>
  <si>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</si>
  <si>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</si>
  <si>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</si>
  <si>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</si>
  <si>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</si>
  <si>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</si>
  <si>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</si>
  <si>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</si>
  <si>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</si>
  <si>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</si>
  <si>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</si>
  <si>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</si>
  <si>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</si>
  <si>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</si>
  <si>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</si>
  <si>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</si>
  <si>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</si>
  <si>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</si>
  <si>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</si>
  <si>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</si>
  <si>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</si>
  <si>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</si>
  <si>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</si>
  <si>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</si>
  <si>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</si>
  <si>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</si>
  <si>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</si>
  <si>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</si>
  <si>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</si>
  <si>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</si>
  <si>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</si>
  <si>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</si>
  <si>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</si>
  <si>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</si>
  <si>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</si>
  <si>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</si>
  <si>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</si>
  <si>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</si>
  <si>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</si>
  <si>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</si>
  <si>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</si>
  <si>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</si>
  <si>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</si>
  <si>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</si>
  <si>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</si>
  <si>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</si>
  <si>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</si>
  <si>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</si>
  <si>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</si>
  <si>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</si>
  <si>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</si>
  <si>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</si>
  <si>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</si>
  <si>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</si>
  <si>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</si>
  <si>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</si>
  <si>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</si>
  <si>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</si>
  <si>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</si>
  <si>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</si>
  <si>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</si>
  <si>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</si>
  <si>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</si>
  <si>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</si>
  <si>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</si>
  <si>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</si>
  <si>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</si>
  <si>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</si>
  <si>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</si>
  <si>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</si>
  <si>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</si>
  <si>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</si>
  <si>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</si>
  <si>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</si>
  <si>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</si>
  <si>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</si>
  <si>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</si>
  <si>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</si>
  <si>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</si>
  <si>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</si>
  <si>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</si>
  <si>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</si>
  <si>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</si>
  <si>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</si>
  <si>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</si>
  <si>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</si>
  <si>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</si>
  <si>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</si>
  <si>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</si>
  <si>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</si>
  <si>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</si>
  <si>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</si>
  <si>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</si>
  <si>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</si>
  <si>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</si>
  <si>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</si>
  <si>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</si>
  <si>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</si>
  <si>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</si>
  <si>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</si>
  <si>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</si>
  <si>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</si>
  <si>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</si>
  <si>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</si>
  <si>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</si>
  <si>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</si>
  <si>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</si>
  <si>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</si>
  <si>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</si>
  <si>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</si>
  <si>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</si>
  <si>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</si>
  <si>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</si>
  <si>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</si>
  <si>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</si>
  <si>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</si>
  <si>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</si>
  <si>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</si>
  <si>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</si>
  <si>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</si>
  <si>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</si>
  <si>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</si>
  <si>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</si>
  <si>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</si>
  <si>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</si>
  <si>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</si>
  <si>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</si>
  <si>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</si>
  <si>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</si>
  <si>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</si>
  <si>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</si>
  <si>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</si>
  <si>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</si>
  <si>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</si>
  <si>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</si>
  <si>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</si>
  <si>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</si>
  <si>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</si>
  <si>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</si>
  <si>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</si>
  <si>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</si>
  <si>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</si>
  <si>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</si>
  <si>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</si>
  <si>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</si>
  <si>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</si>
  <si>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</si>
  <si>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</si>
  <si>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</si>
  <si>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</si>
  <si>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</si>
  <si>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</si>
  <si>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</si>
  <si>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</si>
  <si>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</si>
  <si>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</si>
  <si>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</si>
  <si>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</si>
  <si>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</si>
  <si>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</si>
  <si>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</si>
  <si>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</si>
  <si>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</si>
  <si>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</si>
  <si>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</si>
  <si>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</si>
  <si>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</si>
  <si>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</si>
  <si>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</si>
  <si>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</si>
  <si>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</si>
  <si>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</si>
  <si>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</si>
  <si>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</si>
  <si>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</si>
  <si>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</si>
  <si>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</si>
  <si>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</si>
  <si>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</si>
  <si>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</si>
  <si>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</si>
  <si>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</si>
  <si>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</si>
  <si>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</si>
  <si>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</si>
  <si>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</si>
  <si>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</si>
  <si>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</si>
  <si>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</si>
  <si>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</si>
  <si>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</si>
  <si>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</si>
  <si>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</si>
  <si>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</si>
  <si>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</si>
  <si>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</si>
  <si>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</si>
  <si>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</si>
  <si>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</si>
  <si>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</si>
  <si>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</si>
  <si>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</si>
  <si>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</si>
  <si>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</si>
  <si>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</si>
  <si>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</si>
  <si>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</si>
  <si>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</si>
  <si>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</si>
  <si>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</si>
  <si>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</si>
  <si>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</si>
  <si>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</si>
  <si>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</si>
  <si>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</si>
  <si>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</si>
  <si>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</si>
  <si>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</si>
  <si>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</si>
  <si>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</si>
  <si>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</si>
  <si>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</si>
  <si>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</si>
  <si>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</si>
  <si>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</si>
  <si>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</si>
  <si>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</si>
  <si>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</si>
  <si>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</si>
  <si>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</si>
  <si>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</si>
  <si>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</si>
  <si>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</si>
  <si>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</si>
  <si>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</si>
  <si>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</si>
  <si>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</si>
  <si>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</si>
  <si>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</si>
  <si>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</si>
  <si>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</si>
  <si>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</si>
  <si>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</si>
  <si>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</si>
  <si>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</si>
  <si>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</si>
  <si>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</si>
  <si>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</si>
  <si>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</si>
  <si>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</si>
  <si>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</si>
  <si>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</si>
  <si>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</si>
  <si>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</si>
  <si>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</si>
  <si>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</si>
  <si>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</si>
  <si>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</si>
  <si>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</si>
  <si>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</si>
  <si>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</si>
  <si>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</si>
  <si>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</si>
  <si>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</si>
  <si>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</si>
  <si>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</si>
  <si>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</si>
  <si>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</si>
  <si>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</si>
  <si>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</si>
  <si>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</si>
  <si>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</si>
  <si>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</si>
  <si>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</si>
  <si>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</si>
  <si>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</si>
  <si>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</si>
  <si>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</si>
  <si>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</si>
  <si>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</si>
  <si>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</si>
  <si>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</si>
  <si>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</si>
  <si>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</si>
  <si>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</si>
  <si>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</si>
  <si>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</si>
  <si>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</si>
  <si>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</si>
  <si>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</si>
  <si>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</si>
  <si>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</si>
  <si>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</si>
  <si>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</si>
  <si>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</si>
  <si>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</si>
  <si>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</si>
  <si>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</si>
  <si>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</si>
  <si>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</si>
  <si>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</si>
  <si>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</si>
  <si>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</si>
  <si>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</si>
  <si>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</si>
  <si>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</si>
  <si>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</si>
  <si>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</si>
  <si>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</si>
  <si>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</si>
  <si>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</si>
  <si>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</si>
  <si>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</si>
  <si>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</si>
  <si>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</si>
  <si>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</si>
  <si>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</si>
  <si>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</si>
  <si>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</si>
  <si>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</si>
  <si>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</si>
  <si>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</si>
  <si>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</si>
  <si>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</si>
  <si>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</si>
  <si>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</si>
  <si>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</si>
  <si>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</si>
  <si>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</si>
  <si>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</si>
  <si>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</si>
  <si>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</si>
  <si>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</si>
  <si>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</si>
  <si>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</si>
  <si>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</si>
  <si>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</si>
  <si>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</si>
  <si>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</si>
  <si>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</si>
  <si>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</si>
  <si>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</si>
  <si>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</si>
  <si>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</si>
  <si>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</si>
  <si>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</si>
  <si>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</si>
  <si>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</si>
  <si>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</si>
  <si>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</si>
  <si>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</si>
  <si>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</si>
  <si>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</si>
  <si>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</si>
  <si>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</si>
  <si>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</si>
  <si>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</si>
  <si>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</si>
  <si>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</si>
  <si>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</si>
  <si>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</si>
  <si>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</si>
  <si>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</si>
  <si>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</si>
  <si>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</si>
  <si>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</si>
  <si>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</si>
  <si>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</si>
  <si>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</si>
  <si>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</si>
  <si>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</si>
  <si>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</si>
  <si>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</si>
  <si>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</si>
  <si>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</si>
  <si>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</si>
  <si>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</si>
  <si>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</si>
  <si>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</si>
  <si>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</si>
  <si>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</si>
  <si>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</si>
  <si>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</si>
  <si>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</si>
  <si>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</si>
  <si>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</si>
  <si>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</si>
  <si>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</si>
  <si>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</si>
  <si>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</si>
  <si>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</si>
  <si>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</si>
  <si>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</si>
  <si>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</si>
  <si>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</si>
  <si>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</si>
  <si>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</si>
  <si>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</si>
  <si>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</si>
  <si>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</si>
  <si>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</si>
  <si>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</si>
  <si>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</si>
  <si>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</si>
  <si>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</si>
  <si>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</si>
  <si>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</si>
  <si>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</si>
  <si>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</si>
  <si>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</si>
  <si>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</si>
  <si>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</si>
  <si>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</si>
  <si>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</si>
  <si>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</si>
  <si>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</si>
  <si>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</si>
  <si>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</si>
  <si>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</si>
  <si>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</si>
  <si>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</si>
  <si>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</si>
  <si>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</si>
  <si>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</si>
  <si>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</si>
  <si>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</si>
  <si>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</si>
  <si>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</si>
  <si>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</si>
  <si>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</si>
  <si>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</si>
  <si>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</si>
  <si>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</si>
  <si>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</si>
  <si>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</si>
  <si>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</si>
  <si>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</si>
  <si>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</si>
  <si>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</si>
  <si>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</si>
  <si>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</si>
  <si>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</si>
  <si>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</si>
  <si>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</si>
  <si>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</si>
  <si>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</si>
  <si>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</si>
  <si>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</si>
  <si>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</si>
  <si>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</si>
  <si>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</si>
  <si>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</si>
  <si>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</si>
  <si>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</si>
  <si>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</si>
  <si>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</si>
  <si>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</si>
  <si>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</si>
  <si>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</si>
  <si>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</si>
  <si>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</si>
  <si>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</si>
  <si>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</si>
  <si>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</si>
  <si>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</si>
  <si>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</si>
  <si>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</si>
  <si>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</si>
  <si>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</si>
  <si>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</si>
  <si>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</si>
  <si>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</si>
  <si>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</si>
  <si>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</si>
  <si>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</si>
  <si>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</si>
  <si>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</si>
  <si>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</si>
  <si>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</si>
  <si>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</si>
  <si>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</si>
  <si>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</si>
  <si>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</si>
  <si>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</si>
  <si>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</si>
  <si>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</si>
  <si>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</si>
  <si>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</si>
  <si>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</si>
  <si>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</si>
  <si>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</si>
  <si>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</si>
  <si>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</si>
  <si>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</si>
  <si>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</si>
  <si>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</si>
  <si>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</si>
  <si>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</si>
  <si>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</si>
  <si>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</si>
  <si>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</si>
  <si>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</si>
  <si>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</si>
  <si>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</si>
  <si>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</si>
  <si>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</si>
  <si>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</si>
  <si>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</si>
  <si>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</si>
  <si>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</si>
  <si>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</si>
  <si>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</si>
  <si>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</si>
  <si>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</si>
  <si>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</si>
  <si>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</si>
  <si>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</si>
  <si>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</si>
  <si>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</si>
  <si>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</si>
  <si>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</si>
  <si>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</si>
  <si>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</si>
  <si>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</si>
  <si>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</si>
  <si>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</si>
  <si>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</si>
  <si>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</si>
  <si>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</si>
  <si>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</si>
  <si>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</si>
  <si>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</si>
  <si>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</si>
  <si>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</si>
  <si>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</si>
  <si>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</si>
  <si>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</si>
  <si>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</si>
  <si>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</si>
  <si>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</si>
  <si>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</si>
  <si>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</si>
  <si>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</si>
  <si>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</si>
  <si>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</si>
  <si>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</si>
  <si>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</si>
  <si>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</si>
  <si>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</si>
  <si>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</si>
  <si>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</si>
  <si>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</si>
  <si>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</si>
  <si>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</si>
  <si>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</si>
  <si>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</si>
  <si>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</si>
  <si>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</si>
  <si>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</si>
  <si>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</si>
  <si>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</si>
  <si>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</si>
  <si>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</si>
  <si>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</si>
  <si>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</si>
  <si>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</si>
  <si>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</si>
  <si>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</si>
  <si>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</si>
  <si>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</si>
  <si>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</si>
  <si>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</si>
  <si>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</si>
  <si>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</si>
  <si>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</si>
  <si>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</si>
  <si>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</si>
  <si>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</si>
  <si>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</si>
  <si>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</si>
  <si>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</si>
  <si>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</si>
  <si>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</si>
  <si>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</si>
  <si>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</si>
  <si>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</si>
  <si>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</si>
  <si>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</si>
  <si>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</si>
  <si>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</si>
  <si>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</si>
  <si>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</si>
  <si>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</si>
  <si>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</si>
  <si>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</si>
  <si>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</si>
  <si>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</si>
  <si>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</si>
  <si>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</si>
  <si>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</si>
  <si>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</si>
  <si>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</si>
  <si>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</si>
  <si>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</si>
  <si>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</si>
  <si>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</si>
  <si>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</si>
  <si>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</si>
  <si>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</si>
  <si>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</si>
  <si>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</si>
  <si>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</si>
  <si>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</si>
  <si>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</si>
  <si>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</si>
  <si>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</si>
  <si>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</si>
  <si>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</si>
  <si>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</si>
  <si>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</si>
  <si>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</si>
  <si>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</si>
  <si>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</si>
  <si>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</si>
  <si>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</si>
  <si>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</si>
  <si>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</si>
  <si>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</si>
  <si>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</si>
  <si>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</si>
  <si>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</si>
  <si>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</si>
  <si>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</si>
  <si>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</si>
  <si>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</si>
  <si>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</si>
  <si>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</si>
  <si>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</si>
  <si>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</si>
  <si>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</si>
  <si>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</si>
  <si>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</si>
  <si>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</si>
  <si>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</si>
  <si>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</si>
  <si>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</si>
  <si>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</si>
  <si>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</si>
  <si>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</si>
  <si>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</si>
  <si>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</si>
  <si>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</si>
  <si>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</si>
  <si>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</si>
  <si>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</si>
  <si>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</si>
  <si>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</si>
  <si>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</si>
  <si>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</si>
  <si>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</si>
  <si>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</si>
  <si>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</si>
  <si>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</si>
  <si>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</si>
  <si>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</si>
  <si>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</si>
  <si>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</si>
  <si>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</si>
  <si>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</si>
  <si>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</si>
  <si>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</si>
  <si>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</si>
  <si>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</si>
  <si>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</si>
  <si>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</si>
  <si>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</si>
  <si>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</si>
  <si>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</si>
  <si>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</si>
  <si>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</si>
  <si>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</si>
  <si>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</si>
  <si>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</si>
  <si>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</si>
  <si>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</si>
  <si>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</si>
  <si>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</si>
  <si>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</si>
  <si>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</si>
  <si>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</si>
  <si>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</si>
  <si>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</si>
  <si>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</si>
  <si>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</si>
  <si>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</si>
  <si>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</si>
  <si>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</si>
  <si>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</si>
  <si>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</si>
  <si>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</si>
  <si>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</si>
  <si>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</si>
  <si>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</si>
  <si>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</si>
  <si>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</si>
  <si>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</si>
  <si>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</si>
  <si>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</si>
  <si>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</si>
  <si>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</si>
  <si>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</si>
  <si>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</si>
  <si>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</si>
  <si>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</si>
  <si>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</si>
  <si>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</si>
  <si>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</si>
  <si>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</si>
  <si>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</si>
  <si>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</si>
  <si>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</si>
  <si>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</si>
  <si>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</si>
  <si>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</si>
  <si>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</si>
  <si>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</si>
  <si>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</si>
  <si>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</si>
  <si>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</si>
  <si>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</si>
  <si>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</si>
  <si>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</si>
  <si>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</si>
  <si>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</si>
  <si>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</si>
  <si>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</si>
  <si>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</si>
  <si>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</si>
  <si>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</si>
  <si>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</si>
  <si>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</si>
  <si>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</si>
  <si>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</si>
  <si>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</si>
  <si>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</si>
  <si>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</si>
  <si>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</si>
  <si>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</si>
  <si>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</si>
  <si>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</si>
  <si>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</si>
  <si>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</si>
  <si>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</si>
  <si>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</si>
  <si>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</si>
  <si>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</si>
  <si>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</si>
  <si>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</si>
  <si>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</si>
  <si>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</si>
  <si>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</si>
  <si>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</si>
  <si>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</si>
  <si>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</si>
  <si>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</si>
  <si>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</si>
  <si>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</si>
  <si>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</si>
  <si>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</si>
  <si>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</si>
  <si>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</si>
  <si>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</si>
  <si>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</si>
  <si>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</si>
  <si>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</si>
  <si>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</si>
  <si>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</si>
  <si>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</si>
  <si>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</si>
  <si>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</si>
  <si>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</si>
  <si>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</si>
  <si>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</si>
  <si>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</si>
  <si>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</si>
  <si>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</si>
  <si>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</si>
  <si>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</si>
  <si>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</si>
  <si>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</si>
  <si>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</si>
  <si>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</si>
  <si>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</si>
  <si>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</si>
  <si>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</si>
  <si>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</si>
  <si>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</si>
  <si>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</si>
  <si>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</si>
  <si>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</si>
  <si>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</si>
  <si>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</si>
  <si>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</si>
  <si>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</si>
  <si>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</si>
  <si>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</si>
  <si>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</si>
  <si>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</si>
  <si>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</si>
  <si>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</si>
  <si>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</si>
  <si>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</si>
  <si>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</si>
  <si>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</si>
  <si>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</si>
  <si>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</si>
  <si>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</si>
  <si>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</si>
  <si>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</si>
  <si>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</si>
  <si>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</si>
  <si>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</si>
  <si>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</si>
  <si>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</si>
  <si>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</si>
  <si>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</si>
  <si>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</si>
  <si>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</si>
  <si>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</si>
  <si>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</si>
  <si>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</si>
  <si>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</si>
  <si>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</si>
  <si>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</si>
  <si>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</si>
  <si>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</si>
  <si>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</si>
  <si>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</si>
  <si>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</si>
  <si>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</si>
  <si>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</si>
  <si>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</si>
  <si>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</si>
  <si>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</si>
  <si>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</si>
  <si>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</si>
  <si>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</si>
  <si>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</si>
  <si>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</si>
  <si>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</si>
  <si>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</si>
  <si>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</si>
  <si>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</si>
  <si>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</si>
  <si>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</si>
  <si>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</si>
  <si>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</si>
  <si>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</si>
  <si>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</si>
  <si>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</si>
  <si>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</si>
  <si>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</si>
  <si>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</si>
  <si>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</si>
  <si>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</si>
  <si>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</si>
  <si>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</si>
  <si>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</si>
  <si>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</si>
  <si>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</si>
  <si>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</si>
  <si>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</si>
  <si>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</si>
  <si>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</si>
  <si>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</si>
  <si>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</si>
  <si>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</si>
  <si>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</si>
  <si>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</si>
  <si>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</si>
  <si>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</si>
  <si>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</si>
  <si>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</si>
  <si>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</si>
  <si>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</si>
  <si>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</si>
  <si>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</si>
  <si>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</si>
  <si>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</si>
  <si>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</si>
  <si>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</si>
  <si>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</si>
  <si>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</si>
  <si>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</si>
  <si>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</si>
  <si>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</si>
  <si>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</si>
  <si>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</si>
  <si>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</si>
  <si>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</si>
  <si>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</si>
  <si>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</si>
  <si>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</si>
  <si>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</si>
  <si>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</si>
  <si>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</si>
  <si>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</si>
  <si>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</si>
  <si>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</si>
  <si>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</si>
  <si>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</si>
  <si>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</si>
  <si>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</si>
  <si>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</si>
  <si>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</si>
  <si>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</si>
  <si>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</si>
  <si>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</si>
  <si>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</si>
  <si>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</si>
  <si>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</si>
  <si>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</si>
  <si>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</si>
  <si>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</si>
  <si>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</si>
  <si>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</si>
  <si>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</si>
  <si>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</si>
  <si>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</si>
  <si>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</si>
  <si>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</si>
  <si>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</si>
  <si>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</si>
  <si>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</si>
  <si>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</si>
  <si>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</si>
  <si>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</si>
  <si>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</si>
  <si>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</si>
  <si>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</si>
  <si>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</si>
  <si>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</si>
  <si>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</si>
  <si>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</si>
  <si>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</si>
  <si>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</si>
  <si>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</si>
  <si>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</si>
  <si>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</si>
  <si>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</si>
  <si>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</si>
  <si>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</si>
  <si>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</si>
  <si>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</si>
  <si>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</si>
  <si>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</si>
  <si>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</si>
  <si>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</si>
  <si>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</si>
  <si>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</si>
  <si>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</si>
  <si>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</si>
  <si>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</si>
  <si>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</si>
  <si>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</si>
  <si>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</si>
  <si>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</si>
  <si>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</si>
  <si>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</si>
  <si>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</si>
  <si>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</si>
  <si>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</si>
  <si>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</si>
  <si>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</si>
  <si>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</si>
  <si>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</si>
  <si>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</si>
  <si>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</si>
  <si>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</si>
  <si>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</si>
  <si>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</si>
  <si>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</si>
  <si>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</si>
  <si>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</si>
  <si>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</si>
  <si>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</si>
  <si>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</si>
  <si>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</si>
  <si>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</si>
  <si>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</si>
  <si>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</si>
  <si>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</si>
  <si>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</si>
  <si>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</si>
  <si>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</si>
  <si>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</si>
  <si>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</si>
  <si>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</si>
  <si>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</si>
  <si>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</si>
  <si>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</si>
  <si>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</si>
  <si>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</si>
  <si>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</si>
  <si>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</si>
  <si>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</si>
  <si>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</si>
  <si>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</si>
  <si>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</si>
  <si>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</si>
  <si>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</si>
  <si>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</si>
  <si>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</si>
  <si>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</si>
  <si>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</si>
  <si>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</si>
  <si>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</si>
  <si>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</si>
  <si>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</si>
  <si>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</si>
  <si>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</si>
  <si>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</si>
  <si>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</si>
  <si>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</si>
  <si>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</si>
  <si>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</si>
  <si>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</si>
  <si>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</si>
  <si>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</si>
  <si>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</si>
  <si>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</si>
  <si>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</si>
  <si>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</si>
  <si>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</si>
  <si>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</si>
  <si>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</si>
  <si>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</si>
  <si>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</si>
  <si>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</si>
  <si>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</si>
  <si>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</si>
  <si>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</si>
  <si>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</si>
  <si>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</si>
  <si>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</si>
  <si>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</si>
  <si>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</si>
  <si>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</si>
  <si>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</si>
  <si>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</si>
  <si>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</si>
  <si>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</si>
  <si>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</si>
  <si>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</si>
  <si>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</si>
  <si>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</si>
  <si>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</si>
  <si>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</si>
  <si>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</si>
  <si>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</si>
  <si>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</si>
  <si>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</si>
  <si>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</si>
  <si>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</si>
  <si>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</si>
  <si>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</si>
  <si>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</si>
  <si>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</si>
  <si>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</si>
  <si>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</si>
  <si>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</si>
  <si>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</si>
  <si>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</si>
  <si>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</si>
  <si>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</si>
  <si>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</si>
  <si>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</si>
  <si>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</si>
  <si>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</si>
  <si>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</si>
  <si>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</si>
  <si>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</si>
  <si>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</si>
  <si>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</si>
  <si>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</si>
  <si>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</si>
  <si>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</si>
  <si>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</si>
  <si>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</si>
  <si>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</si>
  <si>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</si>
  <si>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</si>
  <si>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</si>
  <si>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</si>
  <si>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</si>
  <si>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</si>
  <si>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</si>
  <si>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</si>
  <si>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</si>
  <si>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</si>
  <si>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</si>
  <si>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</si>
  <si>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</si>
  <si>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</si>
  <si>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</si>
  <si>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</si>
  <si>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</si>
  <si>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</si>
  <si>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</si>
  <si>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</si>
  <si>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</si>
  <si>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</si>
  <si>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</si>
  <si>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</si>
  <si>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</si>
  <si>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</si>
  <si>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</si>
  <si>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</si>
  <si>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</si>
  <si>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</si>
  <si>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</si>
  <si>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</si>
  <si>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</si>
  <si>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</si>
  <si>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</si>
  <si>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</si>
  <si>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</si>
  <si>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</si>
  <si>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</si>
  <si>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</si>
  <si>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</si>
  <si>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</si>
  <si>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</si>
  <si>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</si>
  <si>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</si>
  <si>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</si>
  <si>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</si>
  <si>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</si>
  <si>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</si>
  <si>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</si>
  <si>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</si>
  <si>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</si>
  <si>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</si>
  <si>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</si>
  <si>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</si>
  <si>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</si>
  <si>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</si>
  <si>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</si>
  <si>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</si>
  <si>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</si>
  <si>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</si>
  <si>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</si>
  <si>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</si>
  <si>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</si>
  <si>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</si>
  <si>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</si>
  <si>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</si>
  <si>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</si>
  <si>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</si>
  <si>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</si>
  <si>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</si>
  <si>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</si>
  <si>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</si>
  <si>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</si>
  <si>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</si>
  <si>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</si>
  <si>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</si>
  <si>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</si>
  <si>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</si>
  <si>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</si>
  <si>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</si>
  <si>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</si>
  <si>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</si>
  <si>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</si>
  <si>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</si>
  <si>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</si>
  <si>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</si>
  <si>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</si>
  <si>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</si>
  <si>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</si>
  <si>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</si>
  <si>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</si>
  <si>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</si>
  <si>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</si>
  <si>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</si>
  <si>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</si>
  <si>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</si>
  <si>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</si>
  <si>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</si>
  <si>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</si>
  <si>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</si>
  <si>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</si>
  <si>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</si>
  <si>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</si>
  <si>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</si>
  <si>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</si>
  <si>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</si>
  <si>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</si>
  <si>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</si>
  <si>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</si>
  <si>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</si>
  <si>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</si>
  <si>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</si>
  <si>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</si>
  <si>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</si>
  <si>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</si>
  <si>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</si>
  <si>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</si>
  <si>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</si>
  <si>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</si>
  <si>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</si>
  <si>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</si>
  <si>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</si>
  <si>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</si>
  <si>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</si>
  <si>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</si>
  <si>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</si>
  <si>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</si>
  <si>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</si>
  <si>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</si>
  <si>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</si>
  <si>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</si>
  <si>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</si>
  <si>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</si>
  <si>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</si>
  <si>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</si>
  <si>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</si>
  <si>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</si>
  <si>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</si>
  <si>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</si>
  <si>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</si>
  <si>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</si>
  <si>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</si>
  <si>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</si>
  <si>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</si>
  <si>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</si>
  <si>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</si>
  <si>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</si>
  <si>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</si>
  <si>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</si>
  <si>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</si>
  <si>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</si>
  <si>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</si>
  <si>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</si>
  <si>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</si>
  <si>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</si>
  <si>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</si>
  <si>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</si>
  <si>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</si>
  <si>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</si>
  <si>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</si>
  <si>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</si>
  <si>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</si>
  <si>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</si>
  <si>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</si>
  <si>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</si>
  <si>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</si>
  <si>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</si>
  <si>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</si>
  <si>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</si>
  <si>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</si>
  <si>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</si>
  <si>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</si>
  <si>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</si>
  <si>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</si>
  <si>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</si>
  <si>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</si>
  <si>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</si>
  <si>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</si>
  <si>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</si>
  <si>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</si>
  <si>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</si>
  <si>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</si>
  <si>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</si>
  <si>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</si>
  <si>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</si>
  <si>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</si>
  <si>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</si>
  <si>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</si>
  <si>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</si>
  <si>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</si>
  <si>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</si>
  <si>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</si>
  <si>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</si>
  <si>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</si>
  <si>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</si>
  <si>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</si>
  <si>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</si>
  <si>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</si>
  <si>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</si>
  <si>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</si>
  <si>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</si>
  <si>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</si>
  <si>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</si>
  <si>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</si>
  <si>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</si>
  <si>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</si>
  <si>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</si>
  <si>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</si>
  <si>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</si>
  <si>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</si>
  <si>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</si>
  <si>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</si>
  <si>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</si>
  <si>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</si>
  <si>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</si>
  <si>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</si>
  <si>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</si>
  <si>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</si>
  <si>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</si>
  <si>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</si>
  <si>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</si>
  <si>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</si>
  <si>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</si>
  <si>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</si>
  <si>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</si>
  <si>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</si>
  <si>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</si>
  <si>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</si>
  <si>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</si>
  <si>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</si>
  <si>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</si>
  <si>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</si>
  <si>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</si>
  <si>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</si>
  <si>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</si>
  <si>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</si>
  <si>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</si>
  <si>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</si>
  <si>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</si>
  <si>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</si>
  <si>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</si>
  <si>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</si>
  <si>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</si>
  <si>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</si>
  <si>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</si>
  <si>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</si>
  <si>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</si>
  <si>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</si>
  <si>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</si>
  <si>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</si>
  <si>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</si>
  <si>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</si>
  <si>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</si>
  <si>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</si>
  <si>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</si>
  <si>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</si>
  <si>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</si>
  <si>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</si>
  <si>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</si>
  <si>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</si>
  <si>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</si>
  <si>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</si>
  <si>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</si>
  <si>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</si>
  <si>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</si>
  <si>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</si>
  <si>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</si>
  <si>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</si>
  <si>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</si>
  <si>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</si>
  <si>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</si>
  <si>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</si>
  <si>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</si>
  <si>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</si>
  <si>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</si>
  <si>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</si>
  <si>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</si>
  <si>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</si>
  <si>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</si>
  <si>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</si>
  <si>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</si>
  <si>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</si>
  <si>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</si>
  <si>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</si>
  <si>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</si>
  <si>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</si>
  <si>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</si>
  <si>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</si>
  <si>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</si>
  <si>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</si>
  <si>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</si>
  <si>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</si>
  <si>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</si>
  <si>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</si>
  <si>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</si>
  <si>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</si>
  <si>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</si>
  <si>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</si>
  <si>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</si>
  <si>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</si>
  <si>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</si>
  <si>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</si>
  <si>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</si>
  <si>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</si>
  <si>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</si>
  <si>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</si>
  <si>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</si>
  <si>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</si>
  <si>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</si>
  <si>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</si>
  <si>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</si>
  <si>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</si>
  <si>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</si>
  <si>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</si>
  <si>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</si>
  <si>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</si>
  <si>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</si>
  <si>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</si>
  <si>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</si>
  <si>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</si>
  <si>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</si>
  <si>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</si>
  <si>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</si>
  <si>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</si>
  <si>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</si>
  <si>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</si>
  <si>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</si>
  <si>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</si>
  <si>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</si>
  <si>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</si>
  <si>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</si>
  <si>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</si>
  <si>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</si>
  <si>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</si>
  <si>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</si>
  <si>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</si>
  <si>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</si>
  <si>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</si>
  <si>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</si>
  <si>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</si>
  <si>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</si>
  <si>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</si>
  <si>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</si>
  <si>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</si>
  <si>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</si>
  <si>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</si>
  <si>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</si>
  <si>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</si>
  <si>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</si>
  <si>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</si>
  <si>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</si>
  <si>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</si>
  <si>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</si>
  <si>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</si>
  <si>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</si>
  <si>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</si>
  <si>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</si>
  <si>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</si>
  <si>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</si>
  <si>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</si>
  <si>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</si>
  <si>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</si>
  <si>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</si>
  <si>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</si>
  <si>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</si>
  <si>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</si>
  <si>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</si>
  <si>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</si>
  <si>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</si>
  <si>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</si>
  <si>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</si>
  <si>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</si>
  <si>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</si>
  <si>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</si>
  <si>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</si>
  <si>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</si>
  <si>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</si>
  <si>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</si>
  <si>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</si>
  <si>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</si>
  <si>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</si>
  <si>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</si>
  <si>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</si>
  <si>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</si>
  <si>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</si>
  <si>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</si>
  <si>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</si>
  <si>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</si>
  <si>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</si>
  <si>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</si>
  <si>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</si>
  <si>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</si>
  <si>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</si>
  <si>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</si>
  <si>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</si>
  <si>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</si>
  <si>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</si>
  <si>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</si>
  <si>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</si>
  <si>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</si>
  <si>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</si>
  <si>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</si>
  <si>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</si>
  <si>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</si>
  <si>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</si>
  <si>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</si>
  <si>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</si>
  <si>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</si>
  <si>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</si>
  <si>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</si>
  <si>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</si>
  <si>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</si>
  <si>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</si>
  <si>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</si>
  <si>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</si>
  <si>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</si>
  <si>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</si>
  <si>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</si>
  <si>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</si>
  <si>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</si>
  <si>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</si>
  <si>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</si>
  <si>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</si>
  <si>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</si>
  <si>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</si>
  <si>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</si>
  <si>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</si>
  <si>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</si>
  <si>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</si>
  <si>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</si>
  <si>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</si>
  <si>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</si>
  <si>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</si>
  <si>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</si>
  <si>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</si>
  <si>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</si>
  <si>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</si>
  <si>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</si>
  <si>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</si>
  <si>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</si>
  <si>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</si>
  <si>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</si>
  <si>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</si>
  <si>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</si>
  <si>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</si>
  <si>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</si>
  <si>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</si>
  <si>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</si>
  <si>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</si>
  <si>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</si>
  <si>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</si>
  <si>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</si>
  <si>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</si>
  <si>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</si>
  <si>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</si>
  <si>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</si>
  <si>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</si>
  <si>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</si>
  <si>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</si>
  <si>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</si>
  <si>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</si>
  <si>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</si>
  <si>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</si>
  <si>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</si>
  <si>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</si>
  <si>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</si>
  <si>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</si>
  <si>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</si>
  <si>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</si>
  <si>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</si>
  <si>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</si>
  <si>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</si>
  <si>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</si>
  <si>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</si>
  <si>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</si>
  <si>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</si>
  <si>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</si>
  <si>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</si>
  <si>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</si>
  <si>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</si>
  <si>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</si>
  <si>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</si>
  <si>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</si>
  <si>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</si>
  <si>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</si>
  <si>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</si>
  <si>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</si>
  <si>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</si>
  <si>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</si>
  <si>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</si>
  <si>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</si>
  <si>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</si>
  <si>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</si>
  <si>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</si>
  <si>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</si>
  <si>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</si>
  <si>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</si>
  <si>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</si>
  <si>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</si>
  <si>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</si>
  <si>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</si>
  <si>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</si>
  <si>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</si>
  <si>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</si>
  <si>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</si>
  <si>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</si>
  <si>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</si>
  <si>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</si>
  <si>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</si>
  <si>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</si>
  <si>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</si>
  <si>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</si>
  <si>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</si>
  <si>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</si>
  <si>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</si>
  <si>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</si>
  <si>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</si>
  <si>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</si>
  <si>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</si>
  <si>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</si>
  <si>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</si>
  <si>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</si>
  <si>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</si>
  <si>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</si>
  <si>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</si>
  <si>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</si>
  <si>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</si>
  <si>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</si>
  <si>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</si>
  <si>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</si>
  <si>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</si>
  <si>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</si>
  <si>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</si>
  <si>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</si>
  <si>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</si>
  <si>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</si>
  <si>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</si>
  <si>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</si>
  <si>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</si>
  <si>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</si>
  <si>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</si>
  <si>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</si>
  <si>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</si>
  <si>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</si>
  <si>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</si>
  <si>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</si>
  <si>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</si>
  <si>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</si>
  <si>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</si>
  <si>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</si>
  <si>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</si>
  <si>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</si>
  <si>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</si>
  <si>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</si>
  <si>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</si>
  <si>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</si>
  <si>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</si>
  <si>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</si>
  <si>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</si>
  <si>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</si>
  <si>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</si>
  <si>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</si>
  <si>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</si>
  <si>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</si>
  <si>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</si>
  <si>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</si>
  <si>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</si>
  <si>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</si>
  <si>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</si>
  <si>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</si>
  <si>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</si>
  <si>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</si>
  <si>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</si>
  <si>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</si>
  <si>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</si>
  <si>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</si>
  <si>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</si>
  <si>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</si>
  <si>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</si>
  <si>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</si>
  <si>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</si>
  <si>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</si>
  <si>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</si>
  <si>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</si>
  <si>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</si>
  <si>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</si>
  <si>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</si>
  <si>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</si>
  <si>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</si>
  <si>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</si>
  <si>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</si>
  <si>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</si>
  <si>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</si>
  <si>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</si>
  <si>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</si>
  <si>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</si>
  <si>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</si>
  <si>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</si>
  <si>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</si>
  <si>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</si>
  <si>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</si>
  <si>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</si>
  <si>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</si>
  <si>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</si>
  <si>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</si>
  <si>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</si>
  <si>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</si>
  <si>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</si>
  <si>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</si>
  <si>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</si>
  <si>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</si>
  <si>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</si>
  <si>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</si>
  <si>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</si>
  <si>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</si>
  <si>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</si>
  <si>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</si>
  <si>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</si>
  <si>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</si>
  <si>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</si>
  <si>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</si>
  <si>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</si>
  <si>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</si>
  <si>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</si>
  <si>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</si>
  <si>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</si>
  <si>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</si>
  <si>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</si>
  <si>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</si>
  <si>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</si>
  <si>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</si>
  <si>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</si>
  <si>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</si>
  <si>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</si>
  <si>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</si>
  <si>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</si>
  <si>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</si>
  <si>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</si>
  <si>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</si>
  <si>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</si>
  <si>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</si>
  <si>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</si>
  <si>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</si>
  <si>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</si>
  <si>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</si>
  <si>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</si>
  <si>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</si>
  <si>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</si>
  <si>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</si>
  <si>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</si>
  <si>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</si>
  <si>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</si>
  <si>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</si>
  <si>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</si>
  <si>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</si>
  <si>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</si>
  <si>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</si>
  <si>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</si>
  <si>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</si>
  <si>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</si>
  <si>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</si>
  <si>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</si>
  <si>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</si>
  <si>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</si>
  <si>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</si>
  <si>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</si>
  <si>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</si>
  <si>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</si>
  <si>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</si>
  <si>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</si>
  <si>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</si>
  <si>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</si>
  <si>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</si>
  <si>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</si>
  <si>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</si>
  <si>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</si>
  <si>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</si>
  <si>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</si>
  <si>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</si>
  <si>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</si>
  <si>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</si>
  <si>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</si>
  <si>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</si>
  <si>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</si>
  <si>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</si>
  <si>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</si>
  <si>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</si>
  <si>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</si>
  <si>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</si>
  <si>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</si>
  <si>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</si>
  <si>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</si>
  <si>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</si>
  <si>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</si>
  <si>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</si>
  <si>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</si>
  <si>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</si>
  <si>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</si>
  <si>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</si>
  <si>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</si>
  <si>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</si>
  <si>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</si>
  <si>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</si>
  <si>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</si>
  <si>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</si>
  <si>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</si>
  <si>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</si>
  <si>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</si>
  <si>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</si>
  <si>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</si>
  <si>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</si>
  <si>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</si>
  <si>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</si>
  <si>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</si>
  <si>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</si>
  <si>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</si>
  <si>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</si>
  <si>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</si>
  <si>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</si>
  <si>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</si>
  <si>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</si>
  <si>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</si>
  <si>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</si>
  <si>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</si>
  <si>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</si>
  <si>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</si>
  <si>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</si>
  <si>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</si>
  <si>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</si>
  <si>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</si>
  <si>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</si>
  <si>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</si>
  <si>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</si>
  <si>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</si>
  <si>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</si>
  <si>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</si>
  <si>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</si>
  <si>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</si>
  <si>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</si>
  <si>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</si>
  <si>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</si>
  <si>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</si>
  <si>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</si>
  <si>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</si>
  <si>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</si>
  <si>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</si>
  <si>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</si>
  <si>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</si>
  <si>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</si>
  <si>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</si>
  <si>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</si>
  <si>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</si>
  <si>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</si>
  <si>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</si>
  <si>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</si>
  <si>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</si>
  <si>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</si>
  <si>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</si>
  <si>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</si>
  <si>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</si>
  <si>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</si>
  <si>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</si>
  <si>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</si>
  <si>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</si>
  <si>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</si>
  <si>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</si>
  <si>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</si>
  <si>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</si>
  <si>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</si>
  <si>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</si>
  <si>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</si>
  <si>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</si>
  <si>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</si>
  <si>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</si>
  <si>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</si>
  <si>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</si>
  <si>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</si>
  <si>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</si>
  <si>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</si>
  <si>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</si>
  <si>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</si>
  <si>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</si>
  <si>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</si>
  <si>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</si>
  <si>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</si>
  <si>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</si>
  <si>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</si>
  <si>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</si>
  <si>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</si>
  <si>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</si>
  <si>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</si>
  <si>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</si>
  <si>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</si>
  <si>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</si>
  <si>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</si>
  <si>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</si>
  <si>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</si>
  <si>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</si>
  <si>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</si>
  <si>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</si>
  <si>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</si>
  <si>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</si>
  <si>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</si>
  <si>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</si>
  <si>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</si>
  <si>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</si>
  <si>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</si>
  <si>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</si>
  <si>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</si>
  <si>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</si>
  <si>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</si>
  <si>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</si>
  <si>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</si>
  <si>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</si>
  <si>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</si>
  <si>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</si>
  <si>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</si>
  <si>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</si>
  <si>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</si>
  <si>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</si>
  <si>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</si>
  <si>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</si>
  <si>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</si>
  <si>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</si>
  <si>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</si>
  <si>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</si>
  <si>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</si>
  <si>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</si>
  <si>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</si>
  <si>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</si>
  <si>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</si>
  <si>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</si>
  <si>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</si>
  <si>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</si>
  <si>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</si>
  <si>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</si>
  <si>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</si>
  <si>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</si>
  <si>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</si>
  <si>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</si>
  <si>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</si>
  <si>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</si>
  <si>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</si>
  <si>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</si>
  <si>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</si>
  <si>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</si>
  <si>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</si>
  <si>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</si>
  <si>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</si>
  <si>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</si>
  <si>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</si>
  <si>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</si>
  <si>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</si>
  <si>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</si>
  <si>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</si>
  <si>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</si>
  <si>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</si>
  <si>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</si>
  <si>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</si>
  <si>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</si>
  <si>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</si>
  <si>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</si>
  <si>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</si>
  <si>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</si>
  <si>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</si>
  <si>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</si>
  <si>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</si>
  <si>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</si>
  <si>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</si>
  <si>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</si>
  <si>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</si>
  <si>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</si>
  <si>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</si>
  <si>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</si>
  <si>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</si>
  <si>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</si>
  <si>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</si>
  <si>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</si>
  <si>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</si>
  <si>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</si>
  <si>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</si>
  <si>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</si>
  <si>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</si>
  <si>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</si>
  <si>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</si>
  <si>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</si>
  <si>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</si>
  <si>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</si>
  <si>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</si>
  <si>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</si>
  <si>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</si>
  <si>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</si>
  <si>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BEUSSINK HICKAM &amp; KOCHEL PC</t>
  </si>
  <si>
    <t>SCOTT A HICKAM CPA</t>
  </si>
  <si>
    <t>139 W VIENNA ST - PO BOX 556</t>
  </si>
  <si>
    <t>ANNA</t>
  </si>
  <si>
    <t>IL</t>
  </si>
  <si>
    <t>618-833-2721</t>
  </si>
  <si>
    <t>618-833-7077</t>
  </si>
  <si>
    <t>066-005023</t>
  </si>
  <si>
    <t>office@bhcpa1.com</t>
  </si>
  <si>
    <t>JOHNSON</t>
  </si>
  <si>
    <t>164 MAIN ST</t>
  </si>
  <si>
    <t>BUNCOMBE</t>
  </si>
  <si>
    <t>VICKI TRIPP</t>
  </si>
  <si>
    <t>vickitripp@yahoo.com</t>
  </si>
  <si>
    <t>618-658-8830</t>
  </si>
  <si>
    <t>2017 WORKING CASH BONDS</t>
  </si>
  <si>
    <t>None</t>
  </si>
  <si>
    <t>00-0000-000</t>
  </si>
  <si>
    <t>NA</t>
  </si>
  <si>
    <t>x</t>
  </si>
  <si>
    <t>JAMP SPECIAL EDUCATION COOP</t>
  </si>
  <si>
    <t>SPORTS COOP CYPRESS SCHOOL DISTRICT</t>
  </si>
  <si>
    <t>Fund 10, Account 4999: REAP $ 22,808</t>
  </si>
  <si>
    <t>Buncombe Cons SD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</si>
</sst>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4" t="s">
        <v>405</v>
      </c>
      <c r="J1" s="2015"/>
      <c r="K1" s="2015"/>
      <c r="L1" s="2015"/>
      <c r="M1" s="2015"/>
      <c r="N1" s="2015"/>
      <c r="O1" s="2015"/>
      <c r="P1" s="2015"/>
      <c r="Q1" s="2015"/>
      <c r="R1" s="2015"/>
      <c r="S1" s="2015"/>
    </row>
    <row r="2" spans="1:28" ht="12" customHeight="1" x14ac:dyDescent="0.2">
      <c r="A2" s="47" t="s">
        <v>1993</v>
      </c>
      <c r="D2" s="48"/>
      <c r="I2" s="2016" t="s">
        <v>979</v>
      </c>
      <c r="J2" s="2015"/>
      <c r="K2" s="2015"/>
      <c r="L2" s="2015"/>
      <c r="M2" s="2015"/>
      <c r="N2" s="2015"/>
      <c r="O2" s="2015"/>
      <c r="P2" s="2015"/>
      <c r="Q2" s="2015"/>
      <c r="R2" s="2015"/>
      <c r="S2" s="2015"/>
    </row>
    <row r="3" spans="1:28" ht="12" customHeight="1" x14ac:dyDescent="0.2">
      <c r="A3" s="155" t="s">
        <v>1945</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t="s">
        <v>2064</v>
      </c>
      <c r="C5" s="26" t="s">
        <v>910</v>
      </c>
      <c r="D5" s="84"/>
      <c r="E5" s="84"/>
      <c r="H5" s="38"/>
      <c r="I5" s="2023" t="s">
        <v>680</v>
      </c>
      <c r="J5" s="1968"/>
      <c r="K5" s="1968"/>
      <c r="L5" s="1968"/>
      <c r="M5" s="1968"/>
      <c r="N5" s="1968"/>
      <c r="O5" s="1968"/>
      <c r="P5" s="1968"/>
      <c r="Q5" s="1968"/>
      <c r="R5" s="1968"/>
      <c r="S5" s="1968"/>
    </row>
    <row r="6" spans="1:28" ht="14.1" customHeight="1" x14ac:dyDescent="0.2">
      <c r="B6" s="104"/>
      <c r="C6" s="26" t="s">
        <v>911</v>
      </c>
      <c r="D6" s="84"/>
      <c r="E6" s="84"/>
      <c r="I6" s="2022" t="s">
        <v>883</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1964" t="s">
        <v>533</v>
      </c>
      <c r="U9" s="1965"/>
      <c r="V9" s="1965"/>
      <c r="W9" s="1965"/>
      <c r="X9" s="1965"/>
      <c r="Y9" s="1965"/>
      <c r="Z9" s="1965"/>
      <c r="AA9" s="1966"/>
    </row>
    <row r="10" spans="1:28" ht="13.5" customHeight="1" x14ac:dyDescent="0.2">
      <c r="A10" s="1973" t="s">
        <v>675</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955</v>
      </c>
      <c r="B11" s="1977"/>
      <c r="C11" s="1977"/>
      <c r="D11" s="1977"/>
      <c r="E11" s="1977"/>
      <c r="F11" s="1977"/>
      <c r="G11" s="1977"/>
      <c r="H11" s="1978"/>
      <c r="I11" s="27"/>
      <c r="J11" s="74"/>
      <c r="K11" s="27"/>
      <c r="O11" s="148" t="s">
        <v>2064</v>
      </c>
      <c r="P11" s="100" t="s">
        <v>201</v>
      </c>
      <c r="Q11" s="30"/>
      <c r="R11" s="28"/>
      <c r="S11" s="27"/>
      <c r="T11" s="1970"/>
      <c r="U11" s="1971"/>
      <c r="V11" s="1971"/>
      <c r="W11" s="1971"/>
      <c r="X11" s="1971"/>
      <c r="Y11" s="1971"/>
      <c r="Z11" s="1971"/>
      <c r="AA11" s="197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4">
        <v>21044043003</v>
      </c>
      <c r="B13" s="1985"/>
      <c r="C13" s="1985"/>
      <c r="D13" s="1985"/>
      <c r="E13" s="1985"/>
      <c r="F13" s="1985"/>
      <c r="G13" s="1985"/>
      <c r="H13" s="1986"/>
      <c r="I13" s="31"/>
      <c r="J13" s="30"/>
      <c r="K13" s="28"/>
      <c r="L13" s="30"/>
      <c r="M13" s="30"/>
      <c r="N13" s="30"/>
      <c r="O13" s="30"/>
      <c r="P13" s="30"/>
      <c r="Q13" s="30"/>
      <c r="R13" s="30"/>
      <c r="S13" s="30"/>
      <c r="T13" s="1989" t="s">
        <v>2065</v>
      </c>
      <c r="U13" s="1990"/>
      <c r="V13" s="1990"/>
      <c r="W13" s="1990"/>
      <c r="X13" s="1990"/>
      <c r="Y13" s="1991"/>
      <c r="Z13" s="1991"/>
      <c r="AA13" s="199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2" t="s">
        <v>2074</v>
      </c>
      <c r="B15" s="1987"/>
      <c r="C15" s="1987"/>
      <c r="D15" s="1987"/>
      <c r="E15" s="1987"/>
      <c r="F15" s="1987"/>
      <c r="G15" s="1987"/>
      <c r="H15" s="1988"/>
      <c r="T15" s="1950" t="s">
        <v>2066</v>
      </c>
      <c r="U15" s="1951"/>
      <c r="V15" s="1951"/>
      <c r="W15" s="1951"/>
      <c r="X15" s="1951"/>
      <c r="Y15" s="1993"/>
      <c r="Z15" s="1993"/>
      <c r="AA15" s="199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2" t="s">
        <v>2088</v>
      </c>
      <c r="B17" s="2012"/>
      <c r="C17" s="2012"/>
      <c r="D17" s="2012"/>
      <c r="E17" s="2012"/>
      <c r="F17" s="2012"/>
      <c r="G17" s="2012"/>
      <c r="H17" s="2013"/>
      <c r="T17" s="1999" t="s">
        <v>2067</v>
      </c>
      <c r="U17" s="2000"/>
      <c r="V17" s="2000"/>
      <c r="W17" s="2000"/>
      <c r="X17" s="2000"/>
      <c r="Y17" s="2000"/>
      <c r="Z17" s="2000"/>
      <c r="AA17" s="2001"/>
    </row>
    <row r="18" spans="1:27" ht="13.5" customHeight="1" x14ac:dyDescent="0.2">
      <c r="A18" s="85" t="s">
        <v>530</v>
      </c>
      <c r="B18" s="76"/>
      <c r="C18" s="72"/>
      <c r="D18" s="76"/>
      <c r="E18" s="76"/>
      <c r="F18" s="76"/>
      <c r="G18" s="76"/>
      <c r="H18" s="56"/>
      <c r="I18" s="2009" t="s">
        <v>676</v>
      </c>
      <c r="J18" s="2010"/>
      <c r="K18" s="2010"/>
      <c r="L18" s="2010"/>
      <c r="M18" s="2010"/>
      <c r="N18" s="2010"/>
      <c r="O18" s="2010"/>
      <c r="P18" s="2010"/>
      <c r="Q18" s="2010"/>
      <c r="R18" s="2010"/>
      <c r="S18" s="2011"/>
      <c r="T18" s="85" t="s">
        <v>711</v>
      </c>
      <c r="U18" s="51"/>
      <c r="V18" s="72"/>
      <c r="W18" s="50"/>
      <c r="X18" s="85" t="s">
        <v>266</v>
      </c>
      <c r="Y18" s="81"/>
      <c r="Z18" s="159" t="s">
        <v>677</v>
      </c>
      <c r="AA18" s="46"/>
    </row>
    <row r="19" spans="1:27" ht="13.5" customHeight="1" x14ac:dyDescent="0.2">
      <c r="A19" s="1982" t="s">
        <v>2075</v>
      </c>
      <c r="B19" s="1983"/>
      <c r="C19" s="1983"/>
      <c r="D19" s="1983"/>
      <c r="E19" s="1983"/>
      <c r="F19" s="1983"/>
      <c r="G19" s="1983"/>
      <c r="H19" s="1981"/>
      <c r="I19" s="30"/>
      <c r="J19" s="99"/>
      <c r="K19" s="40"/>
      <c r="L19" s="38"/>
      <c r="M19" s="112" t="s">
        <v>315</v>
      </c>
      <c r="P19" s="27"/>
      <c r="Q19" s="27"/>
      <c r="R19" s="27"/>
      <c r="S19" s="31"/>
      <c r="T19" s="1982" t="s">
        <v>2068</v>
      </c>
      <c r="U19" s="1980"/>
      <c r="V19" s="1980"/>
      <c r="W19" s="1981"/>
      <c r="X19" s="1997" t="s">
        <v>2069</v>
      </c>
      <c r="Y19" s="1998"/>
      <c r="Z19" s="1995">
        <v>62906</v>
      </c>
      <c r="AA19" s="199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9" t="s">
        <v>2076</v>
      </c>
      <c r="B21" s="1980"/>
      <c r="C21" s="1980"/>
      <c r="D21" s="1980"/>
      <c r="E21" s="1980"/>
      <c r="F21" s="1980"/>
      <c r="G21" s="1980"/>
      <c r="H21" s="1981"/>
      <c r="I21" s="2005" t="s">
        <v>678</v>
      </c>
      <c r="J21" s="1968"/>
      <c r="K21" s="1968"/>
      <c r="L21" s="1968"/>
      <c r="M21" s="1968"/>
      <c r="N21" s="1968"/>
      <c r="O21" s="1968"/>
      <c r="P21" s="1968"/>
      <c r="Q21" s="1968"/>
      <c r="R21" s="1968"/>
      <c r="S21" s="1969"/>
      <c r="T21" s="1947" t="s">
        <v>2070</v>
      </c>
      <c r="U21" s="1948"/>
      <c r="V21" s="1948"/>
      <c r="W21" s="1948"/>
      <c r="X21" s="1961" t="s">
        <v>2071</v>
      </c>
      <c r="Y21" s="1962"/>
      <c r="Z21" s="1962"/>
      <c r="AA21" s="1963"/>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2"/>
      <c r="B23" s="2003"/>
      <c r="C23" s="2003"/>
      <c r="D23" s="2003"/>
      <c r="E23" s="2003"/>
      <c r="F23" s="2003"/>
      <c r="G23" s="2003"/>
      <c r="H23" s="2004"/>
      <c r="T23" s="1942" t="s">
        <v>2072</v>
      </c>
      <c r="U23" s="1943"/>
      <c r="V23" s="1943"/>
      <c r="W23" s="1943"/>
      <c r="X23" s="1958">
        <v>44530</v>
      </c>
      <c r="Y23" s="1959"/>
      <c r="Z23" s="1959"/>
      <c r="AA23" s="1960"/>
    </row>
    <row r="24" spans="1:27" ht="14.1" customHeight="1" x14ac:dyDescent="0.2">
      <c r="A24" s="88" t="s">
        <v>677</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531</v>
      </c>
      <c r="U24" s="106"/>
      <c r="V24" s="106"/>
      <c r="W24" s="106"/>
      <c r="X24" s="107"/>
      <c r="Y24" s="107"/>
      <c r="Z24" s="107"/>
      <c r="AA24" s="108"/>
    </row>
    <row r="25" spans="1:27" ht="14.1" customHeight="1" x14ac:dyDescent="0.2">
      <c r="A25" s="1979">
        <v>62912</v>
      </c>
      <c r="B25" s="1980"/>
      <c r="C25" s="1980"/>
      <c r="D25" s="1980"/>
      <c r="E25" s="1980"/>
      <c r="F25" s="1980"/>
      <c r="G25" s="1980"/>
      <c r="H25" s="1981"/>
      <c r="I25" s="113"/>
      <c r="J25" s="2046"/>
      <c r="K25" s="2046"/>
      <c r="L25" s="2046"/>
      <c r="M25" s="2046"/>
      <c r="N25" s="2046"/>
      <c r="O25" s="2046"/>
      <c r="P25" s="2046"/>
      <c r="Q25" s="2046"/>
      <c r="R25" s="2046"/>
      <c r="S25" s="2047"/>
      <c r="T25" s="1939" t="s">
        <v>2073</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7" t="s">
        <v>1511</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2" t="s">
        <v>2077</v>
      </c>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531</v>
      </c>
      <c r="B39" s="2036"/>
      <c r="C39" s="72"/>
      <c r="D39" s="69"/>
      <c r="E39" s="69"/>
      <c r="F39" s="79"/>
      <c r="G39" s="69"/>
      <c r="H39" s="56"/>
      <c r="I39" s="2035" t="s">
        <v>531</v>
      </c>
      <c r="J39" s="2036"/>
      <c r="K39" s="2036"/>
      <c r="L39" s="2036"/>
      <c r="M39" s="2036"/>
      <c r="N39" s="67"/>
      <c r="O39" s="72"/>
      <c r="P39" s="72"/>
      <c r="Q39" s="78"/>
      <c r="R39" s="72"/>
      <c r="S39" s="56"/>
      <c r="T39" s="72" t="s">
        <v>531</v>
      </c>
      <c r="U39" s="51"/>
      <c r="V39" s="72"/>
      <c r="W39" s="50"/>
      <c r="X39" s="78"/>
      <c r="Y39" s="45"/>
      <c r="Z39" s="45"/>
      <c r="AA39" s="46"/>
    </row>
    <row r="40" spans="1:27" ht="13.5" customHeight="1" x14ac:dyDescent="0.2">
      <c r="A40" s="2038" t="s">
        <v>2078</v>
      </c>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8" t="s">
        <v>2079</v>
      </c>
      <c r="B42" s="2029"/>
      <c r="C42" s="2030"/>
      <c r="D42" s="2043" t="s">
        <v>2079</v>
      </c>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2" sqref="A1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97196</v>
      </c>
      <c r="C4" s="1524">
        <v>0</v>
      </c>
      <c r="D4" s="1752">
        <f>B4-C4</f>
        <v>97196</v>
      </c>
      <c r="E4" s="1524">
        <v>122539</v>
      </c>
      <c r="F4" s="1752">
        <f>E4-C4</f>
        <v>122539</v>
      </c>
    </row>
    <row r="5" spans="1:6" ht="13.7" customHeight="1" x14ac:dyDescent="0.2">
      <c r="A5" s="715" t="s">
        <v>870</v>
      </c>
      <c r="B5" s="1750">
        <f>'Revenues 9-14'!D5</f>
        <v>27771</v>
      </c>
      <c r="C5" s="585">
        <v>0</v>
      </c>
      <c r="D5" s="1753">
        <f t="shared" ref="D5:D18" si="0">B5-C5</f>
        <v>27771</v>
      </c>
      <c r="E5" s="585">
        <v>35011</v>
      </c>
      <c r="F5" s="1753">
        <f>E5-C5</f>
        <v>35011</v>
      </c>
    </row>
    <row r="6" spans="1:6" ht="13.7" customHeight="1" x14ac:dyDescent="0.2">
      <c r="A6" s="715" t="s">
        <v>411</v>
      </c>
      <c r="B6" s="1750">
        <f>'Revenues 9-14'!E5</f>
        <v>12771</v>
      </c>
      <c r="C6" s="585">
        <v>0</v>
      </c>
      <c r="D6" s="1753">
        <f t="shared" si="0"/>
        <v>12771</v>
      </c>
      <c r="E6" s="585">
        <v>11386</v>
      </c>
      <c r="F6" s="1753">
        <f t="shared" ref="F6:F18" si="1">E6-C6</f>
        <v>11386</v>
      </c>
    </row>
    <row r="7" spans="1:6" ht="13.7" customHeight="1" x14ac:dyDescent="0.2">
      <c r="A7" s="715" t="s">
        <v>155</v>
      </c>
      <c r="B7" s="1750">
        <f>'Revenues 9-14'!F5</f>
        <v>11109</v>
      </c>
      <c r="C7" s="585">
        <v>0</v>
      </c>
      <c r="D7" s="1753">
        <f t="shared" si="0"/>
        <v>11109</v>
      </c>
      <c r="E7" s="585">
        <v>14005</v>
      </c>
      <c r="F7" s="1753">
        <f t="shared" si="1"/>
        <v>14005</v>
      </c>
    </row>
    <row r="8" spans="1:6" ht="13.7" customHeight="1" x14ac:dyDescent="0.2">
      <c r="A8" s="715" t="s">
        <v>1179</v>
      </c>
      <c r="B8" s="1750">
        <f>'Revenues 9-14'!G5</f>
        <v>2004</v>
      </c>
      <c r="C8" s="585">
        <v>0</v>
      </c>
      <c r="D8" s="1753">
        <f t="shared" si="0"/>
        <v>2004</v>
      </c>
      <c r="E8" s="585">
        <v>7002</v>
      </c>
      <c r="F8" s="1753">
        <f t="shared" si="1"/>
        <v>7002</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2777</v>
      </c>
      <c r="C10" s="585">
        <v>0</v>
      </c>
      <c r="D10" s="1753">
        <f t="shared" si="0"/>
        <v>2777</v>
      </c>
      <c r="E10" s="585">
        <v>3502</v>
      </c>
      <c r="F10" s="1753">
        <f t="shared" si="1"/>
        <v>3502</v>
      </c>
    </row>
    <row r="11" spans="1:6" x14ac:dyDescent="0.2">
      <c r="A11" s="715" t="s">
        <v>409</v>
      </c>
      <c r="B11" s="1750">
        <f>'Revenues 9-14'!J5</f>
        <v>45425</v>
      </c>
      <c r="C11" s="585">
        <v>0</v>
      </c>
      <c r="D11" s="1753">
        <f t="shared" si="0"/>
        <v>45425</v>
      </c>
      <c r="E11" s="585">
        <v>45514</v>
      </c>
      <c r="F11" s="1753">
        <f t="shared" si="1"/>
        <v>45514</v>
      </c>
    </row>
    <row r="12" spans="1:6" ht="13.7" customHeight="1" x14ac:dyDescent="0.2">
      <c r="A12" s="715" t="s">
        <v>157</v>
      </c>
      <c r="B12" s="1750">
        <f>'Revenues 9-14'!K5</f>
        <v>2777</v>
      </c>
      <c r="C12" s="585">
        <v>0</v>
      </c>
      <c r="D12" s="1753">
        <f t="shared" si="0"/>
        <v>2777</v>
      </c>
      <c r="E12" s="585">
        <v>3502</v>
      </c>
      <c r="F12" s="1753">
        <f t="shared" si="1"/>
        <v>3502</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1111</v>
      </c>
      <c r="C14" s="585">
        <v>0</v>
      </c>
      <c r="D14" s="1753">
        <f t="shared" si="0"/>
        <v>1111</v>
      </c>
      <c r="E14" s="585">
        <v>1401</v>
      </c>
      <c r="F14" s="1753">
        <f t="shared" si="1"/>
        <v>1401</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2007</v>
      </c>
      <c r="C16" s="585">
        <v>0</v>
      </c>
      <c r="D16" s="1753">
        <f t="shared" si="0"/>
        <v>2007</v>
      </c>
      <c r="E16" s="585">
        <v>7002</v>
      </c>
      <c r="F16" s="1753">
        <f t="shared" si="1"/>
        <v>7002</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204948</v>
      </c>
      <c r="C19" s="1751">
        <f>SUM(C4:C18)</f>
        <v>0</v>
      </c>
      <c r="D19" s="1751">
        <f>SUM(D4:D18)</f>
        <v>204948</v>
      </c>
      <c r="E19" s="1751">
        <f>SUM(E4:E18)</f>
        <v>250864</v>
      </c>
      <c r="F19" s="1751">
        <f>SUM(F4:F18)</f>
        <v>250864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32" sqref="A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629</v>
      </c>
      <c r="B1" s="2188"/>
      <c r="C1" s="721"/>
    </row>
    <row r="2" spans="1:7" ht="33.75" x14ac:dyDescent="0.2">
      <c r="A2" s="2196" t="s">
        <v>1802</v>
      </c>
      <c r="B2" s="2197"/>
      <c r="C2" s="1884" t="s">
        <v>1956</v>
      </c>
      <c r="D2" s="723" t="s">
        <v>1957</v>
      </c>
      <c r="E2" s="723" t="s">
        <v>1958</v>
      </c>
      <c r="F2" s="1884" t="s">
        <v>1959</v>
      </c>
    </row>
    <row r="3" spans="1:7" ht="15.75" customHeight="1" x14ac:dyDescent="0.2">
      <c r="A3" s="2200" t="s">
        <v>1114</v>
      </c>
      <c r="B3" s="2201"/>
      <c r="C3" s="2189"/>
      <c r="D3" s="2190"/>
      <c r="E3" s="2190"/>
      <c r="F3" s="2191"/>
    </row>
    <row r="4" spans="1:7" ht="12.75" customHeight="1" thickBot="1" x14ac:dyDescent="0.25">
      <c r="A4" s="2198" t="s">
        <v>630</v>
      </c>
      <c r="B4" s="2199"/>
      <c r="C4" s="581">
        <v>0</v>
      </c>
      <c r="D4" s="581">
        <v>0</v>
      </c>
      <c r="E4" s="581">
        <v>0</v>
      </c>
      <c r="F4" s="1755">
        <f>SUM(C4+D4)-E4</f>
        <v>0</v>
      </c>
    </row>
    <row r="5" spans="1:7" ht="15.75" customHeight="1" thickTop="1" x14ac:dyDescent="0.2">
      <c r="A5" s="2183" t="s">
        <v>1110</v>
      </c>
      <c r="B5" s="2184"/>
      <c r="C5" s="2192"/>
      <c r="D5" s="2193"/>
      <c r="E5" s="2193"/>
      <c r="F5" s="2194"/>
    </row>
    <row r="6" spans="1:7" ht="12.75" customHeight="1" thickBot="1" x14ac:dyDescent="0.25">
      <c r="A6" s="724" t="s">
        <v>64</v>
      </c>
      <c r="B6" s="725"/>
      <c r="C6" s="726">
        <v>0</v>
      </c>
      <c r="D6" s="585">
        <v>0</v>
      </c>
      <c r="E6" s="726">
        <v>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508</v>
      </c>
      <c r="B8" s="725"/>
      <c r="C8" s="726">
        <v>0</v>
      </c>
      <c r="D8" s="585">
        <v>0</v>
      </c>
      <c r="E8" s="726">
        <v>0</v>
      </c>
      <c r="F8" s="1755">
        <f t="shared" si="0"/>
        <v>0</v>
      </c>
    </row>
    <row r="9" spans="1:7" ht="12.75" customHeight="1" thickTop="1" thickBot="1" x14ac:dyDescent="0.25">
      <c r="A9" s="724" t="s">
        <v>509</v>
      </c>
      <c r="B9" s="725"/>
      <c r="C9" s="726">
        <v>0</v>
      </c>
      <c r="D9" s="585">
        <v>0</v>
      </c>
      <c r="E9" s="726">
        <v>0</v>
      </c>
      <c r="F9" s="1755">
        <f t="shared" si="0"/>
        <v>0</v>
      </c>
    </row>
    <row r="10" spans="1:7" ht="12.75" customHeight="1" thickTop="1" thickBot="1" x14ac:dyDescent="0.25">
      <c r="A10" s="724" t="s">
        <v>510</v>
      </c>
      <c r="B10" s="725"/>
      <c r="C10" s="726">
        <v>0</v>
      </c>
      <c r="D10" s="585">
        <v>0</v>
      </c>
      <c r="E10" s="726">
        <v>0</v>
      </c>
      <c r="F10" s="1755">
        <f t="shared" si="0"/>
        <v>0</v>
      </c>
    </row>
    <row r="11" spans="1:7" ht="12.75" customHeight="1" thickTop="1" thickBot="1" x14ac:dyDescent="0.25">
      <c r="A11" s="724" t="s">
        <v>341</v>
      </c>
      <c r="B11" s="725"/>
      <c r="C11" s="726">
        <v>0</v>
      </c>
      <c r="D11" s="585">
        <v>0</v>
      </c>
      <c r="E11" s="726">
        <v>0</v>
      </c>
      <c r="F11" s="1755">
        <f t="shared" si="0"/>
        <v>0</v>
      </c>
    </row>
    <row r="12" spans="1:7" ht="12.75" customHeight="1" thickTop="1" thickBot="1" x14ac:dyDescent="0.25">
      <c r="A12" s="724" t="s">
        <v>1157</v>
      </c>
      <c r="B12" s="725"/>
      <c r="C12" s="726">
        <v>0</v>
      </c>
      <c r="D12" s="585">
        <v>0</v>
      </c>
      <c r="E12" s="726">
        <v>0</v>
      </c>
      <c r="F12" s="1755">
        <f t="shared" si="0"/>
        <v>0</v>
      </c>
    </row>
    <row r="13" spans="1:7" ht="12.75" customHeight="1" thickTop="1" thickBot="1" x14ac:dyDescent="0.25">
      <c r="A13" s="724" t="s">
        <v>388</v>
      </c>
      <c r="B13" s="725"/>
      <c r="C13" s="726">
        <v>0</v>
      </c>
      <c r="D13" s="585">
        <v>0</v>
      </c>
      <c r="E13" s="726">
        <v>0</v>
      </c>
      <c r="F13" s="1755">
        <f t="shared" si="0"/>
        <v>0</v>
      </c>
    </row>
    <row r="14" spans="1:7" ht="12.75" customHeight="1" thickTop="1" thickBot="1" x14ac:dyDescent="0.25">
      <c r="A14" s="724" t="s">
        <v>448</v>
      </c>
      <c r="B14" s="725"/>
      <c r="C14" s="726">
        <v>0</v>
      </c>
      <c r="D14" s="585">
        <v>0</v>
      </c>
      <c r="E14" s="726">
        <v>0</v>
      </c>
      <c r="F14" s="1755">
        <f t="shared" si="0"/>
        <v>0</v>
      </c>
    </row>
    <row r="15" spans="1:7" ht="14.25" thickTop="1" thickBot="1" x14ac:dyDescent="0.25">
      <c r="A15" s="2185" t="s">
        <v>631</v>
      </c>
      <c r="B15" s="2186"/>
      <c r="C15" s="1755">
        <f>SUM(C6:C14)</f>
        <v>0</v>
      </c>
      <c r="D15" s="1755">
        <f>SUM(D6:D14)</f>
        <v>0</v>
      </c>
      <c r="E15" s="1755">
        <f>SUM(E6:E14)</f>
        <v>0</v>
      </c>
      <c r="F15" s="1755">
        <f>SUM(F6:F14)</f>
        <v>0</v>
      </c>
      <c r="G15" s="552"/>
    </row>
    <row r="16" spans="1:7" s="202" customFormat="1" ht="15.75" customHeight="1" thickTop="1" x14ac:dyDescent="0.2">
      <c r="A16" s="2195" t="s">
        <v>1111</v>
      </c>
      <c r="B16" s="2184"/>
      <c r="C16" s="2192"/>
      <c r="D16" s="2193"/>
      <c r="E16" s="2193"/>
      <c r="F16" s="2194"/>
    </row>
    <row r="17" spans="1:11" ht="12.75" customHeight="1" thickBot="1" x14ac:dyDescent="0.25">
      <c r="A17" s="2208" t="s">
        <v>64</v>
      </c>
      <c r="B17" s="2209"/>
      <c r="C17" s="726">
        <v>0</v>
      </c>
      <c r="D17" s="585">
        <v>0</v>
      </c>
      <c r="E17" s="726">
        <v>0</v>
      </c>
      <c r="F17" s="1755">
        <f>SUM(C17+D17)-E17</f>
        <v>0</v>
      </c>
    </row>
    <row r="18" spans="1:11" ht="12.75" customHeight="1" thickTop="1" thickBot="1" x14ac:dyDescent="0.25">
      <c r="A18" s="2208" t="s">
        <v>6</v>
      </c>
      <c r="B18" s="2209"/>
      <c r="C18" s="726">
        <v>0</v>
      </c>
      <c r="D18" s="585">
        <v>0</v>
      </c>
      <c r="E18" s="726">
        <v>0</v>
      </c>
      <c r="F18" s="1755">
        <f>SUM(C18+D18)-E18</f>
        <v>0</v>
      </c>
    </row>
    <row r="19" spans="1:11" ht="12.75" customHeight="1" thickTop="1" thickBot="1" x14ac:dyDescent="0.25">
      <c r="A19" s="2208" t="s">
        <v>388</v>
      </c>
      <c r="B19" s="2209"/>
      <c r="C19" s="726">
        <v>0</v>
      </c>
      <c r="D19" s="585">
        <v>0</v>
      </c>
      <c r="E19" s="726">
        <v>0</v>
      </c>
      <c r="F19" s="1755">
        <f>SUM(C19+D19)-E19</f>
        <v>0</v>
      </c>
    </row>
    <row r="20" spans="1:11" ht="12.75" customHeight="1" thickTop="1" thickBot="1" x14ac:dyDescent="0.25">
      <c r="A20" s="2208" t="s">
        <v>448</v>
      </c>
      <c r="B20" s="2209"/>
      <c r="C20" s="726">
        <v>0</v>
      </c>
      <c r="D20" s="585">
        <v>0</v>
      </c>
      <c r="E20" s="726">
        <v>0</v>
      </c>
      <c r="F20" s="1755">
        <f>SUM(C20+D20)-E20</f>
        <v>0</v>
      </c>
    </row>
    <row r="21" spans="1:11" ht="14.25" thickTop="1" thickBot="1" x14ac:dyDescent="0.25">
      <c r="A21" s="2185" t="s">
        <v>632</v>
      </c>
      <c r="B21" s="2186"/>
      <c r="C21" s="1755">
        <f>SUM(C17:C20)</f>
        <v>0</v>
      </c>
      <c r="D21" s="1755">
        <f>SUM(D17:D20)</f>
        <v>0</v>
      </c>
      <c r="E21" s="1755">
        <f>SUM(E17:E20)</f>
        <v>0</v>
      </c>
      <c r="F21" s="1755">
        <f>SUM(F17:F20)</f>
        <v>0</v>
      </c>
      <c r="G21" s="552"/>
    </row>
    <row r="22" spans="1:11" ht="15.75" customHeight="1" thickTop="1" x14ac:dyDescent="0.2">
      <c r="A22" s="2210" t="s">
        <v>1112</v>
      </c>
      <c r="B22" s="2184"/>
      <c r="C22" s="2192"/>
      <c r="D22" s="2193"/>
      <c r="E22" s="2193"/>
      <c r="F22" s="2194"/>
    </row>
    <row r="23" spans="1:11" ht="13.5" thickBot="1" x14ac:dyDescent="0.25">
      <c r="A23" s="2198" t="s">
        <v>633</v>
      </c>
      <c r="B23" s="2199"/>
      <c r="C23" s="581">
        <v>0</v>
      </c>
      <c r="D23" s="581">
        <v>0</v>
      </c>
      <c r="E23" s="581">
        <v>0</v>
      </c>
      <c r="F23" s="1755">
        <f>SUM(C23+D23)-E23</f>
        <v>0</v>
      </c>
      <c r="G23" s="552"/>
    </row>
    <row r="24" spans="1:11" ht="15.75" customHeight="1" thickTop="1" x14ac:dyDescent="0.2">
      <c r="A24" s="2210" t="s">
        <v>1113</v>
      </c>
      <c r="B24" s="2184"/>
      <c r="C24" s="2192"/>
      <c r="D24" s="2193"/>
      <c r="E24" s="2193"/>
      <c r="F24" s="2194"/>
    </row>
    <row r="25" spans="1:11" ht="13.5" thickBot="1" x14ac:dyDescent="0.25">
      <c r="A25" s="2198" t="s">
        <v>634</v>
      </c>
      <c r="B25" s="2199"/>
      <c r="C25" s="581">
        <v>0</v>
      </c>
      <c r="D25" s="581">
        <v>0</v>
      </c>
      <c r="E25" s="581">
        <v>0</v>
      </c>
      <c r="F25" s="1755">
        <f>SUM(C25+D25)-E25</f>
        <v>0</v>
      </c>
      <c r="G25" s="552"/>
    </row>
    <row r="26" spans="1:11" ht="15.75" customHeight="1" thickTop="1" x14ac:dyDescent="0.2">
      <c r="A26" s="2183" t="s">
        <v>657</v>
      </c>
      <c r="B26" s="2184"/>
      <c r="C26" s="727"/>
      <c r="D26" s="727"/>
      <c r="E26" s="727"/>
      <c r="F26" s="728"/>
    </row>
    <row r="27" spans="1:11" ht="13.5" thickBot="1" x14ac:dyDescent="0.25">
      <c r="A27" s="2185" t="s">
        <v>1070</v>
      </c>
      <c r="B27" s="2186"/>
      <c r="C27" s="585">
        <v>0</v>
      </c>
      <c r="D27" s="585">
        <v>0</v>
      </c>
      <c r="E27" s="585">
        <v>0</v>
      </c>
      <c r="F27" s="1755">
        <f>SUM(C27+D27)-E27</f>
        <v>0</v>
      </c>
      <c r="G27" s="552"/>
    </row>
    <row r="28" spans="1:11" ht="7.5" customHeight="1" thickTop="1" x14ac:dyDescent="0.2">
      <c r="A28" s="593"/>
    </row>
    <row r="29" spans="1:11" ht="23.25" customHeight="1" x14ac:dyDescent="0.2">
      <c r="A29" s="2211" t="s">
        <v>582</v>
      </c>
      <c r="B29" s="2188"/>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2080</v>
      </c>
      <c r="B31" s="733">
        <v>42935</v>
      </c>
      <c r="C31" s="734">
        <v>85000</v>
      </c>
      <c r="D31" s="735">
        <v>1</v>
      </c>
      <c r="E31" s="734">
        <v>85000</v>
      </c>
      <c r="F31" s="734"/>
      <c r="G31" s="734"/>
      <c r="H31" s="734">
        <v>4000</v>
      </c>
      <c r="I31" s="1756">
        <f>((E31+F31)-H31)+G31</f>
        <v>81000</v>
      </c>
      <c r="J31" s="734">
        <f>81000-641</f>
        <v>80359</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85000</v>
      </c>
      <c r="D49" s="745"/>
      <c r="E49" s="1756">
        <f t="shared" ref="E49:J49" si="2">SUM(E31:E48)</f>
        <v>85000</v>
      </c>
      <c r="F49" s="1756">
        <f t="shared" si="2"/>
        <v>0</v>
      </c>
      <c r="G49" s="1756">
        <f t="shared" si="2"/>
        <v>0</v>
      </c>
      <c r="H49" s="1756">
        <f t="shared" si="2"/>
        <v>4000</v>
      </c>
      <c r="I49" s="1756">
        <f t="shared" si="2"/>
        <v>81000</v>
      </c>
      <c r="J49" s="1756">
        <f t="shared" si="2"/>
        <v>80359</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2" t="s">
        <v>584</v>
      </c>
      <c r="C52" s="2203"/>
      <c r="D52" s="2203"/>
      <c r="E52" s="749" t="s">
        <v>845</v>
      </c>
      <c r="F52" s="2204"/>
      <c r="G52" s="2205"/>
      <c r="H52" s="736"/>
      <c r="I52" s="736"/>
      <c r="J52" s="746"/>
    </row>
    <row r="53" spans="1:11" ht="11.25" customHeight="1" x14ac:dyDescent="0.2">
      <c r="A53" s="750" t="s">
        <v>913</v>
      </c>
      <c r="B53" s="751" t="s">
        <v>951</v>
      </c>
      <c r="C53" s="746"/>
      <c r="D53" s="737"/>
      <c r="E53" s="749" t="s">
        <v>497</v>
      </c>
      <c r="F53" s="2206"/>
      <c r="G53" s="2207"/>
      <c r="H53" s="736"/>
      <c r="I53" s="736"/>
      <c r="J53" s="746"/>
    </row>
    <row r="54" spans="1:11" ht="11.25" customHeight="1" x14ac:dyDescent="0.2">
      <c r="A54" s="752" t="s">
        <v>914</v>
      </c>
      <c r="B54" s="747" t="s">
        <v>952</v>
      </c>
      <c r="C54" s="746"/>
      <c r="D54" s="737"/>
      <c r="E54" s="749" t="s">
        <v>498</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4" sqref="A14:E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30"/>
      <c r="I1" s="760"/>
      <c r="J1" s="433"/>
    </row>
    <row r="2" spans="1:11" ht="26.25" x14ac:dyDescent="0.2">
      <c r="A2" s="2215" t="s">
        <v>1677</v>
      </c>
      <c r="B2" s="2216"/>
      <c r="C2" s="2216"/>
      <c r="D2" s="2216"/>
      <c r="E2" s="2217"/>
      <c r="F2" s="761" t="s">
        <v>904</v>
      </c>
      <c r="G2" s="762" t="s">
        <v>1674</v>
      </c>
      <c r="H2" s="762" t="s">
        <v>410</v>
      </c>
      <c r="I2" s="762" t="s">
        <v>1158</v>
      </c>
      <c r="J2" s="762" t="s">
        <v>1812</v>
      </c>
      <c r="K2" s="762" t="s">
        <v>138</v>
      </c>
    </row>
    <row r="3" spans="1:11" x14ac:dyDescent="0.2">
      <c r="A3" s="2218" t="s">
        <v>1964</v>
      </c>
      <c r="B3" s="2219"/>
      <c r="C3" s="2219"/>
      <c r="D3" s="2219"/>
      <c r="E3" s="2220"/>
      <c r="F3" s="763"/>
      <c r="G3" s="764">
        <v>0</v>
      </c>
      <c r="H3" s="764">
        <v>0</v>
      </c>
      <c r="I3" s="764">
        <v>0</v>
      </c>
      <c r="J3" s="765">
        <v>0</v>
      </c>
      <c r="K3" s="765">
        <v>0</v>
      </c>
    </row>
    <row r="4" spans="1:11" x14ac:dyDescent="0.2">
      <c r="A4" s="2221" t="s">
        <v>369</v>
      </c>
      <c r="B4" s="2222"/>
      <c r="C4" s="2222"/>
      <c r="D4" s="2222"/>
      <c r="E4" s="2203"/>
      <c r="F4" s="766"/>
      <c r="G4" s="767"/>
      <c r="H4" s="768"/>
      <c r="I4" s="767"/>
      <c r="J4" s="769"/>
      <c r="K4" s="769"/>
    </row>
    <row r="5" spans="1:11" x14ac:dyDescent="0.2">
      <c r="A5" s="2239" t="s">
        <v>1069</v>
      </c>
      <c r="B5" s="2212"/>
      <c r="C5" s="2212"/>
      <c r="D5" s="2212"/>
      <c r="E5" s="2240"/>
      <c r="F5" s="770" t="s">
        <v>848</v>
      </c>
      <c r="G5" s="771"/>
      <c r="H5" s="764">
        <v>1111</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0</v>
      </c>
      <c r="K8" s="769"/>
    </row>
    <row r="9" spans="1:11" x14ac:dyDescent="0.2">
      <c r="A9" s="778" t="s">
        <v>138</v>
      </c>
      <c r="B9" s="779"/>
      <c r="C9" s="779"/>
      <c r="D9" s="779"/>
      <c r="E9" s="780"/>
      <c r="F9" s="777" t="s">
        <v>853</v>
      </c>
      <c r="G9" s="782"/>
      <c r="H9" s="771"/>
      <c r="I9" s="771"/>
      <c r="J9" s="781"/>
      <c r="K9" s="765">
        <v>0</v>
      </c>
    </row>
    <row r="10" spans="1:11" x14ac:dyDescent="0.2">
      <c r="A10" s="2239" t="s">
        <v>1813</v>
      </c>
      <c r="B10" s="2212"/>
      <c r="C10" s="2212"/>
      <c r="D10" s="2212"/>
      <c r="E10" s="2241"/>
      <c r="F10" s="783" t="s">
        <v>862</v>
      </c>
      <c r="G10" s="782"/>
      <c r="H10" s="784">
        <v>0</v>
      </c>
      <c r="I10" s="764">
        <v>0</v>
      </c>
      <c r="J10" s="765">
        <v>0</v>
      </c>
      <c r="K10" s="765">
        <v>0</v>
      </c>
    </row>
    <row r="11" spans="1:11" x14ac:dyDescent="0.2">
      <c r="A11" s="2239" t="s">
        <v>160</v>
      </c>
      <c r="B11" s="2212"/>
      <c r="C11" s="2212"/>
      <c r="D11" s="2212"/>
      <c r="E11" s="2240"/>
      <c r="F11" s="770" t="s">
        <v>852</v>
      </c>
      <c r="G11" s="771"/>
      <c r="H11" s="764">
        <v>0</v>
      </c>
      <c r="I11" s="764">
        <v>0</v>
      </c>
      <c r="J11" s="765">
        <v>0</v>
      </c>
      <c r="K11" s="773"/>
    </row>
    <row r="12" spans="1:11" ht="13.5" thickBot="1" x14ac:dyDescent="0.25">
      <c r="A12" s="2229" t="s">
        <v>905</v>
      </c>
      <c r="B12" s="2230"/>
      <c r="C12" s="2230"/>
      <c r="D12" s="2230"/>
      <c r="E12" s="2231"/>
      <c r="F12" s="1757"/>
      <c r="G12" s="1758">
        <f>SUM(G5:G11)</f>
        <v>0</v>
      </c>
      <c r="H12" s="1758">
        <f>SUM(H5:H11)</f>
        <v>1111</v>
      </c>
      <c r="I12" s="1758">
        <f>SUM(I5:I11)</f>
        <v>0</v>
      </c>
      <c r="J12" s="1758">
        <f>SUM(J5:J11)</f>
        <v>0</v>
      </c>
      <c r="K12" s="1758">
        <f>SUM(K5:K11)</f>
        <v>0</v>
      </c>
    </row>
    <row r="13" spans="1:11" ht="13.5" thickTop="1" x14ac:dyDescent="0.2">
      <c r="A13" s="2223" t="s">
        <v>370</v>
      </c>
      <c r="B13" s="2224"/>
      <c r="C13" s="2224"/>
      <c r="D13" s="2224"/>
      <c r="E13" s="2225"/>
      <c r="F13" s="785"/>
      <c r="G13" s="786"/>
      <c r="H13" s="787"/>
      <c r="I13" s="788"/>
      <c r="J13" s="788"/>
      <c r="K13" s="788"/>
    </row>
    <row r="14" spans="1:11" x14ac:dyDescent="0.2">
      <c r="A14" s="2245" t="s">
        <v>456</v>
      </c>
      <c r="B14" s="2245"/>
      <c r="C14" s="2245"/>
      <c r="D14" s="2245"/>
      <c r="E14" s="2246"/>
      <c r="F14" s="789" t="s">
        <v>854</v>
      </c>
      <c r="G14" s="782"/>
      <c r="H14" s="764">
        <v>1111</v>
      </c>
      <c r="I14" s="771"/>
      <c r="J14" s="773"/>
      <c r="K14" s="765">
        <v>0</v>
      </c>
    </row>
    <row r="15" spans="1:11" x14ac:dyDescent="0.2">
      <c r="A15" s="2212" t="s">
        <v>4</v>
      </c>
      <c r="B15" s="2212"/>
      <c r="C15" s="2212"/>
      <c r="D15" s="2212"/>
      <c r="E15" s="2240"/>
      <c r="F15" s="789" t="s">
        <v>855</v>
      </c>
      <c r="G15" s="771"/>
      <c r="H15" s="764">
        <v>0</v>
      </c>
      <c r="I15" s="764">
        <v>0</v>
      </c>
      <c r="J15" s="765">
        <v>0</v>
      </c>
      <c r="K15" s="765">
        <v>0</v>
      </c>
    </row>
    <row r="16" spans="1:11" x14ac:dyDescent="0.2">
      <c r="A16" s="2212" t="s">
        <v>298</v>
      </c>
      <c r="B16" s="2212"/>
      <c r="C16" s="2212"/>
      <c r="D16" s="2212"/>
      <c r="E16" s="2240"/>
      <c r="F16" s="789" t="s">
        <v>923</v>
      </c>
      <c r="G16" s="772">
        <v>0</v>
      </c>
      <c r="H16" s="767"/>
      <c r="I16" s="767"/>
      <c r="J16" s="769"/>
      <c r="K16" s="769"/>
    </row>
    <row r="17" spans="1:11" x14ac:dyDescent="0.2">
      <c r="A17" s="2234" t="s">
        <v>935</v>
      </c>
      <c r="B17" s="2234"/>
      <c r="C17" s="2234"/>
      <c r="D17" s="2234"/>
      <c r="E17" s="2235"/>
      <c r="F17" s="790"/>
      <c r="G17" s="791"/>
      <c r="H17" s="792"/>
      <c r="I17" s="792"/>
      <c r="J17" s="793"/>
      <c r="K17" s="794"/>
    </row>
    <row r="18" spans="1:11" x14ac:dyDescent="0.2">
      <c r="A18" s="2226" t="s">
        <v>368</v>
      </c>
      <c r="B18" s="2227"/>
      <c r="C18" s="2227"/>
      <c r="D18" s="2227"/>
      <c r="E18" s="2228"/>
      <c r="F18" s="789" t="s">
        <v>932</v>
      </c>
      <c r="G18" s="782"/>
      <c r="H18" s="782"/>
      <c r="I18" s="782"/>
      <c r="J18" s="765">
        <v>0</v>
      </c>
      <c r="K18" s="795"/>
    </row>
    <row r="19" spans="1:11" ht="21.75" customHeight="1" x14ac:dyDescent="0.2">
      <c r="A19" s="2247" t="s">
        <v>1809</v>
      </c>
      <c r="B19" s="2247"/>
      <c r="C19" s="2247"/>
      <c r="D19" s="2247"/>
      <c r="E19" s="2248"/>
      <c r="F19" s="789" t="s">
        <v>933</v>
      </c>
      <c r="G19" s="782"/>
      <c r="H19" s="782"/>
      <c r="I19" s="782"/>
      <c r="J19" s="765">
        <v>0</v>
      </c>
      <c r="K19" s="795"/>
    </row>
    <row r="20" spans="1:11" x14ac:dyDescent="0.2">
      <c r="A20" s="2226" t="s">
        <v>1814</v>
      </c>
      <c r="B20" s="2227"/>
      <c r="C20" s="2227"/>
      <c r="D20" s="2227"/>
      <c r="E20" s="2228"/>
      <c r="F20" s="789" t="s">
        <v>934</v>
      </c>
      <c r="G20" s="782"/>
      <c r="H20" s="782"/>
      <c r="I20" s="782"/>
      <c r="J20" s="765">
        <v>0</v>
      </c>
      <c r="K20" s="795"/>
    </row>
    <row r="21" spans="1:11" ht="13.5" thickBot="1" x14ac:dyDescent="0.25">
      <c r="A21" s="2232" t="s">
        <v>638</v>
      </c>
      <c r="B21" s="2232"/>
      <c r="C21" s="2232"/>
      <c r="D21" s="2232"/>
      <c r="E21" s="2232"/>
      <c r="F21" s="1759"/>
      <c r="G21" s="792"/>
      <c r="H21" s="796"/>
      <c r="I21" s="796"/>
      <c r="J21" s="1760">
        <f>SUM(J18:J20)</f>
        <v>0</v>
      </c>
      <c r="K21" s="793"/>
    </row>
    <row r="22" spans="1:11" ht="13.5" thickTop="1" x14ac:dyDescent="0.2">
      <c r="A22" s="2212" t="s">
        <v>1815</v>
      </c>
      <c r="B22" s="2212"/>
      <c r="C22" s="2212"/>
      <c r="D22" s="2212"/>
      <c r="E22" s="2240"/>
      <c r="F22" s="789" t="s">
        <v>862</v>
      </c>
      <c r="G22" s="782"/>
      <c r="H22" s="764">
        <v>0</v>
      </c>
      <c r="I22" s="764">
        <v>0</v>
      </c>
      <c r="J22" s="797">
        <v>0</v>
      </c>
      <c r="K22" s="765">
        <v>0</v>
      </c>
    </row>
    <row r="23" spans="1:11" ht="13.5" thickBot="1" x14ac:dyDescent="0.25">
      <c r="A23" s="2233" t="s">
        <v>906</v>
      </c>
      <c r="B23" s="2232"/>
      <c r="C23" s="2232"/>
      <c r="D23" s="2232"/>
      <c r="E23" s="2232"/>
      <c r="F23" s="1761"/>
      <c r="G23" s="1758">
        <f>SUM(G14:G16,G21,G22)</f>
        <v>0</v>
      </c>
      <c r="H23" s="1758">
        <f>SUM(H14:H16,H21,H22)</f>
        <v>1111</v>
      </c>
      <c r="I23" s="1758">
        <f>SUM(I14:I16,I21,I22)</f>
        <v>0</v>
      </c>
      <c r="J23" s="1758">
        <f>SUM(J14:J16,J21,J22)</f>
        <v>0</v>
      </c>
      <c r="K23" s="1758">
        <f>SUM(K14:K16,K21,K22)</f>
        <v>0</v>
      </c>
    </row>
    <row r="24" spans="1:11" ht="14.25" thickTop="1" thickBot="1" x14ac:dyDescent="0.25">
      <c r="A24" s="2233" t="s">
        <v>1965</v>
      </c>
      <c r="B24" s="2232"/>
      <c r="C24" s="2232"/>
      <c r="D24" s="2232"/>
      <c r="E24" s="223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v>0</v>
      </c>
      <c r="H31" s="2242"/>
      <c r="I31" s="2243"/>
      <c r="J31" s="2243"/>
      <c r="K31" s="2243"/>
    </row>
    <row r="32" spans="1:11" x14ac:dyDescent="0.2">
      <c r="A32" s="809"/>
      <c r="B32" s="237"/>
      <c r="C32" s="237"/>
      <c r="D32" s="237"/>
      <c r="E32" s="805"/>
      <c r="F32" s="811" t="s">
        <v>540</v>
      </c>
      <c r="G32" s="764">
        <v>0</v>
      </c>
      <c r="H32" s="2244"/>
      <c r="I32" s="2243"/>
      <c r="J32" s="2243"/>
      <c r="K32" s="2243"/>
    </row>
    <row r="33" spans="1:11" ht="1.5" customHeight="1" x14ac:dyDescent="0.2">
      <c r="A33" s="812" t="s">
        <v>1169</v>
      </c>
      <c r="B33" s="364"/>
      <c r="C33" s="364"/>
      <c r="D33" s="364"/>
      <c r="E33" s="364"/>
      <c r="F33" s="364"/>
      <c r="G33" s="813"/>
      <c r="H33" s="2244"/>
      <c r="I33" s="2243"/>
      <c r="J33" s="2243"/>
      <c r="K33" s="224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12" t="s">
        <v>541</v>
      </c>
      <c r="B41" s="2213"/>
      <c r="C41" s="2213"/>
      <c r="D41" s="2213"/>
      <c r="E41" s="2213"/>
      <c r="F41" s="2214"/>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I15" sqref="I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3000</v>
      </c>
      <c r="D5" s="841">
        <v>0</v>
      </c>
      <c r="E5" s="841">
        <v>0</v>
      </c>
      <c r="F5" s="1760">
        <f>(C5+D5)-E5</f>
        <v>3000</v>
      </c>
      <c r="G5" s="837"/>
      <c r="H5" s="842"/>
      <c r="I5" s="842"/>
      <c r="J5" s="842"/>
      <c r="K5" s="793"/>
      <c r="L5" s="1769">
        <f>F5-K5</f>
        <v>3000</v>
      </c>
    </row>
    <row r="6" spans="1:14" ht="14.25" thickTop="1" thickBot="1" x14ac:dyDescent="0.25">
      <c r="A6" s="778" t="s">
        <v>1117</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662418</v>
      </c>
      <c r="D8" s="844">
        <v>25731</v>
      </c>
      <c r="E8" s="844">
        <v>0</v>
      </c>
      <c r="F8" s="1760">
        <f>(C8+D8)-E8</f>
        <v>688149</v>
      </c>
      <c r="G8" s="843">
        <v>50</v>
      </c>
      <c r="H8" s="765">
        <v>321635</v>
      </c>
      <c r="I8" s="765">
        <v>14535</v>
      </c>
      <c r="J8" s="765">
        <v>0</v>
      </c>
      <c r="K8" s="1769">
        <f>(H8+I8)-J8</f>
        <v>336170</v>
      </c>
      <c r="L8" s="1769">
        <f>F8-K8</f>
        <v>351979</v>
      </c>
    </row>
    <row r="9" spans="1:14" ht="14.25" thickTop="1" thickBot="1" x14ac:dyDescent="0.25">
      <c r="A9" s="778" t="s">
        <v>1119</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1120</v>
      </c>
      <c r="B10" s="840">
        <v>240</v>
      </c>
      <c r="C10" s="846">
        <v>35259</v>
      </c>
      <c r="D10" s="846">
        <v>0</v>
      </c>
      <c r="E10" s="846">
        <v>0</v>
      </c>
      <c r="F10" s="1764">
        <f>(C10+D10)-E10</f>
        <v>35259</v>
      </c>
      <c r="G10" s="843">
        <v>20</v>
      </c>
      <c r="H10" s="847">
        <v>13514</v>
      </c>
      <c r="I10" s="847">
        <v>1450</v>
      </c>
      <c r="J10" s="847">
        <v>0</v>
      </c>
      <c r="K10" s="1769">
        <f>(H10+I10)-J10</f>
        <v>14964</v>
      </c>
      <c r="L10" s="1769">
        <f>F10-K10</f>
        <v>20295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205322</v>
      </c>
      <c r="D12" s="844">
        <v>12025</v>
      </c>
      <c r="E12" s="844">
        <v>0</v>
      </c>
      <c r="F12" s="1760">
        <f>(C12+D12)-E12</f>
        <v>217347</v>
      </c>
      <c r="G12" s="843">
        <v>10</v>
      </c>
      <c r="H12" s="765">
        <v>173820</v>
      </c>
      <c r="I12" s="765">
        <v>8586</v>
      </c>
      <c r="J12" s="765">
        <v>0</v>
      </c>
      <c r="K12" s="1769">
        <f>(H12+I12)-J12</f>
        <v>182406</v>
      </c>
      <c r="L12" s="1769">
        <f>F12-K12</f>
        <v>34941</v>
      </c>
    </row>
    <row r="13" spans="1:14" ht="14.25" thickTop="1" thickBot="1" x14ac:dyDescent="0.25">
      <c r="A13" s="848" t="s">
        <v>1122</v>
      </c>
      <c r="B13" s="840">
        <v>252</v>
      </c>
      <c r="C13" s="844">
        <v>79887</v>
      </c>
      <c r="D13" s="844">
        <v>0</v>
      </c>
      <c r="E13" s="844">
        <v>0</v>
      </c>
      <c r="F13" s="1760">
        <f>(C13+D13)-E13</f>
        <v>79887</v>
      </c>
      <c r="G13" s="843">
        <v>5</v>
      </c>
      <c r="H13" s="765">
        <v>76687</v>
      </c>
      <c r="I13" s="765">
        <v>3200</v>
      </c>
      <c r="J13" s="765">
        <v>0</v>
      </c>
      <c r="K13" s="1769">
        <f>(H13+I13)-J13</f>
        <v>79887</v>
      </c>
      <c r="L13" s="1769">
        <f>F13-K13</f>
        <v>0</v>
      </c>
    </row>
    <row r="14" spans="1:14" ht="14.25" thickTop="1" thickBot="1" x14ac:dyDescent="0.25">
      <c r="A14" s="848" t="s">
        <v>1123</v>
      </c>
      <c r="B14" s="840">
        <v>253</v>
      </c>
      <c r="C14" s="765">
        <v>39518</v>
      </c>
      <c r="D14" s="765">
        <v>1279</v>
      </c>
      <c r="E14" s="765">
        <v>0</v>
      </c>
      <c r="F14" s="1760">
        <f>(C14+D14)-E14</f>
        <v>40797</v>
      </c>
      <c r="G14" s="843">
        <v>3</v>
      </c>
      <c r="H14" s="765">
        <v>36608</v>
      </c>
      <c r="I14" s="765">
        <v>1881</v>
      </c>
      <c r="J14" s="765">
        <v>0</v>
      </c>
      <c r="K14" s="1769">
        <f>(H14+I14)-J14</f>
        <v>38489</v>
      </c>
      <c r="L14" s="1769">
        <f>F14-K14</f>
        <v>2308</v>
      </c>
    </row>
    <row r="15" spans="1:14" ht="15" customHeight="1" thickTop="1" thickBot="1" x14ac:dyDescent="0.25">
      <c r="A15" s="1631" t="s">
        <v>528</v>
      </c>
      <c r="B15" s="1630">
        <v>260</v>
      </c>
      <c r="C15" s="844">
        <v>0</v>
      </c>
      <c r="D15" s="844">
        <v>0</v>
      </c>
      <c r="E15" s="844">
        <v>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1025404</v>
      </c>
      <c r="D16" s="1760">
        <f>SUM(D3,D5:D6,D8:D10,D12:D15)</f>
        <v>39035</v>
      </c>
      <c r="E16" s="1760">
        <f>SUM(E3,E5:E6,E8:E10,E12:E15)</f>
        <v>0</v>
      </c>
      <c r="F16" s="1760">
        <f>SUM(F3,F5:F6,F8:F10,F12:F15)</f>
        <v>1064439</v>
      </c>
      <c r="G16" s="843"/>
      <c r="H16" s="1760">
        <f>SUM(H3,H6,H8:H10,H12:H14,)</f>
        <v>622264</v>
      </c>
      <c r="I16" s="1760">
        <f>SUM(I3,I6,I8:I10,I12:I14,)</f>
        <v>29652</v>
      </c>
      <c r="J16" s="1760">
        <f>SUM(J3,J6,J8:J10,J12:J14,)</f>
        <v>0</v>
      </c>
      <c r="K16" s="1760">
        <f>(H16+I16)-J16</f>
        <v>651916</v>
      </c>
      <c r="L16" s="1760">
        <f>F16-K16</f>
        <v>412523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29652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20" sqref="F2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521027</v>
      </c>
      <c r="G8" s="865"/>
    </row>
    <row r="9" spans="1:7" x14ac:dyDescent="0.2">
      <c r="A9" s="869" t="s">
        <v>460</v>
      </c>
      <c r="B9" s="870" t="s">
        <v>1877</v>
      </c>
      <c r="C9" s="871"/>
      <c r="D9" s="869" t="s">
        <v>501</v>
      </c>
      <c r="E9" s="868"/>
      <c r="F9" s="1909">
        <f>'Expenditures 15-22'!K151</f>
        <v>50915</v>
      </c>
      <c r="G9" s="872"/>
    </row>
    <row r="10" spans="1:7" x14ac:dyDescent="0.2">
      <c r="A10" s="869" t="s">
        <v>499</v>
      </c>
      <c r="B10" s="870" t="s">
        <v>1878</v>
      </c>
      <c r="C10" s="871"/>
      <c r="D10" s="869" t="s">
        <v>501</v>
      </c>
      <c r="E10" s="868"/>
      <c r="F10" s="1909">
        <f>'Expenditures 15-22'!K174</f>
        <v>13130</v>
      </c>
      <c r="G10" s="872"/>
    </row>
    <row r="11" spans="1:7" x14ac:dyDescent="0.2">
      <c r="A11" s="869" t="s">
        <v>461</v>
      </c>
      <c r="B11" s="870" t="s">
        <v>1879</v>
      </c>
      <c r="C11" s="871"/>
      <c r="D11" s="869" t="s">
        <v>501</v>
      </c>
      <c r="E11" s="868"/>
      <c r="F11" s="1909">
        <f>'Expenditures 15-22'!K210</f>
        <v>18898</v>
      </c>
      <c r="G11" s="872"/>
    </row>
    <row r="12" spans="1:7" x14ac:dyDescent="0.2">
      <c r="A12" s="869" t="s">
        <v>462</v>
      </c>
      <c r="B12" s="870" t="s">
        <v>1880</v>
      </c>
      <c r="C12" s="871"/>
      <c r="D12" s="869" t="s">
        <v>501</v>
      </c>
      <c r="E12" s="868"/>
      <c r="F12" s="1909">
        <f>'Expenditures 15-22'!K295</f>
        <v>12062</v>
      </c>
      <c r="G12" s="872"/>
    </row>
    <row r="13" spans="1:7" x14ac:dyDescent="0.2">
      <c r="A13" s="869" t="s">
        <v>106</v>
      </c>
      <c r="B13" s="870" t="s">
        <v>1881</v>
      </c>
      <c r="C13" s="871"/>
      <c r="D13" s="869" t="s">
        <v>501</v>
      </c>
      <c r="E13" s="868"/>
      <c r="F13" s="1909">
        <f>'Expenditures 15-22'!K342</f>
        <v>13018</v>
      </c>
      <c r="G13" s="873"/>
    </row>
    <row r="14" spans="1:7" ht="12" customHeight="1" thickBot="1" x14ac:dyDescent="0.25">
      <c r="A14" s="1770"/>
      <c r="B14" s="1771"/>
      <c r="C14" s="1772"/>
      <c r="D14" s="1773" t="s">
        <v>501</v>
      </c>
      <c r="E14" s="1774" t="s">
        <v>958</v>
      </c>
      <c r="F14" s="1775">
        <f>SUM(F8:F13)</f>
        <v>629050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21656</v>
      </c>
      <c r="G53" s="865"/>
    </row>
    <row r="54" spans="1:7" x14ac:dyDescent="0.2">
      <c r="A54" s="869" t="s">
        <v>459</v>
      </c>
      <c r="B54" s="869" t="s">
        <v>1476</v>
      </c>
      <c r="C54" s="889" t="s">
        <v>982</v>
      </c>
      <c r="D54" s="885" t="s">
        <v>1095</v>
      </c>
      <c r="E54" s="868"/>
      <c r="F54" s="1913">
        <f>'Expenditures 15-22'!G114</f>
        <v>13303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4000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38959</v>
      </c>
      <c r="G76" s="865"/>
    </row>
    <row r="77" spans="1:8" s="893" customFormat="1" ht="12" customHeight="1" thickTop="1" thickBot="1" x14ac:dyDescent="0.25">
      <c r="A77" s="1779"/>
      <c r="B77" s="1776"/>
      <c r="C77" s="1772"/>
      <c r="D77" s="1777" t="s">
        <v>1900</v>
      </c>
      <c r="E77" s="1774"/>
      <c r="F77" s="1780">
        <f>(F14-F76)</f>
        <v>590091</v>
      </c>
      <c r="G77" s="869"/>
    </row>
    <row r="78" spans="1:8" s="893" customFormat="1" ht="12" customHeight="1" thickTop="1" x14ac:dyDescent="0.2">
      <c r="A78" s="1781"/>
      <c r="B78" s="1776"/>
      <c r="C78" s="1772"/>
      <c r="D78" s="1777" t="s">
        <v>2062</v>
      </c>
      <c r="E78" s="1774"/>
      <c r="F78" s="898">
        <v>58.18</v>
      </c>
      <c r="G78" s="899"/>
      <c r="H78" s="869"/>
    </row>
    <row r="79" spans="1:8" s="893" customFormat="1" ht="12" customHeight="1" thickBot="1" x14ac:dyDescent="0.25">
      <c r="A79" s="1782"/>
      <c r="B79" s="1776"/>
      <c r="C79" s="1772"/>
      <c r="D79" s="1777" t="s">
        <v>1901</v>
      </c>
      <c r="E79" s="1774" t="s">
        <v>958</v>
      </c>
      <c r="F79" s="1783">
        <f>IF(F78&gt;0,F77/F78," Complete Line 78")</f>
        <v>10142.506015812995</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7758</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1355</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531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14610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28669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54923</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1100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612</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3475</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22808</v>
      </c>
      <c r="G170" s="927"/>
    </row>
    <row r="171" spans="1:7" x14ac:dyDescent="0.2">
      <c r="A171" s="1918" t="s">
        <v>5</v>
      </c>
      <c r="B171" s="1919" t="s">
        <v>1920</v>
      </c>
      <c r="C171" s="1920">
        <v>3100</v>
      </c>
      <c r="D171" s="1921" t="s">
        <v>1922</v>
      </c>
      <c r="E171" s="906"/>
      <c r="F171" s="1906">
        <v>22525</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158366</v>
      </c>
    </row>
    <row r="175" spans="1:7" ht="12" customHeight="1" x14ac:dyDescent="0.2">
      <c r="A175" s="1770"/>
      <c r="B175" s="1784"/>
      <c r="C175" s="1785"/>
      <c r="D175" s="1786" t="s">
        <v>2057</v>
      </c>
      <c r="E175" s="1787"/>
      <c r="F175" s="1789">
        <f>'PCTC-OEPP 27-28'!F77-F174</f>
        <v>431725</v>
      </c>
    </row>
    <row r="176" spans="1:7" ht="12" customHeight="1" x14ac:dyDescent="0.2">
      <c r="A176" s="1770"/>
      <c r="B176" s="1784"/>
      <c r="C176" s="1785"/>
      <c r="D176" s="1786" t="s">
        <v>1817</v>
      </c>
      <c r="E176" s="1787"/>
      <c r="F176" s="1789">
        <f>'Cap Outlay Deprec 26'!I18</f>
        <v>29652</v>
      </c>
    </row>
    <row r="177" spans="1:7" ht="12" customHeight="1" x14ac:dyDescent="0.2">
      <c r="A177" s="1770"/>
      <c r="B177" s="1784"/>
      <c r="C177" s="1785"/>
      <c r="D177" s="1786" t="s">
        <v>2058</v>
      </c>
      <c r="E177" s="1787"/>
      <c r="F177" s="1789">
        <f>F175+F176</f>
        <v>461377</v>
      </c>
    </row>
    <row r="178" spans="1:7" ht="12" customHeight="1" x14ac:dyDescent="0.2">
      <c r="A178" s="1770"/>
      <c r="B178" s="1790"/>
      <c r="C178" s="1785"/>
      <c r="D178" s="1786" t="str">
        <f>D78</f>
        <v>9 Month ADA from District Average Daily Attendance/Prior General State Aid Inquiry 2018-2019</v>
      </c>
      <c r="E178" s="1787"/>
      <c r="F178" s="1791">
        <f>'PCTC-OEPP 27-28'!F78</f>
        <v>58.18</v>
      </c>
      <c r="G178" s="930"/>
    </row>
    <row r="179" spans="1:7" ht="12" customHeight="1" thickBot="1" x14ac:dyDescent="0.25">
      <c r="A179" s="1770"/>
      <c r="B179" s="1790"/>
      <c r="C179" s="1785"/>
      <c r="D179" s="1786" t="s">
        <v>2059</v>
      </c>
      <c r="E179" s="1787" t="s">
        <v>1545</v>
      </c>
      <c r="F179" s="1792">
        <f>F177/F178</f>
        <v>7930.1650051564111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A17" sqref="A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2081</v>
      </c>
      <c r="B17" s="1934" t="s">
        <v>2082</v>
      </c>
      <c r="C17" s="1938" t="s">
        <v>2083</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26522</v>
      </c>
      <c r="F10" s="974"/>
      <c r="G10" s="975"/>
      <c r="H10" s="162"/>
      <c r="I10" s="162"/>
    </row>
    <row r="11" spans="1:9" s="668" customFormat="1" ht="22.5" customHeight="1" x14ac:dyDescent="0.2">
      <c r="A11" s="2285" t="s">
        <v>1977</v>
      </c>
      <c r="B11" s="2286"/>
      <c r="C11" s="2286"/>
      <c r="D11" s="2287"/>
      <c r="E11" s="977">
        <v>2556</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328737</v>
      </c>
      <c r="F19" s="1799"/>
      <c r="G19" s="1801">
        <f>'Expenditures 15-22'!K33-SUM('Expenditures 15-22'!G33,'Expenditures 15-22'!I33)+'Expenditures 15-22'!D229</f>
        <v>328737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99064</v>
      </c>
      <c r="F23" s="1802"/>
      <c r="G23" s="1804">
        <f>'Expenditures 15-22'!K53-SUM('Expenditures 15-22'!G53,'Expenditures 15-22'!I53)+'Expenditures 15-22'!D257+'Expenditures 15-22'!K330-SUM('Expenditures 15-22'!G330,'Expenditures 15-22'!I330)</f>
        <v>99064</v>
      </c>
      <c r="H23" s="987"/>
      <c r="I23" s="162"/>
    </row>
    <row r="24" spans="1:9" s="668" customFormat="1" ht="12" customHeight="1" x14ac:dyDescent="0.2">
      <c r="A24" s="994" t="s">
        <v>566</v>
      </c>
      <c r="B24" s="995"/>
      <c r="C24" s="993">
        <v>2400</v>
      </c>
      <c r="D24" s="1802"/>
      <c r="E24" s="1804">
        <f>'Expenditures 15-22'!K57-SUM('Expenditures 15-22'!G57,'Expenditures 15-22'!I57)+'Expenditures 15-22'!D261</f>
        <v>38070</v>
      </c>
      <c r="F24" s="1802"/>
      <c r="G24" s="1805">
        <f>'Expenditures 15-22'!K57-SUM('Expenditures 15-22'!G57,'Expenditures 15-22'!I57)+'Expenditures 15-22'!D261</f>
        <v>38070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53586</v>
      </c>
      <c r="F28" s="1806">
        <f>'Expenditures 15-22'!K61-SUM('Expenditures 15-22'!G61,'Expenditures 15-22'!I61)+'Expenditures 15-22'!K124-SUM('Expenditures 15-22'!G124,'Expenditures 15-22'!I124)+'Expenditures 15-22'!D266-E9</f>
        <v>53586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19712</v>
      </c>
      <c r="F29" s="1802"/>
      <c r="G29" s="1805">
        <f>'Expenditures 15-22'!K62-SUM('Expenditures 15-22'!G62,'Expenditures 15-22'!I62)+'Expenditures 15-22'!K125-SUM('Expenditures 15-22'!G125,'Expenditures 15-22'!I125)+'Expenditures 15-22'!K182-SUM('Expenditures 15-22'!G182,'Expenditures 15-22'!I182)+'Expenditures 15-22'!D267</f>
        <v>19712</v>
      </c>
      <c r="H29" s="985"/>
    </row>
    <row r="30" spans="1:9" ht="12" customHeight="1" x14ac:dyDescent="0.2">
      <c r="A30" s="994" t="s">
        <v>100</v>
      </c>
      <c r="B30" s="997"/>
      <c r="C30" s="993">
        <v>2560</v>
      </c>
      <c r="D30" s="1802"/>
      <c r="E30" s="1804">
        <f>'Expenditures 15-22'!K63-SUM('Expenditures 15-22'!G63,'Expenditures 15-22'!I63)+'Expenditures 15-22'!D268-E10</f>
        <v>15270</v>
      </c>
      <c r="F30" s="1802"/>
      <c r="G30" s="1804">
        <f>'Expenditures 15-22'!K63-SUM('Expenditures 15-22'!G63,'Expenditures 15-22'!I63)+'Expenditures 15-22'!D268-E10</f>
        <v>15270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554439</v>
      </c>
      <c r="F41" s="1806">
        <f>SUM(F19:F39)</f>
        <v>53586</v>
      </c>
      <c r="G41" s="1806">
        <f>SUM(G19:G40)</f>
        <v>500853</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0</v>
      </c>
      <c r="F43" s="1807" t="s">
        <v>473</v>
      </c>
      <c r="G43" s="1808">
        <f>F41</f>
        <v>53586</v>
      </c>
    </row>
    <row r="44" spans="1:7" ht="12" customHeight="1" x14ac:dyDescent="0.2">
      <c r="A44" s="987"/>
      <c r="B44" s="162"/>
      <c r="C44" s="1001"/>
      <c r="D44" s="1807" t="s">
        <v>474</v>
      </c>
      <c r="E44" s="1808">
        <f>E41</f>
        <v>554439</v>
      </c>
      <c r="F44" s="1807" t="s">
        <v>474</v>
      </c>
      <c r="G44" s="1808">
        <f>G41</f>
        <v>500853</v>
      </c>
    </row>
    <row r="45" spans="1:7" ht="12" customHeight="1" x14ac:dyDescent="0.2">
      <c r="A45" s="987"/>
      <c r="B45" s="162"/>
      <c r="C45" s="162"/>
      <c r="D45" s="1809" t="s">
        <v>1006</v>
      </c>
      <c r="E45" s="1810">
        <f>(E43/E44)</f>
        <v>0</v>
      </c>
      <c r="F45" s="1809" t="s">
        <v>1006</v>
      </c>
      <c r="G45" s="1810">
        <f>(G43/G44)</f>
        <v>0.10698947595402243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5" activePane="bottomLeft" state="frozen"/>
      <selection activeCell="A47" sqref="A47"/>
      <selection pane="bottomLeft" sqref="A1:F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1" t="s">
        <v>1379</v>
      </c>
      <c r="B1" s="2291"/>
      <c r="C1" s="2291"/>
      <c r="D1" s="2291"/>
      <c r="E1" s="2291"/>
      <c r="F1" s="229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2" t="s">
        <v>1546</v>
      </c>
      <c r="B5" s="2293"/>
      <c r="C5" s="2294"/>
      <c r="D5" s="2294"/>
      <c r="E5" s="2294"/>
      <c r="F5" s="2294"/>
    </row>
    <row r="6" spans="1:10" ht="12" customHeight="1" x14ac:dyDescent="0.25">
      <c r="A6" s="1850"/>
      <c r="B6" s="1851"/>
      <c r="C6" s="2295" t="str">
        <f>COVER!A17</f>
        <v>Buncombe Cons SD 43</v>
      </c>
      <c r="D6" s="2295"/>
      <c r="E6" s="2295"/>
      <c r="F6" s="1852"/>
    </row>
    <row r="7" spans="1:10" ht="11.25" customHeight="1" thickBot="1" x14ac:dyDescent="0.3">
      <c r="A7" s="1850"/>
      <c r="B7" s="1851"/>
      <c r="C7" s="2296">
        <f>COVER!A13</f>
        <v>21044043003</v>
      </c>
      <c r="D7" s="2296"/>
      <c r="E7" s="229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2084</v>
      </c>
      <c r="D26" s="1865" t="s">
        <v>2084</v>
      </c>
      <c r="E26" s="1868" t="s">
        <v>2084</v>
      </c>
      <c r="F26" s="1867" t="s">
        <v>2085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2064</v>
      </c>
      <c r="D33" s="1865" t="s">
        <v>2064</v>
      </c>
      <c r="E33" s="1868" t="s">
        <v>2064</v>
      </c>
      <c r="F33" s="1867" t="s">
        <v>2086</v>
      </c>
      <c r="H33" s="1878">
        <f t="shared" si="0"/>
        <v>5</v>
      </c>
      <c r="I33" s="1878">
        <f t="shared" si="1"/>
        <v>5</v>
      </c>
      <c r="J33" s="1878">
        <f t="shared" si="2"/>
        <v>5</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1391</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D1" colorId="8" zoomScale="110" zoomScaleNormal="110" workbookViewId="0">
      <selection activeCell="E19" sqref="E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Buncombe Cons SD 43</v>
      </c>
      <c r="J6" s="2316"/>
      <c r="Q6" s="1664"/>
    </row>
    <row r="7" spans="1:17" x14ac:dyDescent="0.2">
      <c r="A7" s="2317" t="s">
        <v>869</v>
      </c>
      <c r="B7" s="2318"/>
      <c r="C7" s="2318"/>
      <c r="D7" s="2318"/>
      <c r="E7" s="2319"/>
      <c r="F7" s="1017"/>
      <c r="G7" s="1009"/>
      <c r="H7" s="1016" t="s">
        <v>372</v>
      </c>
      <c r="I7" s="2320">
        <f>COVER!A13</f>
        <v>21044043003</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68689</v>
      </c>
      <c r="F12" s="1039"/>
      <c r="G12" s="1811">
        <f t="shared" ref="G12:G18" si="0">SUM(E12:F12)</f>
        <v>68689</v>
      </c>
      <c r="H12" s="1040">
        <v>66100</v>
      </c>
      <c r="I12" s="1039"/>
      <c r="J12" s="1811">
        <f t="shared" ref="J12:J18" si="1">SUM(H12:I12)</f>
        <v>66100</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v>0</v>
      </c>
      <c r="J15" s="1811">
        <f t="shared" si="1"/>
        <v>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4" t="s">
        <v>7</v>
      </c>
      <c r="C18" s="2325"/>
      <c r="D18" s="2326"/>
      <c r="E18" s="1043">
        <v>5479</v>
      </c>
      <c r="F18" s="1043">
        <v>0</v>
      </c>
      <c r="G18" s="1812">
        <f t="shared" si="0"/>
        <v>5479</v>
      </c>
      <c r="H18" s="1040">
        <v>0</v>
      </c>
      <c r="I18" s="1040">
        <v>0</v>
      </c>
      <c r="J18" s="1811">
        <f t="shared" si="1"/>
        <v>0</v>
      </c>
    </row>
    <row r="19" spans="1:10" ht="12.75" customHeight="1" thickBot="1" x14ac:dyDescent="0.25">
      <c r="A19" s="1035">
        <v>8</v>
      </c>
      <c r="B19" s="1044" t="s">
        <v>1161</v>
      </c>
      <c r="D19" s="1045"/>
      <c r="E19" s="1813">
        <f t="shared" ref="E19:J19" si="2">SUM(E12:E17)-E18</f>
        <v>63210</v>
      </c>
      <c r="F19" s="1813">
        <f t="shared" si="2"/>
        <v>0</v>
      </c>
      <c r="G19" s="1813">
        <f t="shared" si="2"/>
        <v>63210</v>
      </c>
      <c r="H19" s="1813">
        <f t="shared" si="2"/>
        <v>66100</v>
      </c>
      <c r="I19" s="1813">
        <f t="shared" si="2"/>
        <v>0</v>
      </c>
      <c r="J19" s="1813">
        <f t="shared" si="2"/>
        <v>66100</v>
      </c>
    </row>
    <row r="20" spans="1:10" ht="13.5" thickTop="1" x14ac:dyDescent="0.2">
      <c r="A20" s="1035">
        <v>9</v>
      </c>
      <c r="B20" s="2327" t="s">
        <v>1981</v>
      </c>
      <c r="C20" s="2327"/>
      <c r="D20" s="2328"/>
      <c r="E20" s="1046"/>
      <c r="F20" s="1046"/>
      <c r="G20" s="1046"/>
      <c r="H20" s="1046"/>
      <c r="I20" s="1046"/>
      <c r="J20" s="1814">
        <f>IF(AND(G19&gt;0,J19&gt;0),(((J19-G19)/G19)),"Enter Budget Data")</f>
        <v>4.5720613826926118E-2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Buncombe Cons SD 43</v>
      </c>
    </row>
    <row r="65" spans="2:2" x14ac:dyDescent="0.2">
      <c r="B65" s="1070">
        <f>COVER!A13</f>
        <v>21044043003</v>
      </c>
    </row>
  </sheetData>
  <phoneticPr fontId="13"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574510</v>
      </c>
      <c r="C8" s="1815">
        <f>'Acct Summary 7-8'!D8</f>
        <v>54197</v>
      </c>
      <c r="D8" s="1815">
        <f>'Acct Summary 7-8'!F8</f>
        <v>25719</v>
      </c>
      <c r="E8" s="1815">
        <f>'Acct Summary 7-8'!I8</f>
        <v>2777</v>
      </c>
      <c r="F8" s="1815">
        <f>SUM(B8:E8)</f>
        <v>657203</v>
      </c>
    </row>
    <row r="9" spans="1:8" s="1079" customFormat="1" ht="14.25" customHeight="1" thickBot="1" x14ac:dyDescent="0.25">
      <c r="A9" s="1078" t="s">
        <v>1369</v>
      </c>
      <c r="B9" s="1816">
        <f>'Acct Summary 7-8'!C17</f>
        <v>521027</v>
      </c>
      <c r="C9" s="1816">
        <f>'Acct Summary 7-8'!D17</f>
        <v>50915</v>
      </c>
      <c r="D9" s="1816">
        <f>'Acct Summary 7-8'!F17</f>
        <v>18898</v>
      </c>
      <c r="E9" s="1815"/>
      <c r="F9" s="1815">
        <f>SUM(B9:E9)</f>
        <v>590840</v>
      </c>
    </row>
    <row r="10" spans="1:8" s="1079" customFormat="1" ht="14.25" thickTop="1" thickBot="1" x14ac:dyDescent="0.25">
      <c r="A10" s="1080" t="s">
        <v>1370</v>
      </c>
      <c r="B10" s="1817">
        <f>(B8-B9)</f>
        <v>53483</v>
      </c>
      <c r="C10" s="1817">
        <f>(C8-C9)</f>
        <v>3282</v>
      </c>
      <c r="D10" s="1817">
        <f>(D8-D9)</f>
        <v>6821</v>
      </c>
      <c r="E10" s="1816">
        <f>(E8-E9)</f>
        <v>2777</v>
      </c>
      <c r="F10" s="1818">
        <f>SUM(F8-F9)</f>
        <v>66363</v>
      </c>
    </row>
    <row r="11" spans="1:8" s="1079" customFormat="1" ht="14.25" thickTop="1" thickBot="1" x14ac:dyDescent="0.25">
      <c r="A11" s="1081" t="s">
        <v>1985</v>
      </c>
      <c r="B11" s="1819">
        <f>'Acct Summary 7-8'!C81</f>
        <v>234203</v>
      </c>
      <c r="C11" s="1819">
        <f>'Acct Summary 7-8'!D81</f>
        <v>9169</v>
      </c>
      <c r="D11" s="1819">
        <f>'Acct Summary 7-8'!F81</f>
        <v>43329</v>
      </c>
      <c r="E11" s="1819">
        <f>'Acct Summary 7-8'!I81</f>
        <v>6136</v>
      </c>
      <c r="F11" s="1820">
        <f>SUM(B11:E11)</f>
        <v>292837</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21044043003</v>
      </c>
    </row>
    <row r="3" spans="1:2" x14ac:dyDescent="0.2">
      <c r="A3" t="s">
        <v>956</v>
      </c>
      <c r="B3" s="138" t="str">
        <f>COVER!A15</f>
        <v>JOHNSON</v>
      </c>
    </row>
    <row r="4" spans="1:2" x14ac:dyDescent="0.2">
      <c r="A4" t="s">
        <v>1007</v>
      </c>
      <c r="B4" s="138" t="str">
        <f>COVER!A17</f>
        <v>Buncombe Cons SD 43</v>
      </c>
    </row>
    <row r="5" spans="1:2" x14ac:dyDescent="0.2">
      <c r="A5" t="s">
        <v>704</v>
      </c>
      <c r="B5" s="138" t="str">
        <f>COVER!A38</f>
        <v>VICKI TRIPP</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066-005023</v>
      </c>
    </row>
    <row r="16" spans="1:2" x14ac:dyDescent="0.2">
      <c r="A16" t="s">
        <v>422</v>
      </c>
      <c r="B16" s="138" t="str">
        <f>COVER!T13</f>
        <v>BEUSSINK HICKAM &amp; KOCHEL PC</v>
      </c>
    </row>
    <row r="17" spans="1:2" x14ac:dyDescent="0.2">
      <c r="A17" t="s">
        <v>884</v>
      </c>
      <c r="B17" s="138" t="str">
        <f>COVER!T15</f>
        <v>SCOTT A HICKAM CPA</v>
      </c>
    </row>
    <row r="18" spans="1:2" x14ac:dyDescent="0.2">
      <c r="A18" t="s">
        <v>1150</v>
      </c>
      <c r="B18" s="138" t="str">
        <f>COVER!T17</f>
        <v>139 W VIENNA ST - PO BOX 556</v>
      </c>
    </row>
    <row r="19" spans="1:2" x14ac:dyDescent="0.2">
      <c r="A19" t="s">
        <v>886</v>
      </c>
      <c r="B19" s="138" t="str">
        <f>COVER!T25</f>
        <v>office@bhcpa1.com</v>
      </c>
    </row>
    <row r="20" spans="1:2" x14ac:dyDescent="0.2">
      <c r="A20" t="s">
        <v>887</v>
      </c>
      <c r="B20" s="138" t="str">
        <f>COVER!T19</f>
        <v>ANNA</v>
      </c>
    </row>
    <row r="21" spans="1:2" x14ac:dyDescent="0.2">
      <c r="A21" t="s">
        <v>479</v>
      </c>
      <c r="B21" s="138" t="str">
        <f>COVER!X19</f>
        <v>IL</v>
      </c>
    </row>
    <row r="22" spans="1:2" x14ac:dyDescent="0.2">
      <c r="A22" t="s">
        <v>888</v>
      </c>
      <c r="B22" s="138">
        <f>COVER!Z19</f>
        <v>62906</v>
      </c>
    </row>
    <row r="23" spans="1:2" x14ac:dyDescent="0.2">
      <c r="A23" t="s">
        <v>1152</v>
      </c>
      <c r="B23" s="138" t="str">
        <f>COVER!T21</f>
        <v>618-833-2721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234203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234203</v>
      </c>
      <c r="D92" s="2" t="str">
        <f t="shared" si="0"/>
        <v>Error?</v>
      </c>
    </row>
    <row r="93" spans="1:4" x14ac:dyDescent="0.2">
      <c r="A93" s="5">
        <v>32</v>
      </c>
      <c r="B93" s="138">
        <f>'Assets-Liab 5-6'!C41</f>
        <v>234203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9169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9169</v>
      </c>
      <c r="D123" s="2" t="str">
        <f t="shared" si="0"/>
        <v>Error?</v>
      </c>
    </row>
    <row r="124" spans="1:4" x14ac:dyDescent="0.2">
      <c r="A124" s="5">
        <v>63</v>
      </c>
      <c r="B124" s="138">
        <f>'Assets-Liab 5-6'!D41</f>
        <v>9169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641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641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43329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43329</v>
      </c>
      <c r="D170" s="2" t="str">
        <f t="shared" si="1"/>
        <v>Error?</v>
      </c>
    </row>
    <row r="171" spans="1:4" x14ac:dyDescent="0.2">
      <c r="A171" s="5">
        <v>110</v>
      </c>
      <c r="B171" s="138">
        <f>'Assets-Liab 5-6'!F41</f>
        <v>43329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28391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28391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3000</v>
      </c>
      <c r="D273" s="2" t="str">
        <f t="shared" si="3"/>
        <v>Error?</v>
      </c>
    </row>
    <row r="274" spans="1:4" x14ac:dyDescent="0.2">
      <c r="A274" s="5">
        <v>213</v>
      </c>
      <c r="B274" s="138">
        <f>'Assets-Liab 5-6'!M17</f>
        <v>688149</v>
      </c>
      <c r="D274" s="2" t="str">
        <f t="shared" si="3"/>
        <v>Error?</v>
      </c>
    </row>
    <row r="275" spans="1:4" x14ac:dyDescent="0.2">
      <c r="A275" s="5">
        <v>214</v>
      </c>
      <c r="B275" s="138">
        <f>'Assets-Liab 5-6'!M18</f>
        <v>35259</v>
      </c>
      <c r="D275" s="2" t="str">
        <f t="shared" si="3"/>
        <v>Error?</v>
      </c>
    </row>
    <row r="276" spans="1:4" x14ac:dyDescent="0.2">
      <c r="A276" s="5">
        <v>215</v>
      </c>
      <c r="B276" s="138">
        <f>'Assets-Liab 5-6'!M19</f>
        <v>338031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1064439</v>
      </c>
      <c r="C279" s="2" t="s">
        <v>573</v>
      </c>
      <c r="D279" s="2" t="str">
        <f t="shared" si="3"/>
        <v>Error?</v>
      </c>
    </row>
    <row r="280" spans="1:4" x14ac:dyDescent="0.2">
      <c r="A280" s="5">
        <v>219</v>
      </c>
      <c r="B280" s="138">
        <f>'Assets-Liab 5-6'!M40</f>
        <v>1064439</v>
      </c>
      <c r="D280" s="2" t="str">
        <f t="shared" si="3"/>
        <v>Error?</v>
      </c>
    </row>
    <row r="281" spans="1:4" x14ac:dyDescent="0.2">
      <c r="A281" s="5">
        <v>220</v>
      </c>
      <c r="B281" s="138">
        <f>'Assets-Liab 5-6'!M41</f>
        <v>1064439</v>
      </c>
      <c r="C281" s="2" t="s">
        <v>573</v>
      </c>
      <c r="D281" s="2" t="str">
        <f t="shared" si="3"/>
        <v>Error?</v>
      </c>
    </row>
    <row r="282" spans="1:4" x14ac:dyDescent="0.2">
      <c r="A282" s="5">
        <v>221</v>
      </c>
      <c r="B282" s="138">
        <f>'Assets-Liab 5-6'!N21</f>
        <v>641</v>
      </c>
      <c r="D282" s="2" t="str">
        <f t="shared" si="3"/>
        <v>Error?</v>
      </c>
    </row>
    <row r="283" spans="1:4" x14ac:dyDescent="0.2">
      <c r="A283" s="5">
        <v>222</v>
      </c>
      <c r="B283" s="138">
        <f>'Assets-Liab 5-6'!N22</f>
        <v>80359</v>
      </c>
      <c r="D283" s="2" t="str">
        <f t="shared" si="3"/>
        <v>Error?</v>
      </c>
    </row>
    <row r="284" spans="1:4" x14ac:dyDescent="0.2">
      <c r="A284" s="5">
        <v>223</v>
      </c>
      <c r="B284" s="138">
        <f>'Assets-Liab 5-6'!N23</f>
        <v>81000</v>
      </c>
      <c r="C284" s="2" t="s">
        <v>573</v>
      </c>
      <c r="D284" s="2" t="str">
        <f t="shared" si="3"/>
        <v>Error?</v>
      </c>
    </row>
    <row r="285" spans="1:4" x14ac:dyDescent="0.2">
      <c r="A285" s="5">
        <v>224</v>
      </c>
      <c r="B285" s="138">
        <f>'Assets-Liab 5-6'!N36</f>
        <v>81000</v>
      </c>
      <c r="D285" s="2" t="str">
        <f t="shared" si="3"/>
        <v>Error?</v>
      </c>
    </row>
    <row r="286" spans="1:4" x14ac:dyDescent="0.2">
      <c r="A286" s="10">
        <v>225</v>
      </c>
      <c r="D286" s="2" t="str">
        <f t="shared" si="3"/>
        <v>OK</v>
      </c>
    </row>
    <row r="287" spans="1:4" x14ac:dyDescent="0.2">
      <c r="A287" s="5">
        <v>226</v>
      </c>
      <c r="B287" s="138">
        <f>'Assets-Liab 5-6'!N37</f>
        <v>81000</v>
      </c>
      <c r="C287" s="2" t="s">
        <v>573</v>
      </c>
      <c r="D287" s="2" t="str">
        <f t="shared" si="3"/>
        <v>Error?</v>
      </c>
    </row>
    <row r="288" spans="1:4" x14ac:dyDescent="0.2">
      <c r="A288" s="5">
        <v>227</v>
      </c>
      <c r="B288" s="138">
        <f>'Assets-Liab 5-6'!N41</f>
        <v>81000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156037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3375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216483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61925</v>
      </c>
      <c r="D733" s="2" t="str">
        <f t="shared" si="10"/>
        <v>Error?</v>
      </c>
    </row>
    <row r="734" spans="1:4" x14ac:dyDescent="0.2">
      <c r="A734" s="5">
        <v>673</v>
      </c>
      <c r="B734" s="138">
        <f>'Expenditures 15-22'!C53</f>
        <v>61925</v>
      </c>
      <c r="C734" s="2" t="s">
        <v>573</v>
      </c>
      <c r="D734" s="2" t="str">
        <f t="shared" si="10"/>
        <v>Error?</v>
      </c>
    </row>
    <row r="735" spans="1:4" x14ac:dyDescent="0.2">
      <c r="A735" s="5">
        <v>674</v>
      </c>
      <c r="B735" s="138">
        <f>'Expenditures 15-22'!C55</f>
        <v>32125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32125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13391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13391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107441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323924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20112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27166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5479</v>
      </c>
      <c r="D791" s="2" t="str">
        <f t="shared" si="11"/>
        <v>Error?</v>
      </c>
    </row>
    <row r="792" spans="1:4" x14ac:dyDescent="0.2">
      <c r="A792" s="5">
        <v>731</v>
      </c>
      <c r="B792" s="138">
        <f>'Expenditures 15-22'!D53</f>
        <v>5479</v>
      </c>
      <c r="C792" s="2" t="s">
        <v>573</v>
      </c>
      <c r="D792" s="2" t="str">
        <f t="shared" si="11"/>
        <v>Error?</v>
      </c>
    </row>
    <row r="793" spans="1:4" x14ac:dyDescent="0.2">
      <c r="A793" s="5">
        <v>732</v>
      </c>
      <c r="B793" s="138">
        <f>'Expenditures 15-22'!D55</f>
        <v>5479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5479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10958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38124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20331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3818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25357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8914</v>
      </c>
      <c r="D848" s="2" t="str">
        <f t="shared" si="12"/>
        <v>Error?</v>
      </c>
    </row>
    <row r="849" spans="1:4" x14ac:dyDescent="0.2">
      <c r="A849" s="5">
        <v>788</v>
      </c>
      <c r="B849" s="138">
        <f>'Expenditures 15-22'!E50</f>
        <v>826</v>
      </c>
      <c r="D849" s="2" t="str">
        <f t="shared" si="12"/>
        <v>Error?</v>
      </c>
    </row>
    <row r="850" spans="1:4" x14ac:dyDescent="0.2">
      <c r="A850" s="5">
        <v>789</v>
      </c>
      <c r="B850" s="138">
        <f>'Expenditures 15-22'!E53</f>
        <v>9740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9740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56753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33490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500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54686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1007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1007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26522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26522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27529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82215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13303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13303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13303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1890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2180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3667</v>
      </c>
      <c r="D1022" s="2" t="str">
        <f t="shared" si="14"/>
        <v>Error?</v>
      </c>
    </row>
    <row r="1023" spans="1:4" x14ac:dyDescent="0.2">
      <c r="A1023" s="5">
        <v>962</v>
      </c>
      <c r="B1023" s="138">
        <f>'Expenditures 15-22'!H50</f>
        <v>459</v>
      </c>
      <c r="D1023" s="2" t="str">
        <f t="shared" ref="D1023:D1086" si="15">IF(ISBLANK(B1023),"OK",IF(A1023-B1023=0,"OK","Error?"))</f>
        <v>Error?</v>
      </c>
    </row>
    <row r="1024" spans="1:4" x14ac:dyDescent="0.2">
      <c r="A1024" s="5">
        <v>963</v>
      </c>
      <c r="B1024" s="138">
        <f>'Expenditures 15-22'!H53</f>
        <v>4126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402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402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4528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6708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245163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8119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339175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13588</v>
      </c>
      <c r="C1120" s="2" t="s">
        <v>573</v>
      </c>
      <c r="D1120" s="2" t="str">
        <f t="shared" si="16"/>
        <v>Error?</v>
      </c>
    </row>
    <row r="1121" spans="1:4" x14ac:dyDescent="0.2">
      <c r="A1121" s="5">
        <v>1060</v>
      </c>
      <c r="B1121" s="138">
        <f>'Expenditures 15-22'!K50</f>
        <v>68689</v>
      </c>
      <c r="C1121" s="2" t="s">
        <v>573</v>
      </c>
      <c r="D1121" s="2" t="str">
        <f t="shared" si="16"/>
        <v>Error?</v>
      </c>
    </row>
    <row r="1122" spans="1:4" x14ac:dyDescent="0.2">
      <c r="A1122" s="5">
        <v>1061</v>
      </c>
      <c r="B1122" s="138">
        <f>'Expenditures 15-22'!K53</f>
        <v>82277</v>
      </c>
      <c r="C1122" s="2" t="s">
        <v>573</v>
      </c>
      <c r="D1122" s="2" t="str">
        <f t="shared" si="16"/>
        <v>Error?</v>
      </c>
    </row>
    <row r="1123" spans="1:4" x14ac:dyDescent="0.2">
      <c r="A1123" s="5">
        <v>1062</v>
      </c>
      <c r="B1123" s="138">
        <f>'Expenditures 15-22'!K55</f>
        <v>37604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37604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40315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40315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160196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21656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521027</v>
      </c>
      <c r="C1152" s="2" t="s">
        <v>573</v>
      </c>
      <c r="D1152" s="2" t="str">
        <f t="shared" si="17"/>
        <v>Error?</v>
      </c>
    </row>
    <row r="1153" spans="1:4" x14ac:dyDescent="0.2">
      <c r="A1153" s="5">
        <v>1092</v>
      </c>
      <c r="B1153" s="138">
        <f>'Expenditures 15-22'!K115</f>
        <v>53483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24512</v>
      </c>
      <c r="D1221" s="2" t="str">
        <f t="shared" si="18"/>
        <v>Error?</v>
      </c>
    </row>
    <row r="1222" spans="1:4" x14ac:dyDescent="0.2">
      <c r="A1222" s="10">
        <v>1161</v>
      </c>
      <c r="D1222" s="2" t="str">
        <f t="shared" si="18"/>
        <v>OK</v>
      </c>
    </row>
    <row r="1223" spans="1:4" x14ac:dyDescent="0.2">
      <c r="A1223" s="5">
        <v>1162</v>
      </c>
      <c r="B1223" s="138">
        <f>'Expenditures 15-22'!C127</f>
        <v>24512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24512</v>
      </c>
      <c r="C1225" s="2" t="s">
        <v>573</v>
      </c>
      <c r="D1225" s="2" t="str">
        <f t="shared" si="18"/>
        <v>Error?</v>
      </c>
    </row>
    <row r="1226" spans="1:4" x14ac:dyDescent="0.2">
      <c r="A1226" s="5">
        <v>1165</v>
      </c>
      <c r="B1226" s="138">
        <f>'Expenditures 15-22'!C151</f>
        <v>24512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8906</v>
      </c>
      <c r="D1237" s="2" t="str">
        <f t="shared" si="18"/>
        <v>Error?</v>
      </c>
    </row>
    <row r="1238" spans="1:4" x14ac:dyDescent="0.2">
      <c r="A1238" s="10">
        <v>1177</v>
      </c>
      <c r="D1238" s="2" t="str">
        <f t="shared" si="18"/>
        <v>OK</v>
      </c>
    </row>
    <row r="1239" spans="1:4" x14ac:dyDescent="0.2">
      <c r="A1239" s="5">
        <v>1178</v>
      </c>
      <c r="B1239" s="138">
        <f>'Expenditures 15-22'!E127</f>
        <v>8906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8906</v>
      </c>
      <c r="C1241" s="2" t="s">
        <v>573</v>
      </c>
      <c r="D1241" s="2" t="str">
        <f t="shared" si="18"/>
        <v>Error?</v>
      </c>
    </row>
    <row r="1242" spans="1:4" x14ac:dyDescent="0.2">
      <c r="A1242" s="5">
        <v>1181</v>
      </c>
      <c r="B1242" s="138">
        <f>'Expenditures 15-22'!E151</f>
        <v>8906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17497</v>
      </c>
      <c r="D1245" s="2" t="str">
        <f t="shared" si="18"/>
        <v>Error?</v>
      </c>
    </row>
    <row r="1246" spans="1:4" x14ac:dyDescent="0.2">
      <c r="A1246" s="10">
        <v>1185</v>
      </c>
      <c r="D1246" s="2" t="str">
        <f t="shared" si="18"/>
        <v>OK</v>
      </c>
    </row>
    <row r="1247" spans="1:4" x14ac:dyDescent="0.2">
      <c r="A1247" s="5">
        <v>1186</v>
      </c>
      <c r="B1247" s="138">
        <f>'Expenditures 15-22'!F127</f>
        <v>17497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17497</v>
      </c>
      <c r="C1249" s="2" t="s">
        <v>573</v>
      </c>
      <c r="D1249" s="2" t="str">
        <f t="shared" si="18"/>
        <v>Error?</v>
      </c>
    </row>
    <row r="1250" spans="1:4" x14ac:dyDescent="0.2">
      <c r="A1250" s="5">
        <v>1189</v>
      </c>
      <c r="B1250" s="138">
        <f>'Expenditures 15-22'!F151</f>
        <v>17497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50915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50915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50915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50915</v>
      </c>
      <c r="C1288" s="2" t="s">
        <v>573</v>
      </c>
      <c r="D1288" s="2" t="str">
        <f t="shared" si="19"/>
        <v>Error?</v>
      </c>
    </row>
    <row r="1289" spans="1:4" x14ac:dyDescent="0.2">
      <c r="A1289" s="5">
        <v>1228</v>
      </c>
      <c r="B1289" s="138">
        <f>'Expenditures 15-22'!K152</f>
        <v>3282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8930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4000</v>
      </c>
      <c r="D1315" s="2" t="str">
        <f t="shared" si="19"/>
        <v>Error?</v>
      </c>
    </row>
    <row r="1316" spans="1:4" x14ac:dyDescent="0.2">
      <c r="A1316" s="5">
        <v>1255</v>
      </c>
      <c r="B1316" s="138">
        <f>'Expenditures 15-22'!H171</f>
        <v>200</v>
      </c>
      <c r="D1316" s="2" t="str">
        <f t="shared" si="19"/>
        <v>Error?</v>
      </c>
    </row>
    <row r="1317" spans="1:4" x14ac:dyDescent="0.2">
      <c r="A1317" s="5">
        <v>1256</v>
      </c>
      <c r="B1317" s="138">
        <f>'Expenditures 15-22'!H172</f>
        <v>13130</v>
      </c>
      <c r="C1317" s="2" t="s">
        <v>573</v>
      </c>
      <c r="D1317" s="2" t="str">
        <f t="shared" si="19"/>
        <v>Error?</v>
      </c>
    </row>
    <row r="1318" spans="1:4" x14ac:dyDescent="0.2">
      <c r="A1318" s="5">
        <v>1257</v>
      </c>
      <c r="B1318" s="138">
        <f>'Expenditures 15-22'!H174</f>
        <v>13130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8930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4000</v>
      </c>
      <c r="C1329" s="2" t="s">
        <v>573</v>
      </c>
      <c r="D1329" s="2" t="str">
        <f t="shared" si="19"/>
        <v>Error?</v>
      </c>
    </row>
    <row r="1330" spans="1:4" x14ac:dyDescent="0.2">
      <c r="A1330" s="5">
        <v>1269</v>
      </c>
      <c r="B1330" s="138">
        <f>'Expenditures 15-22'!K171</f>
        <v>200</v>
      </c>
      <c r="C1330" s="2" t="s">
        <v>573</v>
      </c>
      <c r="D1330" s="2" t="str">
        <f t="shared" si="19"/>
        <v>Error?</v>
      </c>
    </row>
    <row r="1331" spans="1:4" x14ac:dyDescent="0.2">
      <c r="A1331" s="5">
        <v>1270</v>
      </c>
      <c r="B1331" s="138">
        <f>'Expenditures 15-22'!K172</f>
        <v>13130</v>
      </c>
      <c r="C1331" s="2" t="s">
        <v>573</v>
      </c>
      <c r="D1331" s="2" t="str">
        <f t="shared" si="19"/>
        <v>Error?</v>
      </c>
    </row>
    <row r="1332" spans="1:4" x14ac:dyDescent="0.2">
      <c r="A1332" s="5">
        <v>1271</v>
      </c>
      <c r="B1332" s="138">
        <f>'Expenditures 15-22'!K174</f>
        <v>13130</v>
      </c>
      <c r="C1332" s="2" t="s">
        <v>573</v>
      </c>
      <c r="D1332" s="2" t="str">
        <f t="shared" si="19"/>
        <v>Error?</v>
      </c>
    </row>
    <row r="1333" spans="1:4" x14ac:dyDescent="0.2">
      <c r="A1333" s="5">
        <v>1272</v>
      </c>
      <c r="B1333" s="138">
        <f>'Expenditures 15-22'!K175</f>
        <v>641</v>
      </c>
      <c r="C1333" s="2" t="s">
        <v>573</v>
      </c>
      <c r="D1333" s="2" t="str">
        <f t="shared" si="19"/>
        <v>Error?</v>
      </c>
    </row>
    <row r="1334" spans="1:4" x14ac:dyDescent="0.2">
      <c r="A1334" s="10">
        <v>1273</v>
      </c>
      <c r="D1334" s="2" t="str">
        <f t="shared" si="19"/>
        <v>OK</v>
      </c>
    </row>
    <row r="1335" spans="1:4" x14ac:dyDescent="0.2">
      <c r="A1335" s="5">
        <v>1274</v>
      </c>
      <c r="B1335" s="138">
        <f>'Expenditures 15-22'!C182</f>
        <v>10759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10759</v>
      </c>
      <c r="C1339" s="2" t="s">
        <v>573</v>
      </c>
      <c r="D1339" s="2" t="str">
        <f t="shared" si="19"/>
        <v>Error?</v>
      </c>
    </row>
    <row r="1340" spans="1:4" x14ac:dyDescent="0.2">
      <c r="A1340" s="5">
        <v>1279</v>
      </c>
      <c r="B1340" s="138">
        <f>'Expenditures 15-22'!C210</f>
        <v>10759</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3957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3957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3957</v>
      </c>
      <c r="C1353" s="2" t="s">
        <v>573</v>
      </c>
      <c r="D1353" s="2" t="str">
        <f t="shared" si="20"/>
        <v>Error?</v>
      </c>
    </row>
    <row r="1354" spans="1:4" x14ac:dyDescent="0.2">
      <c r="A1354" s="5">
        <v>1293</v>
      </c>
      <c r="B1354" s="138">
        <f>'Expenditures 15-22'!F182</f>
        <v>3926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3926</v>
      </c>
      <c r="C1358" s="2" t="s">
        <v>573</v>
      </c>
      <c r="D1358" s="2" t="str">
        <f t="shared" si="20"/>
        <v>Error?</v>
      </c>
    </row>
    <row r="1359" spans="1:4" x14ac:dyDescent="0.2">
      <c r="A1359" s="5">
        <v>1298</v>
      </c>
      <c r="B1359" s="138">
        <f>'Expenditures 15-22'!F210</f>
        <v>3926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256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256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256</v>
      </c>
      <c r="C1376" s="2" t="s">
        <v>573</v>
      </c>
      <c r="D1376" s="2" t="str">
        <f t="shared" si="20"/>
        <v>Error?</v>
      </c>
    </row>
    <row r="1377" spans="1:4" x14ac:dyDescent="0.2">
      <c r="A1377" s="5">
        <v>1316</v>
      </c>
      <c r="B1377" s="138">
        <f>'Expenditures 15-22'!K182</f>
        <v>18898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18898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18898</v>
      </c>
      <c r="C1388" s="2" t="s">
        <v>573</v>
      </c>
      <c r="D1388" s="2" t="str">
        <f t="shared" si="20"/>
        <v>Error?</v>
      </c>
    </row>
    <row r="1389" spans="1:4" x14ac:dyDescent="0.2">
      <c r="A1389" s="5">
        <v>1328</v>
      </c>
      <c r="B1389" s="138">
        <f>'Expenditures 15-22'!K211</f>
        <v>6821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208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2865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3769</v>
      </c>
      <c r="D1423" s="2" t="str">
        <f t="shared" si="21"/>
        <v>Error?</v>
      </c>
    </row>
    <row r="1424" spans="1:4" x14ac:dyDescent="0.2">
      <c r="A1424" s="5">
        <v>1363</v>
      </c>
      <c r="B1424" s="138">
        <f>'Expenditures 15-22'!D257</f>
        <v>3769</v>
      </c>
      <c r="C1424" s="2" t="s">
        <v>573</v>
      </c>
      <c r="D1424" s="2" t="str">
        <f t="shared" si="21"/>
        <v>Error?</v>
      </c>
    </row>
    <row r="1425" spans="1:4" x14ac:dyDescent="0.2">
      <c r="A1425" s="5">
        <v>1364</v>
      </c>
      <c r="B1425" s="138">
        <f>'Expenditures 15-22'!D259</f>
        <v>466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2671</v>
      </c>
      <c r="D1431" s="2" t="str">
        <f t="shared" si="21"/>
        <v>Error?</v>
      </c>
    </row>
    <row r="1432" spans="1:4" x14ac:dyDescent="0.2">
      <c r="A1432" s="5">
        <v>1371</v>
      </c>
      <c r="B1432" s="138">
        <f>'Expenditures 15-22'!D267</f>
        <v>814</v>
      </c>
      <c r="D1432" s="2" t="str">
        <f t="shared" si="21"/>
        <v>Error?</v>
      </c>
    </row>
    <row r="1433" spans="1:4" x14ac:dyDescent="0.2">
      <c r="A1433" s="5">
        <v>1372</v>
      </c>
      <c r="B1433" s="138">
        <f>'Expenditures 15-22'!D268</f>
        <v>1477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4962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9197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12062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208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2865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3769</v>
      </c>
      <c r="C1487" s="2" t="s">
        <v>573</v>
      </c>
      <c r="D1487" s="2" t="str">
        <f t="shared" si="22"/>
        <v>Error?</v>
      </c>
    </row>
    <row r="1488" spans="1:4" x14ac:dyDescent="0.2">
      <c r="A1488" s="5">
        <v>1427</v>
      </c>
      <c r="B1488" s="138">
        <f>'Expenditures 15-22'!K257</f>
        <v>3769</v>
      </c>
      <c r="C1488" s="2" t="s">
        <v>573</v>
      </c>
      <c r="D1488" s="2" t="str">
        <f t="shared" si="22"/>
        <v>Error?</v>
      </c>
    </row>
    <row r="1489" spans="1:4" x14ac:dyDescent="0.2">
      <c r="A1489" s="5">
        <v>1428</v>
      </c>
      <c r="B1489" s="138">
        <f>'Expenditures 15-22'!K259</f>
        <v>466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466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2671</v>
      </c>
      <c r="C1495" s="2" t="s">
        <v>573</v>
      </c>
      <c r="D1495" s="2" t="str">
        <f t="shared" si="22"/>
        <v>Error?</v>
      </c>
    </row>
    <row r="1496" spans="1:4" x14ac:dyDescent="0.2">
      <c r="A1496" s="5">
        <v>1435</v>
      </c>
      <c r="B1496" s="138">
        <f>'Expenditures 15-22'!K267</f>
        <v>814</v>
      </c>
      <c r="C1496" s="2" t="s">
        <v>573</v>
      </c>
      <c r="D1496" s="2" t="str">
        <f t="shared" si="22"/>
        <v>Error?</v>
      </c>
    </row>
    <row r="1497" spans="1:4" x14ac:dyDescent="0.2">
      <c r="A1497" s="5">
        <v>1436</v>
      </c>
      <c r="B1497" s="138">
        <f>'Expenditures 15-22'!K268</f>
        <v>1477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4962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9197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12062</v>
      </c>
      <c r="C1517" s="2" t="s">
        <v>573</v>
      </c>
      <c r="D1517" s="2" t="str">
        <f t="shared" si="22"/>
        <v>Error?</v>
      </c>
    </row>
    <row r="1518" spans="1:4" x14ac:dyDescent="0.2">
      <c r="A1518" s="5">
        <v>1457</v>
      </c>
      <c r="B1518" s="138">
        <f>'Expenditures 15-22'!K296</f>
        <v>-7247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180720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234203</v>
      </c>
      <c r="C1630" s="2" t="s">
        <v>573</v>
      </c>
      <c r="D1630" s="2" t="str">
        <f t="shared" si="24"/>
        <v>Error?</v>
      </c>
    </row>
    <row r="1631" spans="1:4" x14ac:dyDescent="0.2">
      <c r="A1631" s="5">
        <v>1570</v>
      </c>
      <c r="B1631" s="138">
        <f>'Acct Summary 7-8'!D79</f>
        <v>5887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9169</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641</v>
      </c>
      <c r="C1658" s="2" t="s">
        <v>573</v>
      </c>
      <c r="D1658" s="2" t="str">
        <f t="shared" si="24"/>
        <v>Error?</v>
      </c>
    </row>
    <row r="1659" spans="1:4" x14ac:dyDescent="0.2">
      <c r="A1659" s="5">
        <v>1598</v>
      </c>
      <c r="B1659" s="138">
        <f>'Acct Summary 7-8'!F79</f>
        <v>36508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43329</v>
      </c>
      <c r="C1672" s="2" t="s">
        <v>573</v>
      </c>
      <c r="D1672" s="2" t="str">
        <f t="shared" si="25"/>
        <v>Error?</v>
      </c>
    </row>
    <row r="1673" spans="1:4" x14ac:dyDescent="0.2">
      <c r="A1673" s="5">
        <v>1612</v>
      </c>
      <c r="B1673" s="138">
        <f>'Acct Summary 7-8'!G79</f>
        <v>35638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28391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97196</v>
      </c>
      <c r="C1744" s="2" t="s">
        <v>573</v>
      </c>
      <c r="D1744" s="2" t="str">
        <f t="shared" si="26"/>
        <v>Error?</v>
      </c>
    </row>
    <row r="1745" spans="1:5" x14ac:dyDescent="0.2">
      <c r="A1745" s="5">
        <v>1684</v>
      </c>
      <c r="B1745" s="138">
        <f>'Tax Sched 23'!B5</f>
        <v>27771</v>
      </c>
      <c r="C1745" s="2" t="s">
        <v>573</v>
      </c>
      <c r="D1745" s="2" t="str">
        <f t="shared" si="26"/>
        <v>Error?</v>
      </c>
    </row>
    <row r="1746" spans="1:5" x14ac:dyDescent="0.2">
      <c r="A1746" s="5">
        <v>1685</v>
      </c>
      <c r="B1746" s="138">
        <f>'Tax Sched 23'!B6</f>
        <v>12771</v>
      </c>
      <c r="C1746" s="2" t="s">
        <v>573</v>
      </c>
      <c r="D1746" s="2" t="str">
        <f t="shared" si="26"/>
        <v>Error?</v>
      </c>
    </row>
    <row r="1747" spans="1:5" x14ac:dyDescent="0.2">
      <c r="A1747" s="5">
        <v>1686</v>
      </c>
      <c r="B1747" s="138">
        <f>'Tax Sched 23'!B7</f>
        <v>11109</v>
      </c>
      <c r="C1747" s="2" t="s">
        <v>573</v>
      </c>
      <c r="D1747" s="2" t="str">
        <f t="shared" si="26"/>
        <v>Error?</v>
      </c>
    </row>
    <row r="1748" spans="1:5" x14ac:dyDescent="0.2">
      <c r="A1748" s="5">
        <v>1687</v>
      </c>
      <c r="B1748" s="138">
        <f>'Tax Sched 23'!B8</f>
        <v>2004</v>
      </c>
      <c r="C1748" s="2" t="s">
        <v>573</v>
      </c>
      <c r="D1748" s="2" t="str">
        <f t="shared" si="26"/>
        <v>Error?</v>
      </c>
    </row>
    <row r="1749" spans="1:5" x14ac:dyDescent="0.2">
      <c r="A1749" s="5">
        <v>1688</v>
      </c>
      <c r="B1749" s="138">
        <f>'Tax Sched 23'!B10</f>
        <v>2777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45425</v>
      </c>
      <c r="C1752" s="2" t="s">
        <v>573</v>
      </c>
      <c r="D1752" s="2" t="str">
        <f t="shared" si="26"/>
        <v>Error?</v>
      </c>
    </row>
    <row r="1753" spans="1:5" x14ac:dyDescent="0.2">
      <c r="A1753" s="5">
        <v>1692</v>
      </c>
      <c r="B1753" s="138">
        <f>'Tax Sched 23'!B12</f>
        <v>2777</v>
      </c>
      <c r="C1753" s="2" t="s">
        <v>573</v>
      </c>
      <c r="D1753" s="2" t="str">
        <f t="shared" si="26"/>
        <v>Error?</v>
      </c>
    </row>
    <row r="1754" spans="1:5" x14ac:dyDescent="0.2">
      <c r="A1754" s="5">
        <v>1693</v>
      </c>
      <c r="B1754" s="138">
        <f>'Tax Sched 23'!B14</f>
        <v>1111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204948</v>
      </c>
      <c r="C1759" s="2" t="s">
        <v>573</v>
      </c>
      <c r="D1759" s="2" t="str">
        <f t="shared" si="26"/>
        <v>Error?</v>
      </c>
    </row>
    <row r="1760" spans="1:5" x14ac:dyDescent="0.2">
      <c r="A1760" s="5">
        <v>1699</v>
      </c>
      <c r="B1760" s="138">
        <f>'Tax Sched 23'!D4</f>
        <v>97196</v>
      </c>
      <c r="C1760" s="2" t="s">
        <v>573</v>
      </c>
      <c r="D1760" s="2" t="str">
        <f t="shared" si="26"/>
        <v>Error?</v>
      </c>
    </row>
    <row r="1761" spans="1:5" x14ac:dyDescent="0.2">
      <c r="A1761" s="5">
        <v>1700</v>
      </c>
      <c r="B1761" s="138">
        <f>'Tax Sched 23'!D5</f>
        <v>27771</v>
      </c>
      <c r="C1761" s="2" t="s">
        <v>573</v>
      </c>
      <c r="D1761" s="2" t="str">
        <f t="shared" si="26"/>
        <v>Error?</v>
      </c>
    </row>
    <row r="1762" spans="1:5" s="8" customFormat="1" x14ac:dyDescent="0.2">
      <c r="A1762" s="5">
        <v>1701</v>
      </c>
      <c r="B1762" s="138">
        <f>'Tax Sched 23'!D6</f>
        <v>12771</v>
      </c>
      <c r="C1762" s="2" t="s">
        <v>573</v>
      </c>
      <c r="D1762" s="2" t="str">
        <f t="shared" si="26"/>
        <v>Error?</v>
      </c>
      <c r="E1762" s="9"/>
    </row>
    <row r="1763" spans="1:5" x14ac:dyDescent="0.2">
      <c r="A1763" s="5">
        <v>1702</v>
      </c>
      <c r="B1763" s="138">
        <f>'Tax Sched 23'!D7</f>
        <v>11109</v>
      </c>
      <c r="C1763" s="2" t="s">
        <v>573</v>
      </c>
      <c r="D1763" s="2" t="str">
        <f t="shared" si="26"/>
        <v>Error?</v>
      </c>
    </row>
    <row r="1764" spans="1:5" x14ac:dyDescent="0.2">
      <c r="A1764" s="5">
        <v>1703</v>
      </c>
      <c r="B1764" s="138">
        <f>'Tax Sched 23'!D8</f>
        <v>2004</v>
      </c>
      <c r="C1764" s="2" t="s">
        <v>573</v>
      </c>
      <c r="D1764" s="2" t="str">
        <f t="shared" si="26"/>
        <v>Error?</v>
      </c>
    </row>
    <row r="1765" spans="1:5" x14ac:dyDescent="0.2">
      <c r="A1765" s="5">
        <v>1704</v>
      </c>
      <c r="B1765" s="138">
        <f>'Tax Sched 23'!D10</f>
        <v>2777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45425</v>
      </c>
      <c r="C1768" s="2" t="s">
        <v>573</v>
      </c>
      <c r="D1768" s="2" t="str">
        <f t="shared" si="26"/>
        <v>Error?</v>
      </c>
    </row>
    <row r="1769" spans="1:5" x14ac:dyDescent="0.2">
      <c r="A1769" s="5">
        <v>1708</v>
      </c>
      <c r="B1769" s="138">
        <f>'Tax Sched 23'!D12</f>
        <v>2777</v>
      </c>
      <c r="C1769" s="2" t="s">
        <v>573</v>
      </c>
      <c r="D1769" s="2" t="str">
        <f t="shared" si="26"/>
        <v>Error?</v>
      </c>
    </row>
    <row r="1770" spans="1:5" x14ac:dyDescent="0.2">
      <c r="A1770" s="5">
        <v>1709</v>
      </c>
      <c r="B1770" s="138">
        <f>'Tax Sched 23'!D14</f>
        <v>1111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204948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122539</v>
      </c>
      <c r="C1792" s="2" t="s">
        <v>573</v>
      </c>
      <c r="D1792" s="2" t="str">
        <f t="shared" si="27"/>
        <v>Error?</v>
      </c>
    </row>
    <row r="1793" spans="1:4" x14ac:dyDescent="0.2">
      <c r="A1793" s="5">
        <v>1732</v>
      </c>
      <c r="B1793" s="138">
        <f>'Tax Sched 23'!F5</f>
        <v>35011</v>
      </c>
      <c r="C1793" s="2" t="s">
        <v>573</v>
      </c>
      <c r="D1793" s="2" t="str">
        <f t="shared" si="27"/>
        <v>Error?</v>
      </c>
    </row>
    <row r="1794" spans="1:4" x14ac:dyDescent="0.2">
      <c r="A1794" s="5">
        <v>1733</v>
      </c>
      <c r="B1794" s="138">
        <f>'Tax Sched 23'!F6</f>
        <v>11386</v>
      </c>
      <c r="C1794" s="2" t="s">
        <v>573</v>
      </c>
      <c r="D1794" s="2" t="str">
        <f t="shared" si="27"/>
        <v>Error?</v>
      </c>
    </row>
    <row r="1795" spans="1:4" x14ac:dyDescent="0.2">
      <c r="A1795" s="5">
        <v>1734</v>
      </c>
      <c r="B1795" s="138">
        <f>'Tax Sched 23'!F7</f>
        <v>14005</v>
      </c>
      <c r="C1795" s="2" t="s">
        <v>573</v>
      </c>
      <c r="D1795" s="2" t="str">
        <f t="shared" si="27"/>
        <v>Error?</v>
      </c>
    </row>
    <row r="1796" spans="1:4" x14ac:dyDescent="0.2">
      <c r="A1796" s="5">
        <v>1735</v>
      </c>
      <c r="B1796" s="138">
        <f>'Tax Sched 23'!F8</f>
        <v>7002</v>
      </c>
      <c r="C1796" s="2" t="s">
        <v>573</v>
      </c>
      <c r="D1796" s="2" t="str">
        <f t="shared" si="27"/>
        <v>Error?</v>
      </c>
    </row>
    <row r="1797" spans="1:4" x14ac:dyDescent="0.2">
      <c r="A1797" s="5">
        <v>1736</v>
      </c>
      <c r="B1797" s="138">
        <f>'Tax Sched 23'!F10</f>
        <v>3502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45514</v>
      </c>
      <c r="C1800" s="2" t="s">
        <v>573</v>
      </c>
      <c r="D1800" s="2" t="str">
        <f t="shared" si="27"/>
        <v>Error?</v>
      </c>
    </row>
    <row r="1801" spans="1:4" x14ac:dyDescent="0.2">
      <c r="A1801" s="5">
        <v>1740</v>
      </c>
      <c r="B1801" s="138">
        <f>'Tax Sched 23'!F12</f>
        <v>3502</v>
      </c>
      <c r="C1801" s="2" t="s">
        <v>573</v>
      </c>
      <c r="D1801" s="2" t="str">
        <f t="shared" si="27"/>
        <v>Error?</v>
      </c>
    </row>
    <row r="1802" spans="1:4" x14ac:dyDescent="0.2">
      <c r="A1802" s="5">
        <v>1741</v>
      </c>
      <c r="B1802" s="138">
        <f>'Tax Sched 23'!F14</f>
        <v>1401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250864</v>
      </c>
      <c r="C1807" s="2" t="s">
        <v>573</v>
      </c>
      <c r="D1807" s="2" t="str">
        <f t="shared" si="27"/>
        <v>Error?</v>
      </c>
    </row>
    <row r="1808" spans="1:4" x14ac:dyDescent="0.2">
      <c r="A1808" s="5">
        <v>1747</v>
      </c>
      <c r="B1808" s="138">
        <f>'Tax Sched 23'!E4</f>
        <v>122539</v>
      </c>
      <c r="D1808" s="2" t="str">
        <f t="shared" si="27"/>
        <v>Error?</v>
      </c>
    </row>
    <row r="1809" spans="1:4" x14ac:dyDescent="0.2">
      <c r="A1809" s="5">
        <v>1748</v>
      </c>
      <c r="B1809" s="138">
        <f>'Tax Sched 23'!E5</f>
        <v>35011</v>
      </c>
      <c r="D1809" s="2" t="str">
        <f t="shared" si="27"/>
        <v>Error?</v>
      </c>
    </row>
    <row r="1810" spans="1:4" x14ac:dyDescent="0.2">
      <c r="A1810" s="5">
        <v>1749</v>
      </c>
      <c r="B1810" s="138">
        <f>'Tax Sched 23'!E6</f>
        <v>11386</v>
      </c>
      <c r="D1810" s="2" t="str">
        <f t="shared" si="27"/>
        <v>Error?</v>
      </c>
    </row>
    <row r="1811" spans="1:4" x14ac:dyDescent="0.2">
      <c r="A1811" s="5">
        <v>1750</v>
      </c>
      <c r="B1811" s="138">
        <f>'Tax Sched 23'!E7</f>
        <v>14005</v>
      </c>
      <c r="D1811" s="2" t="str">
        <f t="shared" si="27"/>
        <v>Error?</v>
      </c>
    </row>
    <row r="1812" spans="1:4" x14ac:dyDescent="0.2">
      <c r="A1812" s="5">
        <v>1751</v>
      </c>
      <c r="B1812" s="138">
        <f>'Tax Sched 23'!E8</f>
        <v>7002</v>
      </c>
      <c r="D1812" s="2" t="str">
        <f t="shared" si="27"/>
        <v>Error?</v>
      </c>
    </row>
    <row r="1813" spans="1:4" x14ac:dyDescent="0.2">
      <c r="A1813" s="5">
        <v>1752</v>
      </c>
      <c r="B1813" s="138">
        <f>'Tax Sched 23'!E10</f>
        <v>3502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45514</v>
      </c>
      <c r="D1816" s="2" t="str">
        <f t="shared" si="27"/>
        <v>Error?</v>
      </c>
    </row>
    <row r="1817" spans="1:4" x14ac:dyDescent="0.2">
      <c r="A1817" s="5">
        <v>1756</v>
      </c>
      <c r="B1817" s="138">
        <f>'Tax Sched 23'!E12</f>
        <v>3502</v>
      </c>
      <c r="D1817" s="2" t="str">
        <f t="shared" si="27"/>
        <v>Error?</v>
      </c>
    </row>
    <row r="1818" spans="1:4" x14ac:dyDescent="0.2">
      <c r="A1818" s="5">
        <v>1757</v>
      </c>
      <c r="B1818" s="138">
        <f>'Tax Sched 23'!E14</f>
        <v>1401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250864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1111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1111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1111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3000</v>
      </c>
      <c r="D2008" s="2" t="str">
        <f t="shared" si="30"/>
        <v>Error?</v>
      </c>
    </row>
    <row r="2009" spans="1:4" x14ac:dyDescent="0.2">
      <c r="A2009" s="5">
        <v>1948</v>
      </c>
      <c r="B2009" s="138">
        <f>'Cap Outlay Deprec 26'!C8</f>
        <v>662418</v>
      </c>
      <c r="D2009" s="2" t="str">
        <f t="shared" si="30"/>
        <v>Error?</v>
      </c>
    </row>
    <row r="2010" spans="1:4" x14ac:dyDescent="0.2">
      <c r="A2010" s="5">
        <v>1949</v>
      </c>
      <c r="B2010" s="138">
        <f>'Cap Outlay Deprec 26'!C10</f>
        <v>35259</v>
      </c>
      <c r="D2010" s="2" t="str">
        <f t="shared" si="30"/>
        <v>Error?</v>
      </c>
    </row>
    <row r="2011" spans="1:4" x14ac:dyDescent="0.2">
      <c r="A2011" s="5">
        <v>1950</v>
      </c>
      <c r="B2011" s="138">
        <f>'Cap Outlay Deprec 26'!C12</f>
        <v>205322</v>
      </c>
      <c r="D2011" s="2" t="str">
        <f t="shared" si="30"/>
        <v>Error?</v>
      </c>
    </row>
    <row r="2012" spans="1:4" x14ac:dyDescent="0.2">
      <c r="A2012" s="5">
        <v>1951</v>
      </c>
      <c r="B2012" s="138">
        <f>'Cap Outlay Deprec 26'!C13</f>
        <v>79887</v>
      </c>
      <c r="D2012" s="2" t="str">
        <f t="shared" si="30"/>
        <v>Error?</v>
      </c>
    </row>
    <row r="2013" spans="1:4" x14ac:dyDescent="0.2">
      <c r="A2013" s="5">
        <v>1952</v>
      </c>
      <c r="B2013" s="138">
        <f>'Cap Outlay Deprec 26'!C16</f>
        <v>1025404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25731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12025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39035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3000</v>
      </c>
      <c r="C2026" s="2" t="s">
        <v>573</v>
      </c>
      <c r="D2026" s="2" t="str">
        <f t="shared" si="30"/>
        <v>Error?</v>
      </c>
    </row>
    <row r="2027" spans="1:4" x14ac:dyDescent="0.2">
      <c r="A2027" s="5">
        <v>1966</v>
      </c>
      <c r="B2027" s="138">
        <f>'Cap Outlay Deprec 26'!F8</f>
        <v>688149</v>
      </c>
      <c r="C2027" s="2" t="s">
        <v>573</v>
      </c>
      <c r="D2027" s="2" t="str">
        <f t="shared" si="30"/>
        <v>Error?</v>
      </c>
    </row>
    <row r="2028" spans="1:4" x14ac:dyDescent="0.2">
      <c r="A2028" s="5">
        <v>1967</v>
      </c>
      <c r="B2028" s="138">
        <f>'Cap Outlay Deprec 26'!F10</f>
        <v>35259</v>
      </c>
      <c r="C2028" s="2" t="s">
        <v>573</v>
      </c>
      <c r="D2028" s="2" t="str">
        <f t="shared" si="30"/>
        <v>Error?</v>
      </c>
    </row>
    <row r="2029" spans="1:4" x14ac:dyDescent="0.2">
      <c r="A2029" s="5">
        <v>1968</v>
      </c>
      <c r="B2029" s="138">
        <f>'Cap Outlay Deprec 26'!F12</f>
        <v>217347</v>
      </c>
      <c r="C2029" s="2" t="s">
        <v>573</v>
      </c>
      <c r="D2029" s="2" t="str">
        <f t="shared" si="30"/>
        <v>Error?</v>
      </c>
    </row>
    <row r="2030" spans="1:4" x14ac:dyDescent="0.2">
      <c r="A2030" s="5">
        <v>1969</v>
      </c>
      <c r="B2030" s="138">
        <f>'Cap Outlay Deprec 26'!F13</f>
        <v>79887</v>
      </c>
      <c r="C2030" s="2" t="s">
        <v>573</v>
      </c>
      <c r="D2030" s="2" t="str">
        <f t="shared" si="30"/>
        <v>Error?</v>
      </c>
    </row>
    <row r="2031" spans="1:4" x14ac:dyDescent="0.2">
      <c r="A2031" s="5">
        <v>1970</v>
      </c>
      <c r="B2031" s="138">
        <f>'Cap Outlay Deprec 26'!F16</f>
        <v>1064439</v>
      </c>
      <c r="C2031" s="2" t="s">
        <v>573</v>
      </c>
      <c r="D2031" s="2" t="str">
        <f t="shared" si="30"/>
        <v>Error?</v>
      </c>
    </row>
    <row r="2032" spans="1:4" x14ac:dyDescent="0.2">
      <c r="A2032" s="10">
        <v>1971</v>
      </c>
      <c r="D2032" s="2" t="str">
        <f t="shared" si="30"/>
        <v>OK</v>
      </c>
    </row>
    <row r="2033" spans="1:4" x14ac:dyDescent="0.2">
      <c r="A2033" s="5">
        <v>1972</v>
      </c>
      <c r="B2033" s="138">
        <f>'Cap Outlay Deprec 26'!H8</f>
        <v>321635</v>
      </c>
      <c r="D2033" s="2" t="str">
        <f t="shared" si="30"/>
        <v>Error?</v>
      </c>
    </row>
    <row r="2034" spans="1:4" x14ac:dyDescent="0.2">
      <c r="A2034" s="5">
        <v>1973</v>
      </c>
      <c r="B2034" s="138">
        <f>'Cap Outlay Deprec 26'!H10</f>
        <v>13514</v>
      </c>
      <c r="D2034" s="2" t="str">
        <f t="shared" si="30"/>
        <v>Error?</v>
      </c>
    </row>
    <row r="2035" spans="1:4" x14ac:dyDescent="0.2">
      <c r="A2035" s="5">
        <v>1974</v>
      </c>
      <c r="B2035" s="138">
        <f>'Cap Outlay Deprec 26'!H12</f>
        <v>173820</v>
      </c>
      <c r="D2035" s="2" t="str">
        <f t="shared" si="30"/>
        <v>Error?</v>
      </c>
    </row>
    <row r="2036" spans="1:4" x14ac:dyDescent="0.2">
      <c r="A2036" s="5">
        <v>1975</v>
      </c>
      <c r="B2036" s="138">
        <f>'Cap Outlay Deprec 26'!H13</f>
        <v>76687</v>
      </c>
      <c r="D2036" s="2" t="str">
        <f t="shared" si="30"/>
        <v>Error?</v>
      </c>
    </row>
    <row r="2037" spans="1:4" x14ac:dyDescent="0.2">
      <c r="A2037" s="5">
        <v>1976</v>
      </c>
      <c r="B2037" s="138">
        <f>'Cap Outlay Deprec 26'!H16</f>
        <v>622264</v>
      </c>
      <c r="C2037" s="2" t="s">
        <v>573</v>
      </c>
      <c r="D2037" s="2" t="str">
        <f t="shared" si="30"/>
        <v>Error?</v>
      </c>
    </row>
    <row r="2038" spans="1:4" x14ac:dyDescent="0.2">
      <c r="A2038" s="10">
        <v>1977</v>
      </c>
      <c r="D2038" s="2" t="str">
        <f t="shared" si="30"/>
        <v>OK</v>
      </c>
    </row>
    <row r="2039" spans="1:4" x14ac:dyDescent="0.2">
      <c r="A2039" s="5">
        <v>1978</v>
      </c>
      <c r="B2039" s="138">
        <f>'Cap Outlay Deprec 26'!I8</f>
        <v>14535</v>
      </c>
      <c r="D2039" s="2" t="str">
        <f t="shared" si="30"/>
        <v>Error?</v>
      </c>
    </row>
    <row r="2040" spans="1:4" x14ac:dyDescent="0.2">
      <c r="A2040" s="5">
        <v>1979</v>
      </c>
      <c r="B2040" s="138">
        <f>'Cap Outlay Deprec 26'!I10</f>
        <v>1450</v>
      </c>
      <c r="D2040" s="2" t="str">
        <f t="shared" si="30"/>
        <v>Error?</v>
      </c>
    </row>
    <row r="2041" spans="1:4" x14ac:dyDescent="0.2">
      <c r="A2041" s="5">
        <v>1980</v>
      </c>
      <c r="B2041" s="138">
        <f>'Cap Outlay Deprec 26'!I12</f>
        <v>8586</v>
      </c>
      <c r="D2041" s="2" t="str">
        <f t="shared" si="30"/>
        <v>Error?</v>
      </c>
    </row>
    <row r="2042" spans="1:4" x14ac:dyDescent="0.2">
      <c r="A2042" s="5">
        <v>1981</v>
      </c>
      <c r="B2042" s="138">
        <f>'Cap Outlay Deprec 26'!I13</f>
        <v>3200</v>
      </c>
      <c r="D2042" s="2" t="str">
        <f t="shared" si="30"/>
        <v>Error?</v>
      </c>
    </row>
    <row r="2043" spans="1:4" x14ac:dyDescent="0.2">
      <c r="A2043" s="5">
        <v>1982</v>
      </c>
      <c r="B2043" s="138">
        <f>'Cap Outlay Deprec 26'!I16</f>
        <v>29652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336170</v>
      </c>
      <c r="C2051" s="2" t="s">
        <v>573</v>
      </c>
      <c r="D2051" s="2" t="str">
        <f t="shared" si="31"/>
        <v>Error?</v>
      </c>
    </row>
    <row r="2052" spans="1:4" x14ac:dyDescent="0.2">
      <c r="A2052" s="5">
        <v>1991</v>
      </c>
      <c r="B2052" s="138">
        <f>'Cap Outlay Deprec 26'!K10</f>
        <v>14964</v>
      </c>
      <c r="C2052" s="2" t="s">
        <v>573</v>
      </c>
      <c r="D2052" s="2" t="str">
        <f t="shared" si="31"/>
        <v>Error?</v>
      </c>
    </row>
    <row r="2053" spans="1:4" x14ac:dyDescent="0.2">
      <c r="A2053" s="5">
        <v>1992</v>
      </c>
      <c r="B2053" s="138">
        <f>'Cap Outlay Deprec 26'!K12</f>
        <v>182406</v>
      </c>
      <c r="C2053" s="2" t="s">
        <v>573</v>
      </c>
      <c r="D2053" s="2" t="str">
        <f t="shared" si="31"/>
        <v>Error?</v>
      </c>
    </row>
    <row r="2054" spans="1:4" x14ac:dyDescent="0.2">
      <c r="A2054" s="5">
        <v>1993</v>
      </c>
      <c r="B2054" s="138">
        <f>'Cap Outlay Deprec 26'!K13</f>
        <v>79887</v>
      </c>
      <c r="C2054" s="2" t="s">
        <v>573</v>
      </c>
      <c r="D2054" s="2" t="str">
        <f t="shared" si="31"/>
        <v>Error?</v>
      </c>
    </row>
    <row r="2055" spans="1:4" x14ac:dyDescent="0.2">
      <c r="A2055" s="5">
        <v>1994</v>
      </c>
      <c r="B2055" s="138">
        <f>'Cap Outlay Deprec 26'!K16</f>
        <v>651916</v>
      </c>
      <c r="C2055" s="2" t="s">
        <v>573</v>
      </c>
      <c r="D2055" s="2" t="str">
        <f t="shared" si="31"/>
        <v>Error?</v>
      </c>
    </row>
    <row r="2056" spans="1:4" x14ac:dyDescent="0.2">
      <c r="A2056" s="5">
        <v>1995</v>
      </c>
      <c r="B2056" s="138">
        <f>'Cap Outlay Deprec 26'!L5</f>
        <v>3000</v>
      </c>
      <c r="C2056" s="2" t="s">
        <v>573</v>
      </c>
      <c r="D2056" s="2" t="str">
        <f t="shared" si="31"/>
        <v>Error?</v>
      </c>
    </row>
    <row r="2057" spans="1:4" x14ac:dyDescent="0.2">
      <c r="A2057" s="5">
        <v>1996</v>
      </c>
      <c r="B2057" s="138">
        <f>'Cap Outlay Deprec 26'!L8</f>
        <v>351979</v>
      </c>
      <c r="C2057" s="2" t="s">
        <v>573</v>
      </c>
      <c r="D2057" s="2" t="str">
        <f t="shared" si="31"/>
        <v>Error?</v>
      </c>
    </row>
    <row r="2058" spans="1:4" x14ac:dyDescent="0.2">
      <c r="A2058" s="5">
        <v>1997</v>
      </c>
      <c r="B2058" s="138">
        <f>'Cap Outlay Deprec 26'!L10</f>
        <v>20295</v>
      </c>
      <c r="C2058" s="2" t="s">
        <v>573</v>
      </c>
      <c r="D2058" s="2" t="str">
        <f t="shared" si="31"/>
        <v>Error?</v>
      </c>
    </row>
    <row r="2059" spans="1:4" x14ac:dyDescent="0.2">
      <c r="A2059" s="5">
        <v>1998</v>
      </c>
      <c r="B2059" s="138">
        <f>'Cap Outlay Deprec 26'!L12</f>
        <v>34941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412523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21656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28391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641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186783</v>
      </c>
      <c r="C2551" s="2" t="s">
        <v>573</v>
      </c>
      <c r="D2551" s="2" t="str">
        <f t="shared" si="38"/>
        <v>Error?</v>
      </c>
    </row>
    <row r="2552" spans="1:4" x14ac:dyDescent="0.2">
      <c r="A2552" s="10">
        <v>2491</v>
      </c>
      <c r="D2552" s="2" t="str">
        <f t="shared" si="38"/>
        <v>OK</v>
      </c>
    </row>
    <row r="2553" spans="1:4" x14ac:dyDescent="0.2">
      <c r="A2553" s="5">
        <v>2492</v>
      </c>
      <c r="B2553" s="138">
        <f>'Acct Summary 7-8'!C6</f>
        <v>276140</v>
      </c>
      <c r="C2553" s="2" t="s">
        <v>573</v>
      </c>
      <c r="D2553" s="2" t="str">
        <f t="shared" si="38"/>
        <v>Error?</v>
      </c>
    </row>
    <row r="2554" spans="1:4" x14ac:dyDescent="0.2">
      <c r="A2554" s="5">
        <v>2493</v>
      </c>
      <c r="B2554" s="138">
        <f>'Acct Summary 7-8'!C7</f>
        <v>111587</v>
      </c>
      <c r="C2554" s="2" t="s">
        <v>573</v>
      </c>
      <c r="D2554" s="2" t="str">
        <f t="shared" si="38"/>
        <v>Error?</v>
      </c>
    </row>
    <row r="2555" spans="1:4" x14ac:dyDescent="0.2">
      <c r="A2555" s="5">
        <v>2494</v>
      </c>
      <c r="B2555" s="138">
        <f>'Acct Summary 7-8'!C8</f>
        <v>574510</v>
      </c>
      <c r="C2555" s="2" t="s">
        <v>573</v>
      </c>
      <c r="D2555" s="2" t="str">
        <f t="shared" si="38"/>
        <v>Error?</v>
      </c>
    </row>
    <row r="2556" spans="1:4" x14ac:dyDescent="0.2">
      <c r="A2556" s="5">
        <v>2495</v>
      </c>
      <c r="B2556" s="138">
        <f>'Acct Summary 7-8'!C12</f>
        <v>339175</v>
      </c>
      <c r="C2556" s="2" t="s">
        <v>573</v>
      </c>
      <c r="D2556" s="2" t="str">
        <f t="shared" si="38"/>
        <v>Error?</v>
      </c>
    </row>
    <row r="2557" spans="1:4" x14ac:dyDescent="0.2">
      <c r="A2557" s="5">
        <v>2496</v>
      </c>
      <c r="B2557" s="138">
        <f>'Acct Summary 7-8'!C13</f>
        <v>160196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21656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521027</v>
      </c>
      <c r="C2561" s="2" t="s">
        <v>573</v>
      </c>
      <c r="D2561" s="2" t="str">
        <f t="shared" si="39"/>
        <v>Error?</v>
      </c>
    </row>
    <row r="2562" spans="1:4" x14ac:dyDescent="0.2">
      <c r="A2562" s="5">
        <v>2501</v>
      </c>
      <c r="B2562" s="138">
        <f>'Acct Summary 7-8'!C20</f>
        <v>53483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27771</v>
      </c>
      <c r="C2564" s="2" t="s">
        <v>573</v>
      </c>
      <c r="D2564" s="2" t="str">
        <f t="shared" si="39"/>
        <v>Error?</v>
      </c>
    </row>
    <row r="2565" spans="1:4" x14ac:dyDescent="0.2">
      <c r="A2565" s="10">
        <v>2504</v>
      </c>
      <c r="D2565" s="2" t="str">
        <f t="shared" si="39"/>
        <v>OK</v>
      </c>
    </row>
    <row r="2566" spans="1:4" x14ac:dyDescent="0.2">
      <c r="A2566" s="5">
        <v>2505</v>
      </c>
      <c r="B2566" s="138">
        <f>'Acct Summary 7-8'!D6</f>
        <v>26426</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54197</v>
      </c>
      <c r="C2568" s="2" t="s">
        <v>573</v>
      </c>
      <c r="D2568" s="2" t="str">
        <f t="shared" si="39"/>
        <v>Error?</v>
      </c>
    </row>
    <row r="2569" spans="1:4" x14ac:dyDescent="0.2">
      <c r="A2569" s="5">
        <v>2508</v>
      </c>
      <c r="B2569" s="138">
        <f>'Acct Summary 7-8'!D13</f>
        <v>50915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50915</v>
      </c>
      <c r="C2573" s="2" t="s">
        <v>573</v>
      </c>
      <c r="D2573" s="2" t="str">
        <f t="shared" si="39"/>
        <v>Error?</v>
      </c>
    </row>
    <row r="2574" spans="1:4" x14ac:dyDescent="0.2">
      <c r="A2574" s="5">
        <v>2513</v>
      </c>
      <c r="B2574" s="138">
        <f>'Acct Summary 7-8'!D20</f>
        <v>3282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11109</v>
      </c>
      <c r="C2591" s="2" t="s">
        <v>573</v>
      </c>
      <c r="D2591" s="2" t="str">
        <f t="shared" si="39"/>
        <v>Error?</v>
      </c>
    </row>
    <row r="2592" spans="1:4" x14ac:dyDescent="0.2">
      <c r="A2592" s="10">
        <v>2531</v>
      </c>
      <c r="D2592" s="2" t="str">
        <f t="shared" si="39"/>
        <v>OK</v>
      </c>
    </row>
    <row r="2593" spans="1:4" x14ac:dyDescent="0.2">
      <c r="A2593" s="5">
        <v>2532</v>
      </c>
      <c r="B2593" s="138">
        <f>'Acct Summary 7-8'!F6</f>
        <v>14610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25719</v>
      </c>
      <c r="C2595" s="2" t="s">
        <v>573</v>
      </c>
      <c r="D2595" s="2" t="str">
        <f t="shared" si="39"/>
        <v>Error?</v>
      </c>
    </row>
    <row r="2596" spans="1:4" x14ac:dyDescent="0.2">
      <c r="A2596" s="5">
        <v>2535</v>
      </c>
      <c r="B2596" s="138">
        <f>'Acct Summary 7-8'!F13</f>
        <v>18898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18898</v>
      </c>
      <c r="C2600" s="2" t="s">
        <v>573</v>
      </c>
      <c r="D2600" s="2" t="str">
        <f t="shared" si="39"/>
        <v>Error?</v>
      </c>
    </row>
    <row r="2601" spans="1:4" x14ac:dyDescent="0.2">
      <c r="A2601" s="5">
        <v>2540</v>
      </c>
      <c r="B2601" s="138">
        <f>'Acct Summary 7-8'!F20</f>
        <v>6821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4815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4815</v>
      </c>
      <c r="C2606" s="2" t="s">
        <v>573</v>
      </c>
      <c r="D2606" s="2" t="str">
        <f t="shared" si="39"/>
        <v>Error?</v>
      </c>
    </row>
    <row r="2607" spans="1:4" x14ac:dyDescent="0.2">
      <c r="A2607" s="5">
        <v>2546</v>
      </c>
      <c r="B2607" s="138">
        <f>'Acct Summary 7-8'!G12</f>
        <v>2865</v>
      </c>
      <c r="C2607" s="2" t="s">
        <v>573</v>
      </c>
      <c r="D2607" s="2" t="str">
        <f t="shared" si="39"/>
        <v>Error?</v>
      </c>
    </row>
    <row r="2608" spans="1:4" x14ac:dyDescent="0.2">
      <c r="A2608" s="5">
        <v>2547</v>
      </c>
      <c r="B2608" s="138">
        <f>'Acct Summary 7-8'!G13</f>
        <v>9197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12062</v>
      </c>
      <c r="C2612" s="2" t="s">
        <v>573</v>
      </c>
      <c r="D2612" s="2" t="str">
        <f t="shared" si="39"/>
        <v>Error?</v>
      </c>
    </row>
    <row r="2613" spans="1:4" x14ac:dyDescent="0.2">
      <c r="A2613" s="5">
        <v>2552</v>
      </c>
      <c r="B2613" s="138">
        <f>'Acct Summary 7-8'!G20</f>
        <v>-7247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12771</v>
      </c>
      <c r="C2630" s="2" t="s">
        <v>573</v>
      </c>
      <c r="D2630" s="2" t="str">
        <f t="shared" si="40"/>
        <v>Error?</v>
      </c>
    </row>
    <row r="2631" spans="1:4" x14ac:dyDescent="0.2">
      <c r="A2631" s="5">
        <v>2570</v>
      </c>
      <c r="B2631" s="138">
        <f>'Acct Summary 7-8'!E6</f>
        <v>1000</v>
      </c>
      <c r="C2631" s="2" t="s">
        <v>573</v>
      </c>
      <c r="D2631" s="2" t="str">
        <f t="shared" si="40"/>
        <v>Error?</v>
      </c>
    </row>
    <row r="2632" spans="1:4" x14ac:dyDescent="0.2">
      <c r="A2632" s="5">
        <v>2571</v>
      </c>
      <c r="B2632" s="138">
        <f>'Acct Summary 7-8'!E8</f>
        <v>13771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13130</v>
      </c>
      <c r="C2634" s="2" t="s">
        <v>573</v>
      </c>
      <c r="D2634" s="2" t="str">
        <f t="shared" si="40"/>
        <v>Error?</v>
      </c>
    </row>
    <row r="2635" spans="1:4" x14ac:dyDescent="0.2">
      <c r="A2635" s="5">
        <v>2574</v>
      </c>
      <c r="B2635" s="138">
        <f>'Acct Summary 7-8'!E17</f>
        <v>13130</v>
      </c>
      <c r="C2635" s="2" t="s">
        <v>573</v>
      </c>
      <c r="D2635" s="2" t="str">
        <f t="shared" si="40"/>
        <v>Error?</v>
      </c>
    </row>
    <row r="2636" spans="1:4" x14ac:dyDescent="0.2">
      <c r="A2636" s="5">
        <v>2575</v>
      </c>
      <c r="B2636" s="138">
        <f>'Acct Summary 7-8'!E20</f>
        <v>641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21656</v>
      </c>
      <c r="C2789" s="2" t="s">
        <v>573</v>
      </c>
      <c r="D2789" s="2" t="str">
        <f t="shared" si="42"/>
        <v>Error?</v>
      </c>
    </row>
    <row r="2790" spans="1:4" x14ac:dyDescent="0.2">
      <c r="A2790" s="5">
        <v>2729</v>
      </c>
      <c r="B2790" s="138">
        <f>'Expenditures 15-22'!E102</f>
        <v>21656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6136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1684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6136</v>
      </c>
      <c r="D2912" s="2" t="str">
        <f t="shared" si="44"/>
        <v>Error?</v>
      </c>
    </row>
    <row r="2913" spans="1:4" x14ac:dyDescent="0.2">
      <c r="A2913" s="5">
        <v>2852</v>
      </c>
      <c r="B2913" s="138">
        <f>'Assets-Liab 5-6'!I41</f>
        <v>6136</v>
      </c>
      <c r="C2913" s="2" t="s">
        <v>573</v>
      </c>
      <c r="D2913" s="2" t="str">
        <f t="shared" si="44"/>
        <v>Error?</v>
      </c>
    </row>
    <row r="2914" spans="1:4" x14ac:dyDescent="0.2">
      <c r="A2914" s="5">
        <v>2853</v>
      </c>
      <c r="B2914" s="138">
        <f>'Assets-Liab 5-6'!L33</f>
        <v>1684</v>
      </c>
      <c r="D2914" s="2" t="str">
        <f t="shared" si="44"/>
        <v>Error?</v>
      </c>
    </row>
    <row r="2915" spans="1:4" x14ac:dyDescent="0.2">
      <c r="A2915" s="10">
        <v>2854</v>
      </c>
      <c r="D2915" s="2" t="str">
        <f t="shared" si="44"/>
        <v>OK</v>
      </c>
    </row>
    <row r="2916" spans="1:4" x14ac:dyDescent="0.2">
      <c r="A2916" s="5">
        <v>2855</v>
      </c>
      <c r="B2916" s="138">
        <f>'Assets-Liab 5-6'!L34</f>
        <v>1684</v>
      </c>
      <c r="C2916" s="2" t="s">
        <v>573</v>
      </c>
      <c r="D2916" s="2" t="str">
        <f t="shared" si="44"/>
        <v>Error?</v>
      </c>
    </row>
    <row r="2917" spans="1:4" x14ac:dyDescent="0.2">
      <c r="A2917" s="5">
        <v>2856</v>
      </c>
      <c r="B2917" s="138">
        <f>'Assets-Liab 5-6'!L41</f>
        <v>1684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21656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21656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28719</v>
      </c>
      <c r="D3055" s="2" t="str">
        <f t="shared" si="46"/>
        <v>Error?</v>
      </c>
    </row>
    <row r="3056" spans="1:4" x14ac:dyDescent="0.2">
      <c r="A3056" s="5">
        <v>2995</v>
      </c>
      <c r="B3056" s="138">
        <f>'Expenditures 15-22'!D10</f>
        <v>3281</v>
      </c>
      <c r="D3056" s="2" t="str">
        <f t="shared" si="46"/>
        <v>Error?</v>
      </c>
    </row>
    <row r="3057" spans="1:4" x14ac:dyDescent="0.2">
      <c r="A3057" s="5">
        <v>2996</v>
      </c>
      <c r="B3057" s="138">
        <f>'Expenditures 15-22'!E10</f>
        <v>1208</v>
      </c>
      <c r="D3057" s="2" t="str">
        <f t="shared" si="46"/>
        <v>Error?</v>
      </c>
    </row>
    <row r="3058" spans="1:4" x14ac:dyDescent="0.2">
      <c r="A3058" s="5">
        <v>2997</v>
      </c>
      <c r="B3058" s="138">
        <f>'Expenditures 15-22'!F10</f>
        <v>18676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51884</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2777</v>
      </c>
      <c r="C3225" s="2" t="s">
        <v>573</v>
      </c>
      <c r="D3225" s="2" t="str">
        <f t="shared" si="49"/>
        <v>Error?</v>
      </c>
    </row>
    <row r="3226" spans="1:4" x14ac:dyDescent="0.2">
      <c r="A3226" s="5">
        <v>3165</v>
      </c>
      <c r="B3226" s="138">
        <f>'Acct Summary 7-8'!I8</f>
        <v>2777</v>
      </c>
      <c r="C3226" s="2" t="s">
        <v>573</v>
      </c>
      <c r="D3226" s="2" t="str">
        <f t="shared" si="49"/>
        <v>Error?</v>
      </c>
    </row>
    <row r="3227" spans="1:4" x14ac:dyDescent="0.2">
      <c r="A3227" s="5">
        <v>3166</v>
      </c>
      <c r="B3227" s="138">
        <f>'Acct Summary 7-8'!I20</f>
        <v>2777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53483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3282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6821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-7247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641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2777</v>
      </c>
      <c r="C3320" s="2" t="s">
        <v>573</v>
      </c>
      <c r="D3320" s="2" t="str">
        <f t="shared" si="50"/>
        <v>Error?</v>
      </c>
    </row>
    <row r="3321" spans="1:4" x14ac:dyDescent="0.2">
      <c r="A3321" s="5">
        <v>3260</v>
      </c>
      <c r="B3321" s="138">
        <f>'Acct Summary 7-8'!I79</f>
        <v>3359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6136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28352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3637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2020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34009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2263</v>
      </c>
      <c r="D3387" s="2" t="str">
        <f t="shared" si="51"/>
        <v>Error?</v>
      </c>
    </row>
    <row r="3388" spans="1:4" x14ac:dyDescent="0.2">
      <c r="A3388" s="5">
        <v>3327</v>
      </c>
      <c r="B3388" s="138">
        <f>'Expenditures 15-22'!D217</f>
        <v>394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2263</v>
      </c>
      <c r="C3390" s="2" t="s">
        <v>573</v>
      </c>
      <c r="D3390" s="2" t="str">
        <f t="shared" si="51"/>
        <v>Error?</v>
      </c>
    </row>
    <row r="3391" spans="1:4" x14ac:dyDescent="0.2">
      <c r="A3391" s="5">
        <v>3330</v>
      </c>
      <c r="B3391" s="138">
        <f>'Expenditures 15-22'!K217</f>
        <v>394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234203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9169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641</v>
      </c>
      <c r="D3417" s="2" t="str">
        <f t="shared" si="52"/>
        <v>Error?</v>
      </c>
    </row>
    <row r="3418" spans="1:4" x14ac:dyDescent="0.2">
      <c r="A3418" s="10">
        <v>3357</v>
      </c>
      <c r="D3418" s="2" t="str">
        <f t="shared" si="52"/>
        <v>OK</v>
      </c>
    </row>
    <row r="3419" spans="1:4" x14ac:dyDescent="0.2">
      <c r="A3419" s="5">
        <v>3358</v>
      </c>
      <c r="B3419" s="138">
        <f>'Assets-Liab 5-6'!F4</f>
        <v>43329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28391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6136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1684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2007</v>
      </c>
      <c r="C3446" s="2" t="s">
        <v>573</v>
      </c>
      <c r="D3446" s="2" t="str">
        <f t="shared" si="52"/>
        <v>Error?</v>
      </c>
    </row>
    <row r="3447" spans="1:4" x14ac:dyDescent="0.2">
      <c r="A3447" s="5">
        <v>3386</v>
      </c>
      <c r="B3447" s="138">
        <f>'Tax Sched 23'!D16</f>
        <v>2007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7002</v>
      </c>
      <c r="C3449" s="2" t="s">
        <v>573</v>
      </c>
      <c r="D3449" s="2" t="str">
        <f t="shared" si="52"/>
        <v>Error?</v>
      </c>
    </row>
    <row r="3450" spans="1:4" x14ac:dyDescent="0.2">
      <c r="A3450" s="5">
        <v>3389</v>
      </c>
      <c r="B3450" s="138">
        <f>'Tax Sched 23'!E16</f>
        <v>7002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2265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2265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2265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2265</v>
      </c>
      <c r="C3568" s="2" t="s">
        <v>573</v>
      </c>
      <c r="D3568" s="2" t="str">
        <f t="shared" si="54"/>
        <v>Error?</v>
      </c>
    </row>
    <row r="3569" spans="1:4" x14ac:dyDescent="0.2">
      <c r="A3569" s="5">
        <v>3508</v>
      </c>
      <c r="B3569" s="138">
        <f>'Acct Summary 7-8'!K4</f>
        <v>2777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2777</v>
      </c>
      <c r="C3571" s="2" t="s">
        <v>573</v>
      </c>
      <c r="D3571" s="2" t="str">
        <f t="shared" si="54"/>
        <v>Error?</v>
      </c>
    </row>
    <row r="3572" spans="1:4" x14ac:dyDescent="0.2">
      <c r="A3572" s="5">
        <v>3511</v>
      </c>
      <c r="B3572" s="138">
        <f>'Acct Summary 7-8'!K13</f>
        <v>27560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27560</v>
      </c>
      <c r="C3575" s="2" t="s">
        <v>573</v>
      </c>
      <c r="D3575" s="2" t="str">
        <f t="shared" si="54"/>
        <v>Error?</v>
      </c>
    </row>
    <row r="3576" spans="1:4" x14ac:dyDescent="0.2">
      <c r="A3576" s="5">
        <v>3515</v>
      </c>
      <c r="B3576" s="138">
        <f>'Acct Summary 7-8'!K20</f>
        <v>-24783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-24783</v>
      </c>
      <c r="C3588" s="2" t="s">
        <v>573</v>
      </c>
      <c r="D3588" s="2" t="str">
        <f t="shared" si="55"/>
        <v>Error?</v>
      </c>
    </row>
    <row r="3589" spans="1:4" x14ac:dyDescent="0.2">
      <c r="A3589" s="5">
        <v>3528</v>
      </c>
      <c r="B3589" s="138">
        <f>'Acct Summary 7-8'!K79</f>
        <v>27048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2265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1829</v>
      </c>
      <c r="D3632" s="2" t="str">
        <f t="shared" si="55"/>
        <v>Error?</v>
      </c>
    </row>
    <row r="3633" spans="1:4" x14ac:dyDescent="0.2">
      <c r="A3633" s="5">
        <v>3572</v>
      </c>
      <c r="B3633" s="138">
        <f>'Expenditures 15-22'!E350</f>
        <v>1829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1829</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25731</v>
      </c>
      <c r="D3646" s="2" t="str">
        <f t="shared" si="55"/>
        <v>Error?</v>
      </c>
    </row>
    <row r="3647" spans="1:4" x14ac:dyDescent="0.2">
      <c r="A3647" s="5">
        <v>3586</v>
      </c>
      <c r="B3647" s="138">
        <f>'Expenditures 15-22'!G350</f>
        <v>25731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25731</v>
      </c>
      <c r="C3649" s="2" t="s">
        <v>573</v>
      </c>
      <c r="D3649" s="2" t="str">
        <f t="shared" si="56"/>
        <v>Error?</v>
      </c>
    </row>
    <row r="3650" spans="1:4" x14ac:dyDescent="0.2">
      <c r="A3650" s="5">
        <v>3589</v>
      </c>
      <c r="B3650" s="138">
        <f>'Expenditures 15-22'!G367</f>
        <v>25731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27560</v>
      </c>
      <c r="C3669" s="2" t="s">
        <v>573</v>
      </c>
      <c r="D3669" s="2" t="str">
        <f t="shared" si="56"/>
        <v>Error?</v>
      </c>
    </row>
    <row r="3670" spans="1:4" x14ac:dyDescent="0.2">
      <c r="A3670" s="5">
        <v>3609</v>
      </c>
      <c r="B3670" s="138">
        <f>'Expenditures 15-22'!K350</f>
        <v>27560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27560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27560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-24783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26522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186864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761374</v>
      </c>
      <c r="C4122" s="2" t="s">
        <v>573</v>
      </c>
      <c r="D4122" s="2" t="str">
        <f t="shared" si="63"/>
        <v>Error?</v>
      </c>
    </row>
    <row r="4123" spans="1:4" x14ac:dyDescent="0.2">
      <c r="A4123" s="5">
        <v>4062</v>
      </c>
      <c r="B4123" s="138">
        <f>'Acct Summary 7-8'!D10</f>
        <v>54197</v>
      </c>
      <c r="C4123" s="2" t="s">
        <v>573</v>
      </c>
      <c r="D4123" s="2" t="str">
        <f t="shared" si="63"/>
        <v>Error?</v>
      </c>
    </row>
    <row r="4124" spans="1:4" x14ac:dyDescent="0.2">
      <c r="A4124" s="5">
        <v>4063</v>
      </c>
      <c r="B4124" s="138">
        <f>'Acct Summary 7-8'!E10</f>
        <v>13771</v>
      </c>
      <c r="C4124" s="2" t="s">
        <v>573</v>
      </c>
      <c r="D4124" s="2" t="str">
        <f t="shared" si="63"/>
        <v>Error?</v>
      </c>
    </row>
    <row r="4125" spans="1:4" x14ac:dyDescent="0.2">
      <c r="A4125" s="5">
        <v>4064</v>
      </c>
      <c r="B4125" s="138">
        <f>'Acct Summary 7-8'!F10</f>
        <v>25719</v>
      </c>
      <c r="C4125" s="2" t="s">
        <v>573</v>
      </c>
      <c r="D4125" s="2" t="str">
        <f t="shared" si="63"/>
        <v>Error?</v>
      </c>
    </row>
    <row r="4126" spans="1:4" x14ac:dyDescent="0.2">
      <c r="A4126" s="5">
        <v>4065</v>
      </c>
      <c r="B4126" s="138">
        <f>'Acct Summary 7-8'!G10</f>
        <v>4815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2777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2777</v>
      </c>
      <c r="C4130" s="2" t="s">
        <v>573</v>
      </c>
      <c r="D4130" s="2" t="str">
        <f t="shared" si="63"/>
        <v>Error?</v>
      </c>
    </row>
    <row r="4131" spans="1:4" x14ac:dyDescent="0.2">
      <c r="A4131" s="5">
        <v>4070</v>
      </c>
      <c r="B4131" s="138">
        <f>'Acct Summary 7-8'!C18</f>
        <v>186864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707891</v>
      </c>
      <c r="C4136" s="2" t="s">
        <v>573</v>
      </c>
      <c r="D4136" s="2" t="str">
        <f t="shared" si="63"/>
        <v>Error?</v>
      </c>
    </row>
    <row r="4137" spans="1:4" x14ac:dyDescent="0.2">
      <c r="A4137" s="5">
        <v>4076</v>
      </c>
      <c r="B4137" s="138">
        <f>'Acct Summary 7-8'!D19</f>
        <v>50915</v>
      </c>
      <c r="C4137" s="2" t="s">
        <v>573</v>
      </c>
      <c r="D4137" s="2" t="str">
        <f t="shared" si="63"/>
        <v>Error?</v>
      </c>
    </row>
    <row r="4138" spans="1:4" x14ac:dyDescent="0.2">
      <c r="A4138" s="5">
        <v>4077</v>
      </c>
      <c r="B4138" s="138">
        <f>'Acct Summary 7-8'!E19</f>
        <v>13130</v>
      </c>
      <c r="C4138" s="2" t="s">
        <v>573</v>
      </c>
      <c r="D4138" s="2" t="str">
        <f t="shared" si="63"/>
        <v>Error?</v>
      </c>
    </row>
    <row r="4139" spans="1:4" x14ac:dyDescent="0.2">
      <c r="A4139" s="5">
        <v>4078</v>
      </c>
      <c r="B4139" s="138">
        <f>'Acct Summary 7-8'!F19</f>
        <v>18898</v>
      </c>
      <c r="C4139" s="2" t="s">
        <v>573</v>
      </c>
      <c r="D4139" s="2" t="str">
        <f t="shared" si="63"/>
        <v>Error?</v>
      </c>
    </row>
    <row r="4140" spans="1:4" x14ac:dyDescent="0.2">
      <c r="A4140" s="5">
        <v>4079</v>
      </c>
      <c r="B4140" s="138">
        <f>'Acct Summary 7-8'!G19</f>
        <v>12062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27560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81000</v>
      </c>
      <c r="C4171" s="2" t="s">
        <v>573</v>
      </c>
      <c r="D4171" s="2" t="str">
        <f t="shared" si="64"/>
        <v>Error?</v>
      </c>
    </row>
    <row r="4172" spans="1:4" x14ac:dyDescent="0.2">
      <c r="A4172" s="5">
        <v>4111</v>
      </c>
      <c r="B4172" s="138">
        <f>'Short-Term Long-Term Debt 24'!J49</f>
        <v>80359</v>
      </c>
      <c r="C4172" s="2" t="s">
        <v>573</v>
      </c>
      <c r="D4172" s="2" t="str">
        <f t="shared" si="64"/>
        <v>Error?</v>
      </c>
    </row>
    <row r="4173" spans="1:4" x14ac:dyDescent="0.2">
      <c r="A4173" s="5">
        <v>4112</v>
      </c>
      <c r="B4173" s="138">
        <f>'Short-Term Long-Term Debt 24'!H49</f>
        <v>4000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1589.27</v>
      </c>
      <c r="C4265" s="2" t="s">
        <v>573</v>
      </c>
      <c r="D4265" s="2" t="str">
        <f t="shared" si="65"/>
        <v>Error?</v>
      </c>
      <c r="E4265" s="128"/>
    </row>
    <row r="4266" spans="1:5" x14ac:dyDescent="0.2">
      <c r="A4266" s="12">
        <v>4205</v>
      </c>
      <c r="B4266" s="138">
        <f>('FP Info 3'!F10)*100000</f>
        <v>454.08000000000004</v>
      </c>
      <c r="C4266" s="2" t="s">
        <v>573</v>
      </c>
      <c r="D4266" s="2" t="str">
        <f t="shared" si="65"/>
        <v>Error?</v>
      </c>
      <c r="E4266" s="128"/>
    </row>
    <row r="4267" spans="1:5" x14ac:dyDescent="0.2">
      <c r="A4267" s="12">
        <v>4206</v>
      </c>
      <c r="B4267" s="138">
        <f>('FP Info 3'!H10)*100000</f>
        <v>181.64</v>
      </c>
      <c r="C4267" s="2" t="s">
        <v>573</v>
      </c>
      <c r="D4267" s="2" t="str">
        <f t="shared" si="65"/>
        <v>Error?</v>
      </c>
      <c r="E4267" s="128"/>
    </row>
    <row r="4268" spans="1:5" x14ac:dyDescent="0.2">
      <c r="A4268" s="12">
        <v>4207</v>
      </c>
      <c r="B4268" s="138">
        <f>('FP Info 3'!J10)*100000</f>
        <v>2225</v>
      </c>
      <c r="C4268" s="2" t="s">
        <v>573</v>
      </c>
      <c r="D4268" s="2" t="str">
        <f t="shared" si="65"/>
        <v>Error?</v>
      </c>
    </row>
    <row r="4269" spans="1:5" x14ac:dyDescent="0.2">
      <c r="A4269" s="12">
        <v>4208</v>
      </c>
      <c r="B4269" s="138">
        <f>'FP Info 3'!J16</f>
        <v>292837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612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3475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1100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45.41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22808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7710356</v>
      </c>
      <c r="D4995" s="2" t="str">
        <f t="shared" si="77"/>
        <v>Error?</v>
      </c>
    </row>
    <row r="4996" spans="1:4" x14ac:dyDescent="0.2">
      <c r="A4996" s="12">
        <v>4935</v>
      </c>
      <c r="B4996" s="138">
        <f>'FP Info 3'!H31</f>
        <v>532014.56400000001</v>
      </c>
      <c r="D4996" s="2" t="str">
        <f t="shared" si="77"/>
        <v>Error?</v>
      </c>
    </row>
    <row r="4997" spans="1:4" x14ac:dyDescent="0.2">
      <c r="A4997" s="12">
        <v>4936</v>
      </c>
      <c r="B4997" s="138">
        <f>'FP Info 3'!H37</f>
        <v>81000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97196</v>
      </c>
      <c r="D5061" s="2" t="str">
        <f t="shared" si="78"/>
        <v>Error?</v>
      </c>
    </row>
    <row r="5062" spans="1:4" x14ac:dyDescent="0.2">
      <c r="A5062" s="10">
        <v>5001</v>
      </c>
      <c r="D5062" s="2" t="str">
        <f t="shared" si="78"/>
        <v>OK</v>
      </c>
    </row>
    <row r="5063" spans="1:4" x14ac:dyDescent="0.2">
      <c r="A5063" s="5">
        <v>5002</v>
      </c>
      <c r="B5063" s="138">
        <f>'Revenues 9-14'!C7</f>
        <v>1111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98307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50820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50820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4705</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4705</v>
      </c>
      <c r="C5087" s="2" t="s">
        <v>573</v>
      </c>
      <c r="D5087" s="2" t="str">
        <f t="shared" si="78"/>
        <v>Error?</v>
      </c>
    </row>
    <row r="5088" spans="1:4" x14ac:dyDescent="0.2">
      <c r="A5088" s="5">
        <v>5027</v>
      </c>
      <c r="B5088" s="138">
        <f>'Revenues 9-14'!C65</f>
        <v>4126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4126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7758</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4599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16468</v>
      </c>
      <c r="D5119" s="2" t="str">
        <f t="shared" ref="D5119:D5182" si="79">IF(ISBLANK(B5119),"OK",IF(A5119-B5119=0,"OK","Error?"))</f>
        <v>Error?</v>
      </c>
    </row>
    <row r="5120" spans="1:4" x14ac:dyDescent="0.2">
      <c r="A5120" s="5">
        <v>5059</v>
      </c>
      <c r="B5120" s="138">
        <f>'Revenues 9-14'!C108</f>
        <v>21067</v>
      </c>
      <c r="C5120" s="2" t="s">
        <v>573</v>
      </c>
      <c r="D5120" s="2" t="str">
        <f t="shared" si="79"/>
        <v>Error?</v>
      </c>
    </row>
    <row r="5121" spans="1:4" x14ac:dyDescent="0.2">
      <c r="A5121" s="5">
        <v>5060</v>
      </c>
      <c r="B5121" s="138">
        <f>'Revenues 9-14'!C109</f>
        <v>186783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274254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274254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1355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1355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531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1886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276140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18627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10042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28669</v>
      </c>
      <c r="C5246" s="2" t="s">
        <v>573</v>
      </c>
      <c r="D5246" s="2" t="str">
        <f t="shared" si="80"/>
        <v>Error?</v>
      </c>
    </row>
    <row r="5247" spans="1:4" x14ac:dyDescent="0.2">
      <c r="A5247" s="5">
        <v>5186</v>
      </c>
      <c r="B5247" s="138">
        <f>'Revenues 9-14'!C200</f>
        <v>54923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54923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111587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111587</v>
      </c>
      <c r="C5326" s="2" t="s">
        <v>573</v>
      </c>
      <c r="D5326" s="2" t="str">
        <f t="shared" si="82"/>
        <v>Error?</v>
      </c>
    </row>
    <row r="5327" spans="1:5" x14ac:dyDescent="0.2">
      <c r="A5327" s="5">
        <v>5266</v>
      </c>
      <c r="B5327" s="138">
        <f>'Revenues 9-14'!C268</f>
        <v>574510</v>
      </c>
      <c r="C5327" s="2" t="s">
        <v>573</v>
      </c>
      <c r="D5327" s="2" t="str">
        <f t="shared" si="82"/>
        <v>Error?</v>
      </c>
    </row>
    <row r="5328" spans="1:5" x14ac:dyDescent="0.2">
      <c r="A5328" s="5">
        <v>5267</v>
      </c>
      <c r="B5328" s="138">
        <f>'Revenues 9-14'!D5</f>
        <v>27771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27771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27771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26426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26426</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26426</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54197</v>
      </c>
      <c r="C5508" s="2" t="s">
        <v>573</v>
      </c>
      <c r="D5508" s="2" t="str">
        <f t="shared" si="85"/>
        <v>Error?</v>
      </c>
    </row>
    <row r="5509" spans="1:4" x14ac:dyDescent="0.2">
      <c r="A5509" s="5">
        <v>5448</v>
      </c>
      <c r="B5509" s="138">
        <f>'Revenues 9-14'!E5</f>
        <v>12771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12771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12771</v>
      </c>
      <c r="C5527" s="2" t="s">
        <v>573</v>
      </c>
      <c r="D5527" s="2" t="str">
        <f t="shared" si="85"/>
        <v>Error?</v>
      </c>
    </row>
    <row r="5528" spans="1:4" x14ac:dyDescent="0.2">
      <c r="A5528" s="5">
        <v>5467</v>
      </c>
      <c r="B5528" s="138">
        <f>'Revenues 9-14'!E117</f>
        <v>1000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13771</v>
      </c>
      <c r="C5552" s="2" t="s">
        <v>573</v>
      </c>
      <c r="D5552" s="2" t="str">
        <f t="shared" si="85"/>
        <v>Error?</v>
      </c>
    </row>
    <row r="5553" spans="1:4" x14ac:dyDescent="0.2">
      <c r="A5553" s="5">
        <v>5492</v>
      </c>
      <c r="B5553" s="138">
        <f>'Revenues 9-14'!F5</f>
        <v>11109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11109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11109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10867</v>
      </c>
      <c r="D5615" s="2" t="str">
        <f t="shared" si="86"/>
        <v>Error?</v>
      </c>
    </row>
    <row r="5616" spans="1:4" x14ac:dyDescent="0.2">
      <c r="A5616" s="10">
        <v>5555</v>
      </c>
      <c r="D5616" s="2" t="str">
        <f t="shared" si="86"/>
        <v>OK</v>
      </c>
    </row>
    <row r="5617" spans="1:5" x14ac:dyDescent="0.2">
      <c r="A5617" s="5">
        <v>5556</v>
      </c>
      <c r="B5617" s="138">
        <f>'Revenues 9-14'!F153</f>
        <v>3743</v>
      </c>
      <c r="D5617" s="2" t="str">
        <f t="shared" si="86"/>
        <v>Error?</v>
      </c>
    </row>
    <row r="5618" spans="1:5" x14ac:dyDescent="0.2">
      <c r="A5618" s="5">
        <v>5557</v>
      </c>
      <c r="B5618" s="138">
        <f>'Revenues 9-14'!F155</f>
        <v>14610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14610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14610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25719</v>
      </c>
      <c r="C5720" s="2" t="s">
        <v>573</v>
      </c>
      <c r="D5720" s="2" t="str">
        <f t="shared" si="88"/>
        <v>Error?</v>
      </c>
    </row>
    <row r="5721" spans="1:4" x14ac:dyDescent="0.2">
      <c r="A5721" s="5">
        <v>5660</v>
      </c>
      <c r="B5721" s="138">
        <f>'Revenues 9-14'!G5</f>
        <v>2004</v>
      </c>
      <c r="D5721" s="2" t="str">
        <f t="shared" si="88"/>
        <v>Error?</v>
      </c>
    </row>
    <row r="5722" spans="1:4" x14ac:dyDescent="0.2">
      <c r="A5722" s="5">
        <v>5661</v>
      </c>
      <c r="B5722" s="138">
        <f>'Revenues 9-14'!G7</f>
        <v>0</v>
      </c>
      <c r="D5722" s="2" t="str">
        <f t="shared" si="88"/>
        <v>Error?</v>
      </c>
    </row>
    <row r="5723" spans="1:4" x14ac:dyDescent="0.2">
      <c r="A5723" s="5">
        <v>5662</v>
      </c>
      <c r="B5723" s="138">
        <f>'Revenues 9-14'!G8</f>
        <v>2007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4011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804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804</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4815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2777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2777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2777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2777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2777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2777</v>
      </c>
      <c r="C6023" s="2" t="s">
        <v>573</v>
      </c>
      <c r="D6023" s="2" t="str">
        <f t="shared" si="93"/>
        <v>Error?</v>
      </c>
    </row>
    <row r="6024" spans="1:5" x14ac:dyDescent="0.2">
      <c r="A6024" s="5">
        <v>5963</v>
      </c>
      <c r="B6024" s="138">
        <f>'Revenues 9-14'!G109</f>
        <v>4815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2777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2777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7758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2556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58.18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58366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58366</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58366</v>
      </c>
      <c r="D6216" s="2" t="str">
        <f t="shared" si="96"/>
        <v>Error?</v>
      </c>
      <c r="E6216" s="2" t="s">
        <v>190</v>
      </c>
    </row>
    <row r="6217" spans="1:5" x14ac:dyDescent="0.2">
      <c r="A6217">
        <v>6156</v>
      </c>
      <c r="B6217" s="138">
        <f>'Assets-Liab 5-6'!J4</f>
        <v>58366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45425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45425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45425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13018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13018</v>
      </c>
      <c r="D6229" s="2" t="str">
        <f t="shared" si="96"/>
        <v>Error?</v>
      </c>
      <c r="E6229" s="2" t="s">
        <v>190</v>
      </c>
    </row>
    <row r="6230" spans="1:5" x14ac:dyDescent="0.2">
      <c r="A6230">
        <v>6169</v>
      </c>
      <c r="B6230" s="138">
        <f>'Acct Summary 7-8'!J20</f>
        <v>32407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32407</v>
      </c>
      <c r="D6263" s="2" t="str">
        <f t="shared" si="96"/>
        <v>Error?</v>
      </c>
      <c r="E6263" s="2" t="s">
        <v>190</v>
      </c>
    </row>
    <row r="6264" spans="1:5" x14ac:dyDescent="0.2">
      <c r="A6264">
        <v>6203</v>
      </c>
      <c r="B6264" s="138">
        <f>'Acct Summary 7-8'!J79</f>
        <v>25959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58366</v>
      </c>
      <c r="D6266" s="2" t="str">
        <f t="shared" si="96"/>
        <v>Error?</v>
      </c>
      <c r="E6266" s="2" t="s">
        <v>190</v>
      </c>
    </row>
    <row r="6267" spans="1:5" x14ac:dyDescent="0.2">
      <c r="A6267">
        <v>6206</v>
      </c>
      <c r="B6267" s="138">
        <f>'Acct Summary 7-8'!C82</f>
        <v>53483</v>
      </c>
      <c r="D6267" s="2" t="str">
        <f t="shared" si="96"/>
        <v>Error?</v>
      </c>
      <c r="E6267" s="2" t="s">
        <v>190</v>
      </c>
    </row>
    <row r="6268" spans="1:5" x14ac:dyDescent="0.2">
      <c r="A6268">
        <v>6207</v>
      </c>
      <c r="B6268" s="138">
        <f>'Acct Summary 7-8'!D82</f>
        <v>3282</v>
      </c>
      <c r="D6268" s="2" t="str">
        <f t="shared" si="96"/>
        <v>Error?</v>
      </c>
      <c r="E6268" s="2" t="s">
        <v>190</v>
      </c>
    </row>
    <row r="6269" spans="1:5" x14ac:dyDescent="0.2">
      <c r="A6269">
        <v>6208</v>
      </c>
      <c r="B6269" s="138">
        <f>'Acct Summary 7-8'!E82</f>
        <v>641</v>
      </c>
      <c r="D6269" s="2" t="str">
        <f t="shared" si="96"/>
        <v>Error?</v>
      </c>
      <c r="E6269" s="2" t="s">
        <v>190</v>
      </c>
    </row>
    <row r="6270" spans="1:5" x14ac:dyDescent="0.2">
      <c r="A6270">
        <v>6209</v>
      </c>
      <c r="B6270" s="138">
        <f>'Acct Summary 7-8'!F82</f>
        <v>6821</v>
      </c>
      <c r="D6270" s="2" t="str">
        <f t="shared" si="96"/>
        <v>Error?</v>
      </c>
      <c r="E6270" s="2" t="s">
        <v>190</v>
      </c>
    </row>
    <row r="6271" spans="1:5" x14ac:dyDescent="0.2">
      <c r="A6271">
        <v>6210</v>
      </c>
      <c r="B6271" s="138">
        <f>'Acct Summary 7-8'!G82</f>
        <v>-7247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2777</v>
      </c>
      <c r="D6273" s="2" t="str">
        <f t="shared" si="97"/>
        <v>Error?</v>
      </c>
      <c r="E6273" s="2" t="s">
        <v>190</v>
      </c>
    </row>
    <row r="6274" spans="1:5" x14ac:dyDescent="0.2">
      <c r="A6274">
        <v>6213</v>
      </c>
      <c r="B6274" s="138">
        <f>'Acct Summary 7-8'!J82</f>
        <v>32407</v>
      </c>
      <c r="D6274" s="2" t="str">
        <f t="shared" si="97"/>
        <v>Error?</v>
      </c>
      <c r="E6274" s="2" t="s">
        <v>190</v>
      </c>
    </row>
    <row r="6275" spans="1:5" x14ac:dyDescent="0.2">
      <c r="A6275">
        <v>6214</v>
      </c>
      <c r="B6275" s="138">
        <f>'Acct Summary 7-8'!K82</f>
        <v>-24783</v>
      </c>
      <c r="D6275" s="2" t="str">
        <f t="shared" si="97"/>
        <v>Error?</v>
      </c>
      <c r="E6275" s="2" t="s">
        <v>190</v>
      </c>
    </row>
    <row r="6276" spans="1:5" x14ac:dyDescent="0.2">
      <c r="A6276">
        <v>6215</v>
      </c>
      <c r="B6276" s="138">
        <f>'Acct Summary 7-8'!C83</f>
        <v>0.22836172038786864</v>
      </c>
      <c r="D6276" s="2" t="str">
        <f t="shared" si="97"/>
        <v>Error?</v>
      </c>
      <c r="E6276" s="2" t="s">
        <v>190</v>
      </c>
    </row>
    <row r="6277" spans="1:5" x14ac:dyDescent="0.2">
      <c r="A6277">
        <v>6216</v>
      </c>
      <c r="B6277" s="138">
        <f>'Acct Summary 7-8'!D83</f>
        <v>0.35794525029992363</v>
      </c>
      <c r="D6277" s="2" t="str">
        <f t="shared" si="97"/>
        <v>Error?</v>
      </c>
      <c r="E6277" s="2" t="s">
        <v>190</v>
      </c>
    </row>
    <row r="6278" spans="1:5" x14ac:dyDescent="0.2">
      <c r="A6278">
        <v>6217</v>
      </c>
      <c r="B6278" s="138">
        <f>'Acct Summary 7-8'!E83</f>
        <v>1</v>
      </c>
      <c r="D6278" s="2" t="str">
        <f t="shared" si="97"/>
        <v>Error?</v>
      </c>
      <c r="E6278" s="2" t="s">
        <v>190</v>
      </c>
    </row>
    <row r="6279" spans="1:5" x14ac:dyDescent="0.2">
      <c r="A6279">
        <v>6218</v>
      </c>
      <c r="B6279" s="138">
        <f>'Acct Summary 7-8'!F83</f>
        <v>0.15742343465115743</v>
      </c>
      <c r="D6279" s="2" t="str">
        <f t="shared" si="97"/>
        <v>Error?</v>
      </c>
      <c r="E6279" s="2" t="s">
        <v>190</v>
      </c>
    </row>
    <row r="6280" spans="1:5" x14ac:dyDescent="0.2">
      <c r="A6280">
        <v>6219</v>
      </c>
      <c r="B6280" s="138">
        <f>'Acct Summary 7-8'!G83</f>
        <v>-0.25525694762424711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0.45257496740547587</v>
      </c>
      <c r="D6282" s="2" t="str">
        <f t="shared" si="97"/>
        <v>Error?</v>
      </c>
      <c r="E6282" s="2" t="s">
        <v>190</v>
      </c>
    </row>
    <row r="6283" spans="1:5" x14ac:dyDescent="0.2">
      <c r="A6283">
        <v>6222</v>
      </c>
      <c r="B6283" s="138">
        <f>'Acct Summary 7-8'!J83</f>
        <v>0.55523763835109485</v>
      </c>
      <c r="D6283" s="2" t="str">
        <f t="shared" si="97"/>
        <v>Error?</v>
      </c>
      <c r="E6283" s="2" t="s">
        <v>190</v>
      </c>
    </row>
    <row r="6284" spans="1:5" x14ac:dyDescent="0.2">
      <c r="A6284">
        <v>6223</v>
      </c>
      <c r="B6284" s="138">
        <f>'Acct Summary 7-8'!K83</f>
        <v>-10.941721854304635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45425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45425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45425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13018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45425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3534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3534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1064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1064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7621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7621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799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799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13018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13018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13018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13018</v>
      </c>
      <c r="D7224" s="2" t="str">
        <f t="shared" si="111"/>
        <v>Error?</v>
      </c>
    </row>
    <row r="7225" spans="1:4" x14ac:dyDescent="0.2">
      <c r="A7225">
        <v>7164</v>
      </c>
      <c r="B7225" s="138">
        <f>'Expenditures 15-22'!K343</f>
        <v>32407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39518</v>
      </c>
      <c r="D7615" s="2" t="str">
        <f t="shared" ref="D7615:D7678" si="124">IF(ISBLANK(B7615),"OK",IF(A7615-B7615=0,"OK","Error?"))</f>
        <v>Error?</v>
      </c>
      <c r="E7615" s="2" t="s">
        <v>19</v>
      </c>
    </row>
    <row r="7616" spans="1:5" x14ac:dyDescent="0.2">
      <c r="A7616">
        <f t="shared" si="123"/>
        <v>7555</v>
      </c>
      <c r="B7616" s="138">
        <f>'Cap Outlay Deprec 26'!D14</f>
        <v>1279</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40797</v>
      </c>
      <c r="D7618" s="2" t="str">
        <f t="shared" si="124"/>
        <v>Error?</v>
      </c>
      <c r="E7618" s="2" t="s">
        <v>19</v>
      </c>
    </row>
    <row r="7619" spans="1:5" x14ac:dyDescent="0.2">
      <c r="A7619">
        <f t="shared" si="123"/>
        <v>7558</v>
      </c>
      <c r="B7619" s="138">
        <f>'Cap Outlay Deprec 26'!H14</f>
        <v>36608</v>
      </c>
      <c r="D7619" s="2" t="str">
        <f t="shared" si="124"/>
        <v>Error?</v>
      </c>
      <c r="E7619" s="2" t="s">
        <v>19</v>
      </c>
    </row>
    <row r="7620" spans="1:5" x14ac:dyDescent="0.2">
      <c r="A7620">
        <f t="shared" si="123"/>
        <v>7559</v>
      </c>
      <c r="B7620" s="138">
        <f>'Cap Outlay Deprec 26'!I14</f>
        <v>1881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38489</v>
      </c>
      <c r="D7622" s="2" t="str">
        <f t="shared" si="124"/>
        <v>Error?</v>
      </c>
      <c r="E7622" s="2" t="s">
        <v>19</v>
      </c>
    </row>
    <row r="7623" spans="1:5" x14ac:dyDescent="0.2">
      <c r="A7623">
        <f t="shared" si="123"/>
        <v>7562</v>
      </c>
      <c r="B7623" s="138">
        <f>'Cap Outlay Deprec 26'!L14</f>
        <v>2308</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29652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1111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9" t="s">
        <v>1191</v>
      </c>
      <c r="B2" s="2379"/>
      <c r="C2" s="2379"/>
      <c r="D2" s="2379"/>
      <c r="E2" s="2379"/>
      <c r="F2" s="2379"/>
      <c r="G2" s="2379"/>
      <c r="H2" s="2379"/>
      <c r="I2" s="2379"/>
      <c r="J2" s="2379"/>
      <c r="K2" s="2379"/>
      <c r="L2" s="2379"/>
    </row>
    <row r="3" spans="1:29" ht="13.5" customHeight="1" x14ac:dyDescent="0.2">
      <c r="A3" s="2410" t="s">
        <v>1190</v>
      </c>
      <c r="B3" s="2410"/>
      <c r="C3" s="2410"/>
      <c r="D3" s="2410"/>
      <c r="E3" s="2410"/>
      <c r="F3" s="2410"/>
      <c r="G3" s="2410"/>
      <c r="H3" s="2410"/>
      <c r="I3" s="2410"/>
      <c r="J3" s="2410"/>
      <c r="K3" s="2410"/>
      <c r="L3" s="2410"/>
    </row>
    <row r="4" spans="1:29" ht="13.5" customHeight="1" x14ac:dyDescent="0.2">
      <c r="A4" s="2379" t="s">
        <v>1989</v>
      </c>
      <c r="B4" s="2400"/>
      <c r="C4" s="2400"/>
      <c r="D4" s="2400"/>
      <c r="E4" s="2400"/>
      <c r="F4" s="2400"/>
      <c r="G4" s="2400"/>
      <c r="H4" s="2400"/>
      <c r="I4" s="2400"/>
      <c r="J4" s="2400"/>
      <c r="K4" s="2400"/>
      <c r="L4" s="240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1" t="str">
        <f>COVER!A17</f>
        <v>Buncombe Cons SD 43</v>
      </c>
      <c r="B7" s="2402"/>
      <c r="C7" s="2402"/>
      <c r="D7" s="2403"/>
      <c r="E7" s="2404">
        <f>COVER!A13</f>
        <v>21044043003</v>
      </c>
      <c r="F7" s="2405"/>
      <c r="G7" s="2411" t="str">
        <f>COVER!T23</f>
        <v>066-005023</v>
      </c>
      <c r="H7" s="2412"/>
      <c r="I7" s="2412"/>
      <c r="J7" s="2412"/>
      <c r="K7" s="2412"/>
      <c r="L7" s="241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4"/>
      <c r="B9" s="2415"/>
      <c r="C9" s="2415"/>
      <c r="D9" s="2415"/>
      <c r="E9" s="2415"/>
      <c r="F9" s="2416"/>
      <c r="G9" s="2385" t="str">
        <f>COVER!T13</f>
        <v>BEUSSINK HICKAM &amp; KOCHEL PC</v>
      </c>
      <c r="H9" s="2417"/>
      <c r="I9" s="2417"/>
      <c r="J9" s="2417"/>
      <c r="K9" s="2417"/>
      <c r="L9" s="2418"/>
    </row>
    <row r="10" spans="1:29" ht="13.5" customHeight="1" x14ac:dyDescent="0.2">
      <c r="A10" s="2391" t="str">
        <f>COVER!A38</f>
        <v>VICKI TRIPP</v>
      </c>
      <c r="B10" s="2392"/>
      <c r="C10" s="2392"/>
      <c r="D10" s="2392"/>
      <c r="E10" s="2392"/>
      <c r="F10" s="2393"/>
      <c r="G10" s="2385" t="str">
        <f>COVER!T17</f>
        <v>139 W VIENNA ST - PO BOX 556</v>
      </c>
      <c r="H10" s="2386"/>
      <c r="I10" s="2386"/>
      <c r="J10" s="2386"/>
      <c r="K10" s="2386"/>
      <c r="L10" s="2387"/>
    </row>
    <row r="11" spans="1:29" ht="13.5" customHeight="1" x14ac:dyDescent="0.2">
      <c r="A11" s="1184" t="s">
        <v>1519</v>
      </c>
      <c r="B11" s="1185"/>
      <c r="C11" s="1186"/>
      <c r="D11" s="1191"/>
      <c r="E11" s="1186"/>
      <c r="F11" s="1190"/>
      <c r="G11" s="2385" t="str">
        <f>COVER!T19</f>
        <v>ANNA</v>
      </c>
      <c r="H11" s="2386"/>
      <c r="I11" s="2386"/>
      <c r="J11" s="2386"/>
      <c r="K11" s="2386"/>
      <c r="L11" s="2387"/>
    </row>
    <row r="12" spans="1:29" ht="13.5" customHeight="1" x14ac:dyDescent="0.2">
      <c r="A12" s="2394" t="s">
        <v>1518</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1520</v>
      </c>
      <c r="H13" s="2381"/>
      <c r="I13" s="2397" t="str">
        <f>COVER!T25</f>
        <v>office@bhcpa1.com</v>
      </c>
      <c r="J13" s="2398"/>
      <c r="K13" s="2398"/>
      <c r="L13" s="2399"/>
    </row>
    <row r="14" spans="1:29" ht="13.5" customHeight="1" x14ac:dyDescent="0.2">
      <c r="A14" s="2385" t="str">
        <f>COVER!A19</f>
        <v>164 MAIN ST</v>
      </c>
      <c r="B14" s="2386"/>
      <c r="C14" s="2386"/>
      <c r="D14" s="2386"/>
      <c r="E14" s="2386"/>
      <c r="F14" s="2387"/>
      <c r="G14" s="1195" t="s">
        <v>1185</v>
      </c>
      <c r="H14" s="1193"/>
      <c r="I14" s="1193"/>
      <c r="J14" s="1193"/>
      <c r="K14" s="1193"/>
      <c r="L14" s="1194"/>
    </row>
    <row r="15" spans="1:29" ht="13.5" customHeight="1" x14ac:dyDescent="0.2">
      <c r="A15" s="2385" t="str">
        <f>COVER!A21</f>
        <v>BUNCOMBE</v>
      </c>
      <c r="B15" s="2386"/>
      <c r="C15" s="2386"/>
      <c r="D15" s="2386"/>
      <c r="E15" s="2386"/>
      <c r="F15" s="2387"/>
      <c r="G15" s="2382" t="str">
        <f>COVER!T15</f>
        <v>SCOTT A HICKAM CPA</v>
      </c>
      <c r="H15" s="2383"/>
      <c r="I15" s="2383"/>
      <c r="J15" s="2383"/>
      <c r="K15" s="2383"/>
      <c r="L15" s="2384"/>
    </row>
    <row r="16" spans="1:29" ht="12.2" customHeight="1" x14ac:dyDescent="0.2">
      <c r="A16" s="2407">
        <f>COVER!A25</f>
        <v>62912</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5" t="s">
        <v>1184</v>
      </c>
      <c r="H17" s="1193"/>
      <c r="I17" s="1193"/>
      <c r="J17" s="1193"/>
      <c r="K17" s="1197" t="s">
        <v>1183</v>
      </c>
      <c r="L17" s="1190"/>
      <c r="M17" s="1183"/>
    </row>
    <row r="18" spans="1:13" ht="12.2" customHeight="1" x14ac:dyDescent="0.2">
      <c r="A18" s="2391"/>
      <c r="B18" s="2392"/>
      <c r="C18" s="2392"/>
      <c r="D18" s="2392"/>
      <c r="E18" s="2392"/>
      <c r="F18" s="2393"/>
      <c r="G18" s="2401" t="str">
        <f>COVER!T21</f>
        <v>618-833-2721</v>
      </c>
      <c r="H18" s="2402"/>
      <c r="I18" s="2402"/>
      <c r="J18" s="2402"/>
      <c r="K18" s="2401" t="str">
        <f>COVER!X21</f>
        <v>618-833-7077</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Buncombe Cons SD 43</v>
      </c>
      <c r="B1" s="2400"/>
      <c r="C1" s="2400"/>
      <c r="D1" s="2400"/>
    </row>
    <row r="2" spans="1:11" s="1212" customFormat="1" ht="12.75" x14ac:dyDescent="0.2">
      <c r="A2" s="2424">
        <f>'Single Audit Cover'!E7</f>
        <v>21044043003</v>
      </c>
      <c r="B2" s="2425"/>
      <c r="C2" s="2425"/>
      <c r="D2" s="2425"/>
    </row>
    <row r="3" spans="1:11" s="1212" customFormat="1" ht="12.75" x14ac:dyDescent="0.2">
      <c r="A3" s="2423" t="s">
        <v>1513</v>
      </c>
      <c r="B3" s="2400"/>
      <c r="C3" s="2400"/>
      <c r="D3" s="240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Buncombe Cons SD 43</v>
      </c>
      <c r="B1" s="2427"/>
      <c r="C1" s="2427"/>
      <c r="D1" s="2427"/>
      <c r="E1" s="2427"/>
    </row>
    <row r="2" spans="1:5" x14ac:dyDescent="0.2">
      <c r="A2" s="2428">
        <f>'Single Audit Cover'!E7</f>
        <v>21044043003</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111587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2556</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-3475</v>
      </c>
    </row>
    <row r="19" spans="1:4" ht="13.5" thickBot="1" x14ac:dyDescent="0.25">
      <c r="A19" s="1262" t="s">
        <v>1235</v>
      </c>
      <c r="D19" s="1263">
        <f>SUM(D10:D17)</f>
        <v>110668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110668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110668</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Buncombe Cons SD 43</v>
      </c>
      <c r="C1" s="2431"/>
      <c r="D1" s="2431"/>
      <c r="E1" s="2431"/>
      <c r="F1" s="2431"/>
      <c r="G1" s="2431"/>
      <c r="H1" s="2431"/>
      <c r="I1" s="2431"/>
      <c r="J1" s="2431"/>
      <c r="K1" s="2431"/>
      <c r="L1" s="2431"/>
      <c r="M1" s="2431"/>
    </row>
    <row r="2" spans="2:14" ht="15" x14ac:dyDescent="0.2">
      <c r="B2" s="2432">
        <f>'Single Audit Cover'!E7</f>
        <v>21044043003</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Buncombe Cons SD 43</v>
      </c>
      <c r="B1" s="2444"/>
      <c r="C1" s="2444"/>
      <c r="D1" s="2444"/>
      <c r="E1" s="2444"/>
      <c r="F1" s="2444"/>
    </row>
    <row r="2" spans="1:7" ht="13.5" customHeight="1" x14ac:dyDescent="0.2">
      <c r="A2" s="2432">
        <f>'Single Audit Cover'!E7</f>
        <v>21044043003</v>
      </c>
      <c r="B2" s="2432"/>
      <c r="C2" s="2432"/>
      <c r="D2" s="2432"/>
      <c r="E2" s="2432"/>
      <c r="F2" s="2432"/>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1729</v>
      </c>
      <c r="B7" s="2443"/>
      <c r="C7" s="2443"/>
      <c r="D7" s="2443"/>
      <c r="E7" s="2443"/>
      <c r="F7" s="2443"/>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3" t="s">
        <v>1731</v>
      </c>
      <c r="B13" s="2443"/>
      <c r="C13" s="2443"/>
      <c r="D13" s="2443"/>
      <c r="E13" s="2443"/>
      <c r="F13" s="2443"/>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36"/>
      <c r="E17" s="2436"/>
      <c r="F17" s="2436"/>
    </row>
    <row r="18" spans="1:6" ht="20.65" customHeight="1" x14ac:dyDescent="0.2">
      <c r="A18" s="1280"/>
      <c r="B18" s="1281"/>
      <c r="C18" s="1282"/>
      <c r="D18" s="2436"/>
      <c r="E18" s="2436"/>
      <c r="F18" s="2436"/>
    </row>
    <row r="19" spans="1:6" ht="20.65" customHeight="1" x14ac:dyDescent="0.2">
      <c r="A19" s="1280"/>
      <c r="B19" s="1281"/>
      <c r="C19" s="1282"/>
      <c r="D19" s="2436"/>
      <c r="E19" s="2436"/>
      <c r="F19" s="2436"/>
    </row>
    <row r="20" spans="1:6" ht="20.65" customHeight="1" x14ac:dyDescent="0.2">
      <c r="A20" s="1280"/>
      <c r="B20" s="1281"/>
      <c r="C20" s="1282"/>
      <c r="D20" s="2436"/>
      <c r="E20" s="2436"/>
      <c r="F20" s="2436"/>
    </row>
    <row r="21" spans="1:6" ht="20.65" customHeight="1" x14ac:dyDescent="0.2">
      <c r="A21" s="1280"/>
      <c r="B21" s="1281"/>
      <c r="C21" s="1282"/>
      <c r="D21" s="2436"/>
      <c r="E21" s="2436"/>
      <c r="F21" s="2436"/>
    </row>
    <row r="22" spans="1:6" ht="20.65" customHeight="1" x14ac:dyDescent="0.2">
      <c r="A22" s="1280"/>
      <c r="B22" s="1281"/>
      <c r="C22" s="1282"/>
      <c r="D22" s="2436"/>
      <c r="E22" s="2436"/>
      <c r="F22" s="2436"/>
    </row>
    <row r="23" spans="1:6" ht="20.65" customHeight="1" x14ac:dyDescent="0.2">
      <c r="A23" s="1280"/>
      <c r="B23" s="1281"/>
      <c r="C23" s="1282"/>
      <c r="D23" s="2436"/>
      <c r="E23" s="2436"/>
      <c r="F23" s="2436"/>
    </row>
    <row r="24" spans="1:6" ht="20.65" customHeight="1" x14ac:dyDescent="0.2">
      <c r="A24" s="1280"/>
      <c r="B24" s="1281"/>
      <c r="C24" s="1282"/>
      <c r="D24" s="2436"/>
      <c r="E24" s="2436"/>
      <c r="F24" s="2436"/>
    </row>
    <row r="25" spans="1:6" ht="20.65" customHeight="1" x14ac:dyDescent="0.2">
      <c r="A25" s="1280"/>
      <c r="B25" s="1281"/>
      <c r="C25" s="1282"/>
      <c r="D25" s="2436"/>
      <c r="E25" s="2436"/>
      <c r="F25" s="2436"/>
    </row>
    <row r="26" spans="1:6" ht="20.65" customHeight="1" x14ac:dyDescent="0.2">
      <c r="A26" s="1280"/>
      <c r="B26" s="1281"/>
      <c r="C26" s="1282"/>
      <c r="D26" s="2436"/>
      <c r="E26" s="2436"/>
      <c r="F26" s="2436"/>
    </row>
    <row r="27" spans="1:6" ht="20.65" customHeight="1" x14ac:dyDescent="0.2">
      <c r="A27" s="1280"/>
      <c r="B27" s="1281"/>
      <c r="C27" s="1282"/>
      <c r="D27" s="2436"/>
      <c r="E27" s="2436"/>
      <c r="F27" s="2436"/>
    </row>
    <row r="28" spans="1:6" ht="20.65" customHeight="1" x14ac:dyDescent="0.2">
      <c r="A28" s="1280"/>
      <c r="B28" s="1281"/>
      <c r="C28" s="1282"/>
      <c r="D28" s="2436"/>
      <c r="E28" s="2436"/>
      <c r="F28" s="2436"/>
    </row>
    <row r="29" spans="1:6" ht="20.65" customHeight="1" x14ac:dyDescent="0.2">
      <c r="A29" s="1280"/>
      <c r="B29" s="1281"/>
      <c r="C29" s="1282"/>
      <c r="D29" s="2436"/>
      <c r="E29" s="2436"/>
      <c r="F29" s="243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7" t="s">
        <v>1732</v>
      </c>
      <c r="B32" s="2437"/>
      <c r="C32" s="2437"/>
      <c r="D32" s="2437"/>
      <c r="E32" s="2437"/>
      <c r="F32" s="2437"/>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8">
        <f>+C33+C34</f>
        <v>0</v>
      </c>
      <c r="F34" s="243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0" t="s">
        <v>1590</v>
      </c>
      <c r="C49" s="2440"/>
      <c r="D49" s="2440"/>
      <c r="E49" s="1396"/>
    </row>
    <row r="50" spans="1:5" s="1297" customFormat="1" ht="3.75" customHeight="1" x14ac:dyDescent="0.2">
      <c r="A50" s="1296"/>
      <c r="B50" s="1845"/>
      <c r="C50" s="1845"/>
      <c r="D50" s="1845"/>
      <c r="E50" s="1396"/>
    </row>
    <row r="51" spans="1:5" s="1297" customFormat="1" ht="20.25" customHeight="1" x14ac:dyDescent="0.2">
      <c r="A51" s="1298">
        <v>6</v>
      </c>
      <c r="B51" s="2435" t="s">
        <v>1551</v>
      </c>
      <c r="C51" s="2435"/>
      <c r="D51" s="2435"/>
    </row>
    <row r="52" spans="1:5" ht="14.25" customHeight="1" x14ac:dyDescent="0.2">
      <c r="A52" s="1298"/>
      <c r="B52" s="2435"/>
      <c r="C52" s="2435"/>
      <c r="D52" s="243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C9" sqref="C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2065</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Buncombe Cons SD 43</v>
      </c>
      <c r="C1" s="2459"/>
      <c r="D1" s="2459"/>
      <c r="E1" s="2459"/>
      <c r="F1" s="2459"/>
      <c r="G1" s="2459"/>
      <c r="H1" s="2459"/>
      <c r="I1" s="2459"/>
      <c r="J1" s="1406"/>
    </row>
    <row r="2" spans="2:10" s="317" customFormat="1" ht="12.75" customHeight="1" x14ac:dyDescent="0.2">
      <c r="B2" s="2460">
        <f>'Single Audit Cover'!E7</f>
        <v>21044043003</v>
      </c>
      <c r="C2" s="2461"/>
      <c r="D2" s="2461"/>
      <c r="E2" s="2461"/>
      <c r="F2" s="2461"/>
      <c r="G2" s="2461"/>
      <c r="H2" s="2461"/>
      <c r="I2" s="2461"/>
      <c r="J2" s="1406"/>
    </row>
    <row r="3" spans="2:10" s="317" customFormat="1" ht="12.75" customHeight="1" x14ac:dyDescent="0.2">
      <c r="B3" s="2462" t="s">
        <v>1285</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1284</v>
      </c>
      <c r="C7" s="2463"/>
      <c r="D7" s="2463"/>
      <c r="E7" s="2463"/>
      <c r="F7" s="2463"/>
      <c r="G7" s="2463"/>
      <c r="H7" s="2463"/>
      <c r="I7" s="246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4"/>
      <c r="D11" s="246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5"/>
      <c r="E29" s="2465"/>
      <c r="F29" s="2465"/>
      <c r="G29" s="2465"/>
      <c r="H29" s="2465"/>
      <c r="I29" s="2465"/>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6" t="s">
        <v>1751</v>
      </c>
      <c r="D37" s="2467"/>
      <c r="E37" s="2467"/>
      <c r="F37" s="2468"/>
      <c r="G37" s="2466" t="s">
        <v>1592</v>
      </c>
      <c r="H37" s="2467"/>
      <c r="I37" s="2468"/>
    </row>
    <row r="38" spans="2:9" ht="16.5" customHeight="1" x14ac:dyDescent="0.2">
      <c r="B38" s="1428"/>
      <c r="C38" s="2454"/>
      <c r="D38" s="2455"/>
      <c r="E38" s="2455"/>
      <c r="F38" s="2456"/>
      <c r="G38" s="2469"/>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47" t="s">
        <v>1593</v>
      </c>
      <c r="D43" s="2448"/>
      <c r="E43" s="2448"/>
      <c r="F43" s="2449"/>
      <c r="G43" s="2450">
        <f>SUM(G38:I42)</f>
        <v>0</v>
      </c>
      <c r="H43" s="2450"/>
      <c r="I43" s="2450"/>
    </row>
    <row r="44" spans="2:9" ht="12.75" customHeight="1" x14ac:dyDescent="0.2"/>
    <row r="45" spans="2:9" ht="12.75" customHeight="1" x14ac:dyDescent="0.2">
      <c r="B45" s="1419" t="s">
        <v>1841</v>
      </c>
      <c r="D45" s="2451">
        <v>0</v>
      </c>
      <c r="E45" s="245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3"/>
      <c r="F49" s="2453"/>
      <c r="G49" s="245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Buncombe Cons SD 43</v>
      </c>
      <c r="C1" s="2458"/>
      <c r="D1" s="2458"/>
      <c r="E1" s="2458"/>
      <c r="F1" s="2458"/>
      <c r="G1" s="2458"/>
      <c r="H1" s="2458"/>
      <c r="I1" s="2458"/>
      <c r="J1" s="2458"/>
      <c r="K1" s="2458"/>
      <c r="L1" s="1371"/>
      <c r="M1" s="1371"/>
    </row>
    <row r="2" spans="1:13" ht="12" customHeight="1" x14ac:dyDescent="0.2">
      <c r="B2" s="2460">
        <f>'Single Audit Cover'!E7</f>
        <v>21044043003</v>
      </c>
      <c r="C2" s="2460"/>
      <c r="D2" s="2460"/>
      <c r="E2" s="2460"/>
      <c r="F2" s="2460"/>
      <c r="G2" s="2460"/>
      <c r="H2" s="2460"/>
      <c r="I2" s="2460"/>
      <c r="J2" s="2460"/>
      <c r="K2" s="2460"/>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Buncombe Cons SD 43</v>
      </c>
      <c r="C1" s="2481"/>
      <c r="D1" s="2481"/>
      <c r="E1" s="2481"/>
      <c r="F1" s="2481"/>
      <c r="G1" s="2481"/>
      <c r="H1" s="2481"/>
      <c r="I1" s="2481"/>
      <c r="J1" s="2481"/>
      <c r="K1" s="2481"/>
      <c r="L1" s="1449"/>
    </row>
    <row r="2" spans="1:12" ht="12.75" customHeight="1" x14ac:dyDescent="0.2">
      <c r="B2" s="2482">
        <f>'Single Audit Cover'!E7</f>
        <v>21044043003</v>
      </c>
      <c r="C2" s="2482"/>
      <c r="D2" s="2482"/>
      <c r="E2" s="2482"/>
      <c r="F2" s="2482"/>
      <c r="G2" s="2482"/>
      <c r="H2" s="2482"/>
      <c r="I2" s="2482"/>
      <c r="J2" s="2482"/>
      <c r="K2" s="2482"/>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8"/>
      <c r="E14" s="2478"/>
      <c r="F14" s="2478"/>
      <c r="H14" s="1459" t="s">
        <v>1303</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9"/>
      <c r="E16" s="2479"/>
      <c r="F16" s="2479"/>
      <c r="G16" s="2479"/>
      <c r="H16" s="2479"/>
      <c r="I16" s="2479"/>
      <c r="J16" s="2479"/>
      <c r="K16" s="2479"/>
      <c r="L16" s="322"/>
    </row>
    <row r="17" spans="2:12" ht="13.5" customHeight="1" x14ac:dyDescent="0.2">
      <c r="B17" s="1384" t="s">
        <v>1301</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Buncombe Cons SD 43</v>
      </c>
      <c r="C1" s="2458"/>
      <c r="D1" s="2458"/>
      <c r="E1" s="1469"/>
    </row>
    <row r="2" spans="2:5" s="1279" customFormat="1" ht="12.75" customHeight="1" x14ac:dyDescent="0.2">
      <c r="B2" s="2460">
        <f>'Single Audit Cover'!E7</f>
        <v>21044043003</v>
      </c>
      <c r="C2" s="2460"/>
      <c r="D2" s="2460"/>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7710356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f>1.58927/100</f>
        <v>1.5892699999999999E-2</v>
      </c>
      <c r="E10" s="356" t="s">
        <v>1005</v>
      </c>
      <c r="F10" s="355">
        <f>0.45408/100</f>
        <v>4.5408000000000002E-3</v>
      </c>
      <c r="G10" s="356" t="s">
        <v>1005</v>
      </c>
      <c r="H10" s="355">
        <f>0.18164/100</f>
        <v>1.8163999999999999E-3</v>
      </c>
      <c r="I10" s="356" t="s">
        <v>1006</v>
      </c>
      <c r="J10" s="1732">
        <f>ROUND(D10+F10+H10,5)</f>
        <v>2.2249999999999999E-2</v>
      </c>
      <c r="K10" s="222"/>
      <c r="L10" s="355">
        <f>0.04541/100</f>
        <v>4.5409999999999998E-4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657203</v>
      </c>
      <c r="E16" s="356"/>
      <c r="F16" s="1733">
        <f>SUM('Acct Summary 7-8'!C17,'Acct Summary 7-8'!D17,'Acct Summary 7-8'!F17)</f>
        <v>590840</v>
      </c>
      <c r="G16" s="356"/>
      <c r="H16" s="1733">
        <f>SUM(D16-F16)</f>
        <v>66363</v>
      </c>
      <c r="I16" s="222"/>
      <c r="J16" s="1733">
        <f>SUM('Acct Summary 7-8'!C81,'Acct Summary 7-8'!D81,'Acct Summary 7-8'!F81,'Acct Summary 7-8'!I81)</f>
        <v>292837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532014.56400000001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81000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5" sqref="A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Buncombe Cons SD 43</v>
      </c>
      <c r="E7" s="391"/>
      <c r="G7" s="252"/>
      <c r="H7" s="387"/>
      <c r="I7" s="387"/>
      <c r="J7" s="387"/>
      <c r="K7" s="387"/>
      <c r="L7" s="329"/>
      <c r="M7" s="329"/>
      <c r="N7" s="329"/>
      <c r="O7" s="329"/>
      <c r="P7" s="329"/>
    </row>
    <row r="8" spans="1:18" ht="12.75" x14ac:dyDescent="0.2">
      <c r="A8" s="329"/>
      <c r="B8" s="329"/>
      <c r="C8" s="389" t="s">
        <v>1125</v>
      </c>
      <c r="D8" s="392">
        <f>COVER!A13</f>
        <v>21044043003</v>
      </c>
      <c r="E8" s="393"/>
      <c r="G8" s="329"/>
      <c r="H8" s="329"/>
      <c r="I8" s="329"/>
      <c r="J8" s="329"/>
      <c r="K8" s="329"/>
      <c r="L8" s="329"/>
      <c r="M8" s="329"/>
      <c r="N8" s="329"/>
      <c r="O8" s="329"/>
      <c r="P8" s="329"/>
    </row>
    <row r="9" spans="1:18" ht="12.75" x14ac:dyDescent="0.2">
      <c r="A9" s="329"/>
      <c r="B9" s="329"/>
      <c r="C9" s="389" t="s">
        <v>713</v>
      </c>
      <c r="D9" s="394" t="str">
        <f>COVER!A15</f>
        <v>JOHNSON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292837</v>
      </c>
      <c r="I12" s="404"/>
      <c r="J12" s="404"/>
      <c r="K12" s="405">
        <f>TRUNC((H12/H13*100000),5)/100000</f>
        <v>0.44558074139999998</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657203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590840</v>
      </c>
      <c r="I17" s="404"/>
      <c r="J17" s="416"/>
      <c r="K17" s="405">
        <f>TRUNC((H17/H18*100000),5)/100000</f>
        <v>0.89902206770000004</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657203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292837</v>
      </c>
      <c r="I24" s="422"/>
      <c r="J24" s="422"/>
      <c r="K24" s="423">
        <f>TRUNC(((H24/H25*100000)/100000),2)</f>
        <v>178.42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1641.2222200000001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145822.10785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81000</v>
      </c>
      <c r="I32" s="420"/>
      <c r="J32" s="420"/>
      <c r="K32" s="423">
        <f>TRUNC(100-((((H32/H33*100))*100)/100),2)</f>
        <v>84.77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532014.56400000001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A21" sqref="A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f>138249+95954</f>
        <v>234203</v>
      </c>
      <c r="D4" s="466">
        <v>9169</v>
      </c>
      <c r="E4" s="466">
        <v>641</v>
      </c>
      <c r="F4" s="466">
        <v>43329</v>
      </c>
      <c r="G4" s="466">
        <v>28391</v>
      </c>
      <c r="H4" s="466">
        <v>0</v>
      </c>
      <c r="I4" s="466">
        <v>6136</v>
      </c>
      <c r="J4" s="467">
        <v>58366</v>
      </c>
      <c r="K4" s="466">
        <v>2265</v>
      </c>
      <c r="L4" s="466">
        <v>1684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234203</v>
      </c>
      <c r="D13" s="1737">
        <f t="shared" ref="D13:L13" si="0">SUM(D4:D12)</f>
        <v>9169</v>
      </c>
      <c r="E13" s="1737">
        <f t="shared" si="0"/>
        <v>641</v>
      </c>
      <c r="F13" s="1737">
        <f t="shared" si="0"/>
        <v>43329</v>
      </c>
      <c r="G13" s="1737">
        <f t="shared" si="0"/>
        <v>28391</v>
      </c>
      <c r="H13" s="1737">
        <f t="shared" si="0"/>
        <v>0</v>
      </c>
      <c r="I13" s="1737">
        <f t="shared" si="0"/>
        <v>6136</v>
      </c>
      <c r="J13" s="1737">
        <f t="shared" si="0"/>
        <v>58366</v>
      </c>
      <c r="K13" s="1737">
        <f t="shared" si="0"/>
        <v>2265</v>
      </c>
      <c r="L13" s="1737">
        <f t="shared" si="0"/>
        <v>1684</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3000</v>
      </c>
      <c r="N16" s="484"/>
    </row>
    <row r="17" spans="1:14" s="485" customFormat="1" ht="12.75" customHeight="1" x14ac:dyDescent="0.2">
      <c r="A17" s="482" t="s">
        <v>1403</v>
      </c>
      <c r="B17" s="483">
        <v>230</v>
      </c>
      <c r="C17" s="477"/>
      <c r="D17" s="477"/>
      <c r="E17" s="477"/>
      <c r="F17" s="477"/>
      <c r="G17" s="477"/>
      <c r="H17" s="477"/>
      <c r="I17" s="477"/>
      <c r="J17" s="477"/>
      <c r="K17" s="477"/>
      <c r="L17" s="477"/>
      <c r="M17" s="467">
        <v>688149</v>
      </c>
      <c r="N17" s="484"/>
    </row>
    <row r="18" spans="1:14" s="485" customFormat="1" ht="12.75" customHeight="1" x14ac:dyDescent="0.2">
      <c r="A18" s="482" t="s">
        <v>1404</v>
      </c>
      <c r="B18" s="483">
        <v>240</v>
      </c>
      <c r="C18" s="477"/>
      <c r="D18" s="477"/>
      <c r="E18" s="477"/>
      <c r="F18" s="477"/>
      <c r="G18" s="477"/>
      <c r="H18" s="477"/>
      <c r="I18" s="477"/>
      <c r="J18" s="477"/>
      <c r="K18" s="477"/>
      <c r="L18" s="477"/>
      <c r="M18" s="467">
        <v>35259</v>
      </c>
      <c r="N18" s="484"/>
    </row>
    <row r="19" spans="1:14" s="485" customFormat="1" ht="12.75" customHeight="1" x14ac:dyDescent="0.2">
      <c r="A19" s="482" t="s">
        <v>1405</v>
      </c>
      <c r="B19" s="483">
        <v>250</v>
      </c>
      <c r="C19" s="477"/>
      <c r="D19" s="477"/>
      <c r="E19" s="477"/>
      <c r="F19" s="477"/>
      <c r="G19" s="477"/>
      <c r="H19" s="477"/>
      <c r="I19" s="477"/>
      <c r="J19" s="477"/>
      <c r="K19" s="477"/>
      <c r="L19" s="477"/>
      <c r="M19" s="467">
        <f>217347+79887+40797</f>
        <v>338031</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641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80359</v>
      </c>
    </row>
    <row r="23" spans="1:14" ht="13.5" customHeight="1" thickBot="1" x14ac:dyDescent="0.25">
      <c r="A23" s="1736" t="s">
        <v>643</v>
      </c>
      <c r="B23" s="1741"/>
      <c r="C23" s="468"/>
      <c r="D23" s="468"/>
      <c r="E23" s="468"/>
      <c r="F23" s="468"/>
      <c r="G23" s="468"/>
      <c r="H23" s="468"/>
      <c r="I23" s="468"/>
      <c r="J23" s="468"/>
      <c r="K23" s="468"/>
      <c r="L23" s="468"/>
      <c r="M23" s="1688">
        <f>SUM(M15:M22)</f>
        <v>1064439</v>
      </c>
      <c r="N23" s="1688">
        <f>SUM(N21:N22)</f>
        <v>81000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1684</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1684</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81000</v>
      </c>
    </row>
    <row r="37" spans="1:14" ht="13.5" thickBot="1" x14ac:dyDescent="0.25">
      <c r="A37" s="1736" t="s">
        <v>653</v>
      </c>
      <c r="B37" s="1741"/>
      <c r="C37" s="477"/>
      <c r="D37" s="477"/>
      <c r="E37" s="477"/>
      <c r="F37" s="477"/>
      <c r="G37" s="477"/>
      <c r="H37" s="477"/>
      <c r="I37" s="477"/>
      <c r="J37" s="477"/>
      <c r="K37" s="477"/>
      <c r="L37" s="480"/>
      <c r="M37" s="468"/>
      <c r="N37" s="1688">
        <f>SUM(N36:N36)</f>
        <v>81000</v>
      </c>
    </row>
    <row r="38" spans="1:14" s="329" customFormat="1" ht="13.5" customHeight="1" thickTop="1" x14ac:dyDescent="0.2">
      <c r="A38" s="496" t="s">
        <v>420</v>
      </c>
      <c r="B38" s="483">
        <v>714</v>
      </c>
      <c r="C38" s="466">
        <v>0</v>
      </c>
      <c r="D38" s="466">
        <v>0</v>
      </c>
      <c r="E38" s="466">
        <v>641</v>
      </c>
      <c r="F38" s="466">
        <v>0</v>
      </c>
      <c r="G38" s="466">
        <v>28391</v>
      </c>
      <c r="H38" s="466">
        <v>0</v>
      </c>
      <c r="I38" s="466">
        <v>0</v>
      </c>
      <c r="J38" s="467">
        <v>58366</v>
      </c>
      <c r="K38" s="466">
        <v>2265</v>
      </c>
      <c r="L38" s="481">
        <v>0</v>
      </c>
      <c r="M38" s="497"/>
      <c r="N38" s="497"/>
    </row>
    <row r="39" spans="1:14" s="329" customFormat="1" ht="13.5" customHeight="1" x14ac:dyDescent="0.2">
      <c r="A39" s="496" t="s">
        <v>342</v>
      </c>
      <c r="B39" s="483">
        <v>730</v>
      </c>
      <c r="C39" s="466">
        <v>234203</v>
      </c>
      <c r="D39" s="466">
        <v>9169</v>
      </c>
      <c r="E39" s="466">
        <v>0</v>
      </c>
      <c r="F39" s="466">
        <v>43329</v>
      </c>
      <c r="G39" s="466">
        <v>0</v>
      </c>
      <c r="H39" s="466">
        <v>0</v>
      </c>
      <c r="I39" s="466">
        <v>6136</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1064439</v>
      </c>
      <c r="N40" s="497"/>
    </row>
    <row r="41" spans="1:14" ht="13.5" customHeight="1" thickBot="1" x14ac:dyDescent="0.25">
      <c r="A41" s="1736" t="s">
        <v>655</v>
      </c>
      <c r="B41" s="1706"/>
      <c r="C41" s="1688">
        <f>(SUM(C34,C37,C38,C39))</f>
        <v>234203</v>
      </c>
      <c r="D41" s="1688">
        <f t="shared" ref="D41:L41" si="2">SUM(D34,D37,D38:D39)</f>
        <v>9169</v>
      </c>
      <c r="E41" s="1688">
        <f t="shared" si="2"/>
        <v>641</v>
      </c>
      <c r="F41" s="1688">
        <f t="shared" si="2"/>
        <v>43329</v>
      </c>
      <c r="G41" s="1688">
        <f t="shared" si="2"/>
        <v>28391</v>
      </c>
      <c r="H41" s="1688">
        <f t="shared" si="2"/>
        <v>0</v>
      </c>
      <c r="I41" s="1688">
        <f t="shared" si="2"/>
        <v>6136</v>
      </c>
      <c r="J41" s="1688">
        <f t="shared" si="2"/>
        <v>58366</v>
      </c>
      <c r="K41" s="1688">
        <f t="shared" si="2"/>
        <v>2265</v>
      </c>
      <c r="L41" s="1688">
        <f t="shared" si="2"/>
        <v>1684</v>
      </c>
      <c r="M41" s="1688">
        <f>SUM(M40)</f>
        <v>1064439</v>
      </c>
      <c r="N41" s="1688">
        <f>SUM(N37)</f>
        <v>81000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186783</v>
      </c>
      <c r="D4" s="1742">
        <f>'Revenues 9-14'!D109</f>
        <v>27771</v>
      </c>
      <c r="E4" s="1742">
        <f>'Revenues 9-14'!E109</f>
        <v>12771</v>
      </c>
      <c r="F4" s="1742">
        <f>'Revenues 9-14'!F109</f>
        <v>11109</v>
      </c>
      <c r="G4" s="1742">
        <f>'Revenues 9-14'!G109</f>
        <v>4815</v>
      </c>
      <c r="H4" s="1742">
        <f>'Revenues 9-14'!H109</f>
        <v>0</v>
      </c>
      <c r="I4" s="1742">
        <f>'Revenues 9-14'!I109</f>
        <v>2777</v>
      </c>
      <c r="J4" s="1742">
        <f>'Revenues 9-14'!J109</f>
        <v>45425</v>
      </c>
      <c r="K4" s="1742">
        <f>'Revenues 9-14'!K109</f>
        <v>2777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276140</v>
      </c>
      <c r="D6" s="1743">
        <f>'Revenues 9-14'!D170</f>
        <v>26426</v>
      </c>
      <c r="E6" s="1743">
        <f>'Revenues 9-14'!E170</f>
        <v>1000</v>
      </c>
      <c r="F6" s="1743">
        <f>'Revenues 9-14'!F170</f>
        <v>14610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111587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574510</v>
      </c>
      <c r="D8" s="1688">
        <f t="shared" ref="D8:K8" si="0">SUM(D4:D7)</f>
        <v>54197</v>
      </c>
      <c r="E8" s="1688">
        <f t="shared" si="0"/>
        <v>13771</v>
      </c>
      <c r="F8" s="1688">
        <f t="shared" si="0"/>
        <v>25719</v>
      </c>
      <c r="G8" s="1688">
        <f t="shared" si="0"/>
        <v>4815</v>
      </c>
      <c r="H8" s="1688">
        <f t="shared" si="0"/>
        <v>0</v>
      </c>
      <c r="I8" s="1688">
        <f t="shared" si="0"/>
        <v>2777</v>
      </c>
      <c r="J8" s="1688">
        <f t="shared" si="0"/>
        <v>45425</v>
      </c>
      <c r="K8" s="1688">
        <f t="shared" si="0"/>
        <v>2777</v>
      </c>
      <c r="L8" s="347"/>
    </row>
    <row r="9" spans="1:13" ht="15.75" thickTop="1" x14ac:dyDescent="0.2">
      <c r="A9" s="514" t="s">
        <v>1653</v>
      </c>
      <c r="B9" s="515">
        <v>3998</v>
      </c>
      <c r="C9" s="481">
        <v>186864</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761374</v>
      </c>
      <c r="D10" s="1688">
        <f t="shared" ref="D10:K10" si="1">SUM(D8:D9)</f>
        <v>54197</v>
      </c>
      <c r="E10" s="1688">
        <f t="shared" si="1"/>
        <v>13771</v>
      </c>
      <c r="F10" s="1688">
        <f t="shared" si="1"/>
        <v>25719</v>
      </c>
      <c r="G10" s="1688">
        <f t="shared" si="1"/>
        <v>4815</v>
      </c>
      <c r="H10" s="1688">
        <f t="shared" si="1"/>
        <v>0</v>
      </c>
      <c r="I10" s="1688">
        <f t="shared" si="1"/>
        <v>2777</v>
      </c>
      <c r="J10" s="1688">
        <f t="shared" si="1"/>
        <v>45425</v>
      </c>
      <c r="K10" s="1688">
        <f t="shared" si="1"/>
        <v>2777</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339175</v>
      </c>
      <c r="D12" s="520" t="s">
        <v>1169</v>
      </c>
      <c r="E12" s="468" t="s">
        <v>1169</v>
      </c>
      <c r="F12" s="468" t="s">
        <v>1169</v>
      </c>
      <c r="G12" s="1742">
        <f>'Expenditures 15-22'!K229</f>
        <v>2865</v>
      </c>
      <c r="H12" s="521"/>
      <c r="I12" s="468" t="s">
        <v>1169</v>
      </c>
      <c r="J12" s="468" t="s">
        <v>1169</v>
      </c>
      <c r="K12" s="521" t="s">
        <v>1169</v>
      </c>
      <c r="L12" s="347"/>
    </row>
    <row r="13" spans="1:13" ht="15.75" customHeight="1" x14ac:dyDescent="0.2">
      <c r="A13" s="1576" t="s">
        <v>457</v>
      </c>
      <c r="B13" s="1578">
        <v>2000</v>
      </c>
      <c r="C13" s="1743">
        <f>'Expenditures 15-22'!K74</f>
        <v>160196</v>
      </c>
      <c r="D13" s="1743">
        <f>'Expenditures 15-22'!K129</f>
        <v>50915</v>
      </c>
      <c r="E13" s="469" t="s">
        <v>1169</v>
      </c>
      <c r="F13" s="1743">
        <f>'Expenditures 15-22'!K184</f>
        <v>18898</v>
      </c>
      <c r="G13" s="1743">
        <f>'Expenditures 15-22'!K279</f>
        <v>9197</v>
      </c>
      <c r="H13" s="1743">
        <f>'Expenditures 15-22'!K303</f>
        <v>0</v>
      </c>
      <c r="I13" s="468" t="s">
        <v>1169</v>
      </c>
      <c r="J13" s="1743">
        <f>'Expenditures 15-22'!K330</f>
        <v>13018</v>
      </c>
      <c r="K13" s="1747">
        <f>'Expenditures 15-22'!K352</f>
        <v>27560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21656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13130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521027</v>
      </c>
      <c r="D17" s="1688">
        <f t="shared" si="2"/>
        <v>50915</v>
      </c>
      <c r="E17" s="1688">
        <f t="shared" si="2"/>
        <v>13130</v>
      </c>
      <c r="F17" s="1688">
        <f t="shared" si="2"/>
        <v>18898</v>
      </c>
      <c r="G17" s="1688">
        <f t="shared" si="2"/>
        <v>12062</v>
      </c>
      <c r="H17" s="1688">
        <f t="shared" si="2"/>
        <v>0</v>
      </c>
      <c r="I17" s="468"/>
      <c r="J17" s="1688">
        <f>SUM(J12:J16)</f>
        <v>13018</v>
      </c>
      <c r="K17" s="1688">
        <f>SUM(K12:K16)</f>
        <v>27560</v>
      </c>
      <c r="L17" s="347"/>
    </row>
    <row r="18" spans="1:12" ht="15" customHeight="1" thickTop="1" x14ac:dyDescent="0.2">
      <c r="A18" s="1744" t="s">
        <v>1654</v>
      </c>
      <c r="B18" s="1745">
        <v>4180</v>
      </c>
      <c r="C18" s="1742">
        <f t="shared" ref="C18:H18" si="3">C9</f>
        <v>186864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707891</v>
      </c>
      <c r="D19" s="1688">
        <f t="shared" si="4"/>
        <v>50915</v>
      </c>
      <c r="E19" s="1688">
        <f t="shared" si="4"/>
        <v>13130</v>
      </c>
      <c r="F19" s="1688">
        <f t="shared" si="4"/>
        <v>18898</v>
      </c>
      <c r="G19" s="1688">
        <f t="shared" si="4"/>
        <v>12062</v>
      </c>
      <c r="H19" s="1688">
        <f t="shared" si="4"/>
        <v>0</v>
      </c>
      <c r="I19" s="468"/>
      <c r="J19" s="1688">
        <f>SUM(J17:J18)</f>
        <v>13018</v>
      </c>
      <c r="K19" s="1688">
        <f>SUM(K17:K18)</f>
        <v>27560</v>
      </c>
      <c r="L19" s="347"/>
    </row>
    <row r="20" spans="1:12" ht="16.5" thickTop="1" thickBot="1" x14ac:dyDescent="0.25">
      <c r="A20" s="2124" t="s">
        <v>1655</v>
      </c>
      <c r="B20" s="2125"/>
      <c r="C20" s="1746">
        <f>C8-C17</f>
        <v>53483</v>
      </c>
      <c r="D20" s="1746">
        <f t="shared" ref="D20:K20" si="5">D8-D17</f>
        <v>3282</v>
      </c>
      <c r="E20" s="1746">
        <f t="shared" si="5"/>
        <v>641</v>
      </c>
      <c r="F20" s="1746">
        <f t="shared" si="5"/>
        <v>6821</v>
      </c>
      <c r="G20" s="1746">
        <f t="shared" si="5"/>
        <v>-7247</v>
      </c>
      <c r="H20" s="1746">
        <f t="shared" si="5"/>
        <v>0</v>
      </c>
      <c r="I20" s="1746">
        <f t="shared" si="5"/>
        <v>2777</v>
      </c>
      <c r="J20" s="1746">
        <f t="shared" si="5"/>
        <v>32407</v>
      </c>
      <c r="K20" s="1746">
        <f t="shared" si="5"/>
        <v>-24783</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294</v>
      </c>
      <c r="B29" s="483">
        <v>7150</v>
      </c>
      <c r="C29" s="475"/>
      <c r="D29" s="467">
        <v>0</v>
      </c>
      <c r="E29" s="475"/>
      <c r="F29" s="475"/>
      <c r="G29" s="475"/>
      <c r="H29" s="475"/>
      <c r="I29" s="475"/>
      <c r="J29" s="475"/>
      <c r="K29" s="475"/>
      <c r="L29" s="524"/>
    </row>
    <row r="30" spans="1:12" s="485" customFormat="1" ht="26.25" x14ac:dyDescent="0.2">
      <c r="A30" s="1489" t="s">
        <v>1794</v>
      </c>
      <c r="B30" s="527">
        <v>7160</v>
      </c>
      <c r="C30" s="477"/>
      <c r="D30" s="467">
        <v>0</v>
      </c>
      <c r="E30" s="477"/>
      <c r="F30" s="477"/>
      <c r="G30" s="477"/>
      <c r="H30" s="477"/>
      <c r="I30" s="477"/>
      <c r="J30" s="477"/>
      <c r="K30" s="477"/>
      <c r="L30" s="524"/>
    </row>
    <row r="31" spans="1:12" s="485" customFormat="1" ht="26.25" x14ac:dyDescent="0.2">
      <c r="A31" s="1489" t="s">
        <v>1798</v>
      </c>
      <c r="B31" s="527">
        <v>7170</v>
      </c>
      <c r="C31" s="477"/>
      <c r="D31" s="477"/>
      <c r="E31" s="474">
        <v>0</v>
      </c>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v>0</v>
      </c>
      <c r="D33" s="467">
        <v>0</v>
      </c>
      <c r="E33" s="467">
        <v>0</v>
      </c>
      <c r="F33" s="467">
        <v>0</v>
      </c>
      <c r="G33" s="477"/>
      <c r="H33" s="467">
        <v>0</v>
      </c>
      <c r="I33" s="467">
        <v>0</v>
      </c>
      <c r="J33" s="467">
        <v>0</v>
      </c>
      <c r="K33" s="467">
        <v>0</v>
      </c>
      <c r="L33" s="524"/>
    </row>
    <row r="34" spans="1:12" s="485" customFormat="1" x14ac:dyDescent="0.2">
      <c r="A34" s="1489" t="s">
        <v>1001</v>
      </c>
      <c r="B34" s="525">
        <v>7220</v>
      </c>
      <c r="C34" s="467">
        <v>0</v>
      </c>
      <c r="D34" s="467">
        <v>0</v>
      </c>
      <c r="E34" s="467">
        <v>0</v>
      </c>
      <c r="F34" s="467">
        <v>0</v>
      </c>
      <c r="G34" s="477"/>
      <c r="H34" s="478">
        <v>0</v>
      </c>
      <c r="I34" s="478">
        <v>0</v>
      </c>
      <c r="J34" s="478">
        <v>0</v>
      </c>
      <c r="K34" s="478">
        <v>0</v>
      </c>
      <c r="L34" s="524"/>
    </row>
    <row r="35" spans="1:12" s="485" customFormat="1" x14ac:dyDescent="0.2">
      <c r="A35" s="1489" t="s">
        <v>990</v>
      </c>
      <c r="B35" s="525">
        <v>7230</v>
      </c>
      <c r="C35" s="467">
        <v>0</v>
      </c>
      <c r="D35" s="467">
        <v>0</v>
      </c>
      <c r="E35" s="467">
        <v>0</v>
      </c>
      <c r="F35" s="467">
        <v>0</v>
      </c>
      <c r="G35" s="480"/>
      <c r="H35" s="467">
        <v>0</v>
      </c>
      <c r="I35" s="467">
        <v>0</v>
      </c>
      <c r="J35" s="467">
        <v>0</v>
      </c>
      <c r="K35" s="467">
        <v>0</v>
      </c>
      <c r="L35" s="524"/>
    </row>
    <row r="36" spans="1:12" s="485" customFormat="1" ht="15" x14ac:dyDescent="0.2">
      <c r="A36" s="1489" t="s">
        <v>1658</v>
      </c>
      <c r="B36" s="525">
        <v>7300</v>
      </c>
      <c r="C36" s="467">
        <v>0</v>
      </c>
      <c r="D36" s="467">
        <v>0</v>
      </c>
      <c r="E36" s="467">
        <v>0</v>
      </c>
      <c r="F36" s="467">
        <v>0</v>
      </c>
      <c r="G36" s="467">
        <v>0</v>
      </c>
      <c r="H36" s="467">
        <v>0</v>
      </c>
      <c r="I36" s="475"/>
      <c r="J36" s="467">
        <v>0</v>
      </c>
      <c r="K36" s="467">
        <v>0</v>
      </c>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1398</v>
      </c>
      <c r="B50" s="483">
        <v>8140</v>
      </c>
      <c r="C50" s="467">
        <v>0</v>
      </c>
      <c r="D50" s="467">
        <v>0</v>
      </c>
      <c r="E50" s="467">
        <v>0</v>
      </c>
      <c r="F50" s="467">
        <v>0</v>
      </c>
      <c r="G50" s="467">
        <v>0</v>
      </c>
      <c r="H50" s="467">
        <v>0</v>
      </c>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0</v>
      </c>
      <c r="D54" s="530">
        <v>0</v>
      </c>
      <c r="E54" s="477"/>
      <c r="F54" s="477"/>
      <c r="G54" s="477"/>
      <c r="H54" s="530">
        <v>0</v>
      </c>
      <c r="I54" s="477"/>
      <c r="J54" s="477"/>
      <c r="K54" s="475"/>
      <c r="L54" s="524"/>
    </row>
    <row r="55" spans="1:12" s="485" customFormat="1" ht="14.25" thickTop="1" thickBot="1" x14ac:dyDescent="0.25">
      <c r="A55" s="1491" t="s">
        <v>693</v>
      </c>
      <c r="B55" s="483">
        <v>8420</v>
      </c>
      <c r="C55" s="531">
        <v>0</v>
      </c>
      <c r="D55" s="531">
        <v>0</v>
      </c>
      <c r="E55" s="477"/>
      <c r="F55" s="477"/>
      <c r="G55" s="477"/>
      <c r="H55" s="530">
        <v>0</v>
      </c>
      <c r="I55" s="477"/>
      <c r="J55" s="477"/>
      <c r="K55" s="477"/>
      <c r="L55" s="524"/>
    </row>
    <row r="56" spans="1:12" s="485" customFormat="1" ht="14.25" thickTop="1" thickBot="1" x14ac:dyDescent="0.25">
      <c r="A56" s="1490" t="s">
        <v>581</v>
      </c>
      <c r="B56" s="483">
        <v>8430</v>
      </c>
      <c r="C56" s="531">
        <v>0</v>
      </c>
      <c r="D56" s="531">
        <v>0</v>
      </c>
      <c r="E56" s="477"/>
      <c r="F56" s="477"/>
      <c r="G56" s="477"/>
      <c r="H56" s="530">
        <v>0</v>
      </c>
      <c r="I56" s="477"/>
      <c r="J56" s="477"/>
      <c r="K56" s="477"/>
      <c r="L56" s="524"/>
    </row>
    <row r="57" spans="1:12" s="485" customFormat="1" ht="14.25" thickTop="1" thickBot="1" x14ac:dyDescent="0.25">
      <c r="A57" s="1491" t="s">
        <v>578</v>
      </c>
      <c r="B57" s="483">
        <v>8440</v>
      </c>
      <c r="C57" s="531">
        <v>0</v>
      </c>
      <c r="D57" s="531">
        <v>0</v>
      </c>
      <c r="E57" s="477"/>
      <c r="F57" s="477"/>
      <c r="G57" s="477"/>
      <c r="H57" s="530">
        <v>0</v>
      </c>
      <c r="I57" s="477"/>
      <c r="J57" s="477"/>
      <c r="K57" s="477"/>
      <c r="L57" s="524"/>
    </row>
    <row r="58" spans="1:12" s="485" customFormat="1" ht="14.25" thickTop="1" thickBot="1" x14ac:dyDescent="0.25">
      <c r="A58" s="1490" t="s">
        <v>579</v>
      </c>
      <c r="B58" s="483">
        <v>8510</v>
      </c>
      <c r="C58" s="531">
        <v>0</v>
      </c>
      <c r="D58" s="531">
        <v>0</v>
      </c>
      <c r="E58" s="477"/>
      <c r="F58" s="477"/>
      <c r="G58" s="477"/>
      <c r="H58" s="530">
        <v>0</v>
      </c>
      <c r="I58" s="477"/>
      <c r="J58" s="477"/>
      <c r="K58" s="477"/>
      <c r="L58" s="524"/>
    </row>
    <row r="59" spans="1:12" s="485" customFormat="1" ht="14.25" thickTop="1" thickBot="1" x14ac:dyDescent="0.25">
      <c r="A59" s="1492" t="s">
        <v>694</v>
      </c>
      <c r="B59" s="483">
        <v>8520</v>
      </c>
      <c r="C59" s="531">
        <v>0</v>
      </c>
      <c r="D59" s="531">
        <v>0</v>
      </c>
      <c r="E59" s="477"/>
      <c r="F59" s="477"/>
      <c r="G59" s="477"/>
      <c r="H59" s="530">
        <v>0</v>
      </c>
      <c r="I59" s="477"/>
      <c r="J59" s="477"/>
      <c r="K59" s="477"/>
      <c r="L59" s="524"/>
    </row>
    <row r="60" spans="1:12" s="485" customFormat="1" ht="14.25" thickTop="1" thickBot="1" x14ac:dyDescent="0.25">
      <c r="A60" s="1490" t="s">
        <v>580</v>
      </c>
      <c r="B60" s="483">
        <v>8530</v>
      </c>
      <c r="C60" s="531">
        <v>0</v>
      </c>
      <c r="D60" s="531">
        <v>0</v>
      </c>
      <c r="E60" s="477"/>
      <c r="F60" s="477"/>
      <c r="G60" s="477"/>
      <c r="H60" s="530">
        <v>0</v>
      </c>
      <c r="I60" s="477"/>
      <c r="J60" s="477"/>
      <c r="K60" s="477"/>
      <c r="L60" s="524"/>
    </row>
    <row r="61" spans="1:12" s="485" customFormat="1" ht="14.25" thickTop="1" thickBot="1" x14ac:dyDescent="0.25">
      <c r="A61" s="149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744</v>
      </c>
      <c r="B62" s="483">
        <v>8610</v>
      </c>
      <c r="C62" s="531">
        <v>0</v>
      </c>
      <c r="D62" s="531">
        <v>0</v>
      </c>
      <c r="E62" s="477"/>
      <c r="F62" s="477"/>
      <c r="G62" s="477"/>
      <c r="H62" s="477"/>
      <c r="I62" s="477"/>
      <c r="J62" s="477"/>
      <c r="K62" s="477"/>
      <c r="L62" s="524"/>
    </row>
    <row r="63" spans="1:12" s="485" customFormat="1" ht="14.25" thickTop="1" thickBot="1" x14ac:dyDescent="0.25">
      <c r="A63" s="1491" t="s">
        <v>695</v>
      </c>
      <c r="B63" s="483">
        <v>8620</v>
      </c>
      <c r="C63" s="531">
        <v>0</v>
      </c>
      <c r="D63" s="531">
        <v>0</v>
      </c>
      <c r="E63" s="477"/>
      <c r="F63" s="477"/>
      <c r="G63" s="477"/>
      <c r="H63" s="477"/>
      <c r="I63" s="477"/>
      <c r="J63" s="477"/>
      <c r="K63" s="477"/>
      <c r="L63" s="524"/>
    </row>
    <row r="64" spans="1:12" s="485" customFormat="1" ht="13.5" customHeight="1" thickTop="1" thickBot="1" x14ac:dyDescent="0.25">
      <c r="A64" s="1490" t="s">
        <v>745</v>
      </c>
      <c r="B64" s="483">
        <v>8630</v>
      </c>
      <c r="C64" s="531">
        <v>0</v>
      </c>
      <c r="D64" s="531">
        <v>0</v>
      </c>
      <c r="E64" s="477"/>
      <c r="F64" s="477"/>
      <c r="G64" s="477"/>
      <c r="H64" s="477"/>
      <c r="I64" s="477"/>
      <c r="J64" s="477"/>
      <c r="K64" s="477"/>
      <c r="L64" s="524"/>
    </row>
    <row r="65" spans="1:12" s="485" customFormat="1" ht="14.25" thickTop="1" thickBot="1" x14ac:dyDescent="0.25">
      <c r="A65" s="1491" t="s">
        <v>746</v>
      </c>
      <c r="B65" s="483">
        <v>8640</v>
      </c>
      <c r="C65" s="531">
        <v>0</v>
      </c>
      <c r="D65" s="531">
        <v>0</v>
      </c>
      <c r="E65" s="477"/>
      <c r="F65" s="477"/>
      <c r="G65" s="477"/>
      <c r="H65" s="477"/>
      <c r="I65" s="477"/>
      <c r="J65" s="477"/>
      <c r="K65" s="477"/>
      <c r="L65" s="524"/>
    </row>
    <row r="66" spans="1:12" s="485" customFormat="1" ht="14.25" thickTop="1" thickBot="1" x14ac:dyDescent="0.25">
      <c r="A66" s="1490" t="s">
        <v>747</v>
      </c>
      <c r="B66" s="483">
        <v>8710</v>
      </c>
      <c r="C66" s="531">
        <v>0</v>
      </c>
      <c r="D66" s="531">
        <v>0</v>
      </c>
      <c r="E66" s="477"/>
      <c r="F66" s="477"/>
      <c r="G66" s="477"/>
      <c r="H66" s="477"/>
      <c r="I66" s="477"/>
      <c r="J66" s="477"/>
      <c r="K66" s="477"/>
      <c r="L66" s="524"/>
    </row>
    <row r="67" spans="1:12" s="485" customFormat="1" ht="14.25" thickTop="1" thickBot="1" x14ac:dyDescent="0.25">
      <c r="A67" s="1491" t="s">
        <v>696</v>
      </c>
      <c r="B67" s="483">
        <v>8720</v>
      </c>
      <c r="C67" s="531">
        <v>0</v>
      </c>
      <c r="D67" s="531">
        <v>0</v>
      </c>
      <c r="E67" s="477"/>
      <c r="F67" s="477"/>
      <c r="G67" s="477"/>
      <c r="H67" s="477"/>
      <c r="I67" s="477"/>
      <c r="J67" s="477"/>
      <c r="K67" s="477"/>
      <c r="L67" s="524"/>
    </row>
    <row r="68" spans="1:12" s="485" customFormat="1" ht="14.25" thickTop="1" thickBot="1" x14ac:dyDescent="0.25">
      <c r="A68" s="1492" t="s">
        <v>748</v>
      </c>
      <c r="B68" s="483">
        <v>8730</v>
      </c>
      <c r="C68" s="531">
        <v>0</v>
      </c>
      <c r="D68" s="531">
        <v>0</v>
      </c>
      <c r="E68" s="477"/>
      <c r="F68" s="477"/>
      <c r="G68" s="477"/>
      <c r="H68" s="477"/>
      <c r="I68" s="477"/>
      <c r="J68" s="477"/>
      <c r="K68" s="477"/>
      <c r="L68" s="524"/>
    </row>
    <row r="69" spans="1:12" s="485" customFormat="1" ht="14.25" thickTop="1" thickBot="1" x14ac:dyDescent="0.25">
      <c r="A69" s="1491" t="s">
        <v>749</v>
      </c>
      <c r="B69" s="483">
        <v>8740</v>
      </c>
      <c r="C69" s="531">
        <v>0</v>
      </c>
      <c r="D69" s="531">
        <v>0</v>
      </c>
      <c r="E69" s="477"/>
      <c r="F69" s="477"/>
      <c r="G69" s="477"/>
      <c r="H69" s="477"/>
      <c r="I69" s="477"/>
      <c r="J69" s="477"/>
      <c r="K69" s="477"/>
      <c r="L69" s="524"/>
    </row>
    <row r="70" spans="1:12" s="485" customFormat="1" ht="14.25" thickTop="1" thickBot="1" x14ac:dyDescent="0.25">
      <c r="A70" s="1490" t="s">
        <v>750</v>
      </c>
      <c r="B70" s="483">
        <v>8810</v>
      </c>
      <c r="C70" s="531">
        <v>0</v>
      </c>
      <c r="D70" s="531">
        <v>0</v>
      </c>
      <c r="E70" s="477"/>
      <c r="F70" s="477"/>
      <c r="G70" s="477"/>
      <c r="H70" s="477"/>
      <c r="I70" s="477"/>
      <c r="J70" s="477"/>
      <c r="K70" s="477"/>
      <c r="L70" s="524"/>
    </row>
    <row r="71" spans="1:12" s="485" customFormat="1" ht="14.25" thickTop="1" thickBot="1" x14ac:dyDescent="0.25">
      <c r="A71" s="1490" t="s">
        <v>754</v>
      </c>
      <c r="B71" s="483">
        <v>8820</v>
      </c>
      <c r="C71" s="531">
        <v>0</v>
      </c>
      <c r="D71" s="531">
        <v>0</v>
      </c>
      <c r="E71" s="477"/>
      <c r="F71" s="477"/>
      <c r="G71" s="477"/>
      <c r="H71" s="477"/>
      <c r="I71" s="477"/>
      <c r="J71" s="477"/>
      <c r="K71" s="477"/>
      <c r="L71" s="524"/>
    </row>
    <row r="72" spans="1:12" s="485" customFormat="1" ht="14.25" thickTop="1" thickBot="1" x14ac:dyDescent="0.25">
      <c r="A72" s="1490" t="s">
        <v>751</v>
      </c>
      <c r="B72" s="483">
        <v>8830</v>
      </c>
      <c r="C72" s="531">
        <v>0</v>
      </c>
      <c r="D72" s="531">
        <v>0</v>
      </c>
      <c r="E72" s="477"/>
      <c r="F72" s="477"/>
      <c r="G72" s="477"/>
      <c r="H72" s="477"/>
      <c r="I72" s="477"/>
      <c r="J72" s="477"/>
      <c r="K72" s="477"/>
      <c r="L72" s="524"/>
    </row>
    <row r="73" spans="1:12" s="485" customFormat="1" ht="14.25" thickTop="1" thickBot="1" x14ac:dyDescent="0.25">
      <c r="A73" s="1490" t="s">
        <v>752</v>
      </c>
      <c r="B73" s="483">
        <v>8840</v>
      </c>
      <c r="C73" s="531">
        <v>0</v>
      </c>
      <c r="D73" s="531">
        <v>0</v>
      </c>
      <c r="E73" s="477"/>
      <c r="F73" s="477"/>
      <c r="G73" s="477"/>
      <c r="H73" s="477"/>
      <c r="I73" s="477"/>
      <c r="J73" s="477"/>
      <c r="K73" s="480"/>
      <c r="L73" s="524"/>
    </row>
    <row r="74" spans="1:12" s="485" customFormat="1" ht="14.25" thickTop="1" thickBot="1" x14ac:dyDescent="0.25">
      <c r="A74" s="149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53483</v>
      </c>
      <c r="D78" s="1702">
        <f t="shared" si="9"/>
        <v>3282</v>
      </c>
      <c r="E78" s="1702">
        <f t="shared" si="9"/>
        <v>641</v>
      </c>
      <c r="F78" s="1702">
        <f t="shared" si="9"/>
        <v>6821</v>
      </c>
      <c r="G78" s="1702">
        <f t="shared" si="9"/>
        <v>-7247</v>
      </c>
      <c r="H78" s="1702">
        <f t="shared" si="9"/>
        <v>0</v>
      </c>
      <c r="I78" s="1702">
        <f t="shared" si="9"/>
        <v>2777</v>
      </c>
      <c r="J78" s="1702">
        <f t="shared" si="9"/>
        <v>32407</v>
      </c>
      <c r="K78" s="1702">
        <f t="shared" si="9"/>
        <v>-24783</v>
      </c>
      <c r="L78" s="533"/>
    </row>
    <row r="79" spans="1:12" ht="13.5" thickTop="1" x14ac:dyDescent="0.2">
      <c r="A79" s="1494" t="s">
        <v>1949</v>
      </c>
      <c r="B79" s="534"/>
      <c r="C79" s="478">
        <v>180720</v>
      </c>
      <c r="D79" s="535">
        <v>5887</v>
      </c>
      <c r="E79" s="535">
        <v>0</v>
      </c>
      <c r="F79" s="535">
        <v>36508</v>
      </c>
      <c r="G79" s="535">
        <v>35638</v>
      </c>
      <c r="H79" s="535">
        <v>0</v>
      </c>
      <c r="I79" s="535">
        <v>3359</v>
      </c>
      <c r="J79" s="535">
        <v>25959</v>
      </c>
      <c r="K79" s="535">
        <v>27048</v>
      </c>
      <c r="L79" s="347"/>
    </row>
    <row r="80" spans="1:12" x14ac:dyDescent="0.2">
      <c r="A80" s="2126" t="s">
        <v>1795</v>
      </c>
      <c r="B80" s="2127"/>
      <c r="C80" s="467">
        <v>0</v>
      </c>
      <c r="D80" s="467">
        <v>0</v>
      </c>
      <c r="E80" s="467">
        <v>0</v>
      </c>
      <c r="F80" s="467">
        <v>0</v>
      </c>
      <c r="G80" s="467">
        <v>0</v>
      </c>
      <c r="H80" s="467">
        <v>0</v>
      </c>
      <c r="I80" s="467">
        <v>0</v>
      </c>
      <c r="J80" s="467">
        <v>0</v>
      </c>
      <c r="K80" s="467">
        <v>0</v>
      </c>
      <c r="L80" s="347"/>
    </row>
    <row r="81" spans="1:12" ht="13.5" thickBot="1" x14ac:dyDescent="0.25">
      <c r="A81" s="2118" t="s">
        <v>1950</v>
      </c>
      <c r="B81" s="2119"/>
      <c r="C81" s="1688">
        <f>(SUM(C78:C80))</f>
        <v>234203</v>
      </c>
      <c r="D81" s="1688">
        <f>SUM(D78:D80)</f>
        <v>9169</v>
      </c>
      <c r="E81" s="1688">
        <f t="shared" ref="E81:K81" si="10">SUM(E78:E80)</f>
        <v>641</v>
      </c>
      <c r="F81" s="1688">
        <f t="shared" si="10"/>
        <v>43329</v>
      </c>
      <c r="G81" s="1688">
        <f t="shared" si="10"/>
        <v>28391</v>
      </c>
      <c r="H81" s="1688">
        <f t="shared" si="10"/>
        <v>0</v>
      </c>
      <c r="I81" s="1688">
        <f t="shared" si="10"/>
        <v>6136</v>
      </c>
      <c r="J81" s="1688">
        <f t="shared" si="10"/>
        <v>58366</v>
      </c>
      <c r="K81" s="1688">
        <f t="shared" si="10"/>
        <v>2265</v>
      </c>
      <c r="L81" s="347"/>
    </row>
    <row r="82" spans="1:12" ht="0.75" customHeight="1" thickTop="1" thickBot="1" x14ac:dyDescent="0.25">
      <c r="A82" s="536" t="s">
        <v>343</v>
      </c>
      <c r="B82" s="537"/>
      <c r="C82" s="538">
        <f>(C81-C79)</f>
        <v>53483</v>
      </c>
      <c r="D82" s="538">
        <f t="shared" ref="D82:K82" si="11">(D81-D79)</f>
        <v>3282</v>
      </c>
      <c r="E82" s="538">
        <f t="shared" si="11"/>
        <v>641</v>
      </c>
      <c r="F82" s="538">
        <f t="shared" si="11"/>
        <v>6821</v>
      </c>
      <c r="G82" s="538">
        <f t="shared" si="11"/>
        <v>-7247</v>
      </c>
      <c r="H82" s="538">
        <f t="shared" si="11"/>
        <v>0</v>
      </c>
      <c r="I82" s="538">
        <f t="shared" si="11"/>
        <v>2777</v>
      </c>
      <c r="J82" s="538">
        <f t="shared" si="11"/>
        <v>32407</v>
      </c>
      <c r="K82" s="538">
        <f t="shared" si="11"/>
        <v>-24783</v>
      </c>
    </row>
    <row r="83" spans="1:12" ht="14.25" hidden="1" thickTop="1" thickBot="1" x14ac:dyDescent="0.25">
      <c r="A83" s="539" t="s">
        <v>344</v>
      </c>
      <c r="B83" s="464"/>
      <c r="C83" s="540">
        <f>C82/C81</f>
        <v>0.22836172038786864</v>
      </c>
      <c r="D83" s="540">
        <f t="shared" ref="D83:K83" si="12">D82/D81</f>
        <v>0.35794525029992363</v>
      </c>
      <c r="E83" s="540">
        <f t="shared" si="12"/>
        <v>1</v>
      </c>
      <c r="F83" s="540">
        <f t="shared" si="12"/>
        <v>0.15742343465115743</v>
      </c>
      <c r="G83" s="540">
        <f t="shared" si="12"/>
        <v>-0.25525694762424711</v>
      </c>
      <c r="H83" s="540" t="e">
        <f t="shared" si="12"/>
        <v>#DIV/0!</v>
      </c>
      <c r="I83" s="540">
        <f t="shared" si="12"/>
        <v>0.45257496740547587</v>
      </c>
      <c r="J83" s="540">
        <f t="shared" si="12"/>
        <v>0.55523763835109485</v>
      </c>
      <c r="K83" s="540">
        <f t="shared" si="12"/>
        <v>-10.941721854304635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&amp;L&amp;8&amp;F&amp;C&amp;8The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43" activePane="bottomLeft" state="frozen"/>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97196</v>
      </c>
      <c r="D5" s="481">
        <v>27771</v>
      </c>
      <c r="E5" s="466">
        <v>12771</v>
      </c>
      <c r="F5" s="548">
        <v>11109</v>
      </c>
      <c r="G5" s="466">
        <v>2004</v>
      </c>
      <c r="H5" s="466">
        <v>0</v>
      </c>
      <c r="I5" s="466">
        <v>2777</v>
      </c>
      <c r="J5" s="467">
        <v>45425</v>
      </c>
      <c r="K5" s="466">
        <v>2777</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1111</v>
      </c>
      <c r="D7" s="466"/>
      <c r="E7" s="468"/>
      <c r="F7" s="467"/>
      <c r="G7" s="467"/>
      <c r="H7" s="467"/>
      <c r="I7" s="468"/>
      <c r="J7" s="468"/>
      <c r="K7" s="468"/>
    </row>
    <row r="8" spans="1:12" x14ac:dyDescent="0.2">
      <c r="A8" s="463" t="s">
        <v>413</v>
      </c>
      <c r="B8" s="470">
        <v>1150</v>
      </c>
      <c r="C8" s="475"/>
      <c r="D8" s="475"/>
      <c r="E8" s="477"/>
      <c r="F8" s="477"/>
      <c r="G8" s="481">
        <v>2007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98307</v>
      </c>
      <c r="D12" s="1707">
        <f t="shared" si="0"/>
        <v>27771</v>
      </c>
      <c r="E12" s="1707">
        <f t="shared" si="0"/>
        <v>12771</v>
      </c>
      <c r="F12" s="1707">
        <f t="shared" si="0"/>
        <v>11109</v>
      </c>
      <c r="G12" s="1707">
        <f t="shared" si="0"/>
        <v>4011</v>
      </c>
      <c r="H12" s="1707">
        <f t="shared" si="0"/>
        <v>0</v>
      </c>
      <c r="I12" s="1707">
        <f t="shared" si="0"/>
        <v>2777</v>
      </c>
      <c r="J12" s="1707">
        <f t="shared" si="0"/>
        <v>45425</v>
      </c>
      <c r="K12" s="1688">
        <f t="shared" si="0"/>
        <v>2777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50820</v>
      </c>
      <c r="D16" s="466"/>
      <c r="E16" s="466"/>
      <c r="F16" s="466"/>
      <c r="G16" s="466">
        <v>804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50820</v>
      </c>
      <c r="D18" s="1710">
        <f t="shared" ref="D18:K18" si="1">SUM(D14:D17)</f>
        <v>0</v>
      </c>
      <c r="E18" s="1710">
        <f t="shared" si="1"/>
        <v>0</v>
      </c>
      <c r="F18" s="1710">
        <f t="shared" si="1"/>
        <v>0</v>
      </c>
      <c r="G18" s="1710">
        <f t="shared" si="1"/>
        <v>804</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4705</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4705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4126</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4126</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7758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7758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4599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16468</v>
      </c>
      <c r="D107" s="466"/>
      <c r="E107" s="466"/>
      <c r="F107" s="466"/>
      <c r="G107" s="466"/>
      <c r="H107" s="466"/>
      <c r="I107" s="466"/>
      <c r="J107" s="467"/>
      <c r="K107" s="466"/>
    </row>
    <row r="108" spans="1:12" ht="12.75" customHeight="1" thickBot="1" x14ac:dyDescent="0.25">
      <c r="A108" s="1708" t="s">
        <v>487</v>
      </c>
      <c r="B108" s="1712"/>
      <c r="C108" s="1707">
        <f>SUM(C95:C107)</f>
        <v>21067</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186783</v>
      </c>
      <c r="D109" s="1715">
        <f t="shared" si="4"/>
        <v>27771</v>
      </c>
      <c r="E109" s="1715">
        <f t="shared" si="4"/>
        <v>12771</v>
      </c>
      <c r="F109" s="1715">
        <f t="shared" si="4"/>
        <v>11109</v>
      </c>
      <c r="G109" s="1715">
        <f t="shared" si="4"/>
        <v>4815</v>
      </c>
      <c r="H109" s="1715">
        <f t="shared" si="4"/>
        <v>0</v>
      </c>
      <c r="I109" s="1715">
        <f t="shared" si="4"/>
        <v>2777</v>
      </c>
      <c r="J109" s="1715">
        <f t="shared" si="4"/>
        <v>45425</v>
      </c>
      <c r="K109" s="1702">
        <f t="shared" si="4"/>
        <v>2777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274254</v>
      </c>
      <c r="D117" s="481">
        <v>26426</v>
      </c>
      <c r="E117" s="466">
        <v>1000</v>
      </c>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274254</v>
      </c>
      <c r="D122" s="1707">
        <f t="shared" si="5"/>
        <v>26426</v>
      </c>
      <c r="E122" s="1707">
        <f t="shared" si="5"/>
        <v>1000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1355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1355</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531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10867</v>
      </c>
      <c r="G152" s="467"/>
      <c r="H152" s="468"/>
      <c r="I152" s="468"/>
      <c r="J152" s="468"/>
      <c r="K152" s="468"/>
    </row>
    <row r="153" spans="1:11" ht="12.75" customHeight="1" x14ac:dyDescent="0.2">
      <c r="A153" s="463" t="s">
        <v>1057</v>
      </c>
      <c r="B153" s="562">
        <v>3510</v>
      </c>
      <c r="C153" s="551"/>
      <c r="D153" s="466"/>
      <c r="E153" s="561"/>
      <c r="F153" s="466">
        <v>3743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14610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1886</v>
      </c>
      <c r="D169" s="1722">
        <f t="shared" si="6"/>
        <v>0</v>
      </c>
      <c r="E169" s="1722">
        <f t="shared" si="6"/>
        <v>0</v>
      </c>
      <c r="F169" s="1722">
        <f t="shared" si="6"/>
        <v>14610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276140</v>
      </c>
      <c r="D170" s="1715">
        <f t="shared" si="7"/>
        <v>26426</v>
      </c>
      <c r="E170" s="1715">
        <f t="shared" si="7"/>
        <v>1000</v>
      </c>
      <c r="F170" s="1715">
        <f t="shared" si="7"/>
        <v>14610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18627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10042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28669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54923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54923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1100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612</v>
      </c>
      <c r="D263" s="576"/>
      <c r="E263" s="468"/>
      <c r="F263" s="576"/>
      <c r="G263" s="576"/>
      <c r="H263" s="468"/>
      <c r="I263" s="468"/>
      <c r="J263" s="468"/>
      <c r="K263" s="468"/>
    </row>
    <row r="264" spans="1:11" ht="12.75" customHeight="1" thickTop="1" thickBot="1" x14ac:dyDescent="0.25">
      <c r="A264" s="463" t="s">
        <v>377</v>
      </c>
      <c r="B264" s="470">
        <v>4992</v>
      </c>
      <c r="C264" s="575">
        <v>3475</v>
      </c>
      <c r="D264" s="576"/>
      <c r="E264" s="468"/>
      <c r="F264" s="576"/>
      <c r="G264" s="576"/>
      <c r="H264" s="468"/>
      <c r="I264" s="468"/>
      <c r="J264" s="468"/>
      <c r="K264" s="468"/>
    </row>
    <row r="265" spans="1:11" s="593" customFormat="1" ht="12.75" customHeight="1" thickTop="1" thickBot="1" x14ac:dyDescent="0.25">
      <c r="A265" s="563" t="s">
        <v>75</v>
      </c>
      <c r="B265" s="557">
        <v>4999</v>
      </c>
      <c r="C265" s="575">
        <v>22808</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111587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111587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574510</v>
      </c>
      <c r="D268" s="1715">
        <f t="shared" si="12"/>
        <v>54197</v>
      </c>
      <c r="E268" s="1715">
        <f t="shared" si="12"/>
        <v>13771</v>
      </c>
      <c r="F268" s="1715">
        <f t="shared" si="12"/>
        <v>25719</v>
      </c>
      <c r="G268" s="1715">
        <f t="shared" si="12"/>
        <v>4815</v>
      </c>
      <c r="H268" s="1715">
        <f t="shared" si="12"/>
        <v>0</v>
      </c>
      <c r="I268" s="1715">
        <f t="shared" si="12"/>
        <v>2777</v>
      </c>
      <c r="J268" s="1715">
        <f t="shared" si="12"/>
        <v>45425</v>
      </c>
      <c r="K268" s="1702">
        <f t="shared" si="12"/>
        <v>2777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&amp;L&amp;8&amp;F&amp;C&amp;8The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C5" sqref="C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0" t="s">
        <v>297</v>
      </c>
      <c r="B3" s="216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151937+900+3200</f>
        <v>156037</v>
      </c>
      <c r="D5" s="466">
        <f>15631+3497+984</f>
        <v>20112</v>
      </c>
      <c r="E5" s="466">
        <f>17501+558+46+2226</f>
        <v>20331</v>
      </c>
      <c r="F5" s="466">
        <f>16450+17040</f>
        <v>33490</v>
      </c>
      <c r="G5" s="466">
        <v>13303</v>
      </c>
      <c r="H5" s="466">
        <v>1890</v>
      </c>
      <c r="I5" s="467"/>
      <c r="J5" s="467"/>
      <c r="K5" s="1671">
        <f>SUM(C5:J5)</f>
        <v>245163</v>
      </c>
      <c r="L5" s="466">
        <v>231863</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28352</v>
      </c>
      <c r="D8" s="466">
        <v>3637</v>
      </c>
      <c r="E8" s="466"/>
      <c r="F8" s="466">
        <v>2020</v>
      </c>
      <c r="G8" s="466"/>
      <c r="H8" s="466"/>
      <c r="I8" s="467"/>
      <c r="J8" s="467"/>
      <c r="K8" s="1671">
        <f t="shared" si="0"/>
        <v>34009</v>
      </c>
      <c r="L8" s="466">
        <v>52608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28719</v>
      </c>
      <c r="D10" s="466">
        <v>3281</v>
      </c>
      <c r="E10" s="466">
        <v>1208</v>
      </c>
      <c r="F10" s="466">
        <v>18676</v>
      </c>
      <c r="G10" s="466"/>
      <c r="H10" s="466"/>
      <c r="I10" s="467"/>
      <c r="J10" s="467"/>
      <c r="K10" s="1671">
        <f t="shared" si="0"/>
        <v>51884</v>
      </c>
      <c r="L10" s="466">
        <v>40350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3375</v>
      </c>
      <c r="D14" s="466">
        <v>136</v>
      </c>
      <c r="E14" s="466">
        <v>3818</v>
      </c>
      <c r="F14" s="466">
        <v>500</v>
      </c>
      <c r="G14" s="466"/>
      <c r="H14" s="466">
        <v>290</v>
      </c>
      <c r="I14" s="467"/>
      <c r="J14" s="467"/>
      <c r="K14" s="1671">
        <f t="shared" si="0"/>
        <v>8119</v>
      </c>
      <c r="L14" s="466">
        <v>18550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216483</v>
      </c>
      <c r="D33" s="1670">
        <f t="shared" ref="D33:L33" si="1">SUM(D5:D32)</f>
        <v>27166</v>
      </c>
      <c r="E33" s="1670">
        <f t="shared" si="1"/>
        <v>25357</v>
      </c>
      <c r="F33" s="1670">
        <f t="shared" si="1"/>
        <v>54686</v>
      </c>
      <c r="G33" s="1670">
        <f t="shared" si="1"/>
        <v>13303</v>
      </c>
      <c r="H33" s="1670">
        <f t="shared" si="1"/>
        <v>2180</v>
      </c>
      <c r="I33" s="1670">
        <f t="shared" si="1"/>
        <v>0</v>
      </c>
      <c r="J33" s="1670">
        <f t="shared" si="1"/>
        <v>0</v>
      </c>
      <c r="K33" s="1670">
        <f t="shared" si="1"/>
        <v>339175</v>
      </c>
      <c r="L33" s="1670">
        <f t="shared" si="1"/>
        <v>343371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f>517+5400+2997</f>
        <v>8914</v>
      </c>
      <c r="F49" s="481">
        <v>1007</v>
      </c>
      <c r="G49" s="481"/>
      <c r="H49" s="481">
        <v>3667</v>
      </c>
      <c r="I49" s="467"/>
      <c r="J49" s="467"/>
      <c r="K49" s="1672">
        <f>SUM(C49:J49)</f>
        <v>13588</v>
      </c>
      <c r="L49" s="481">
        <v>8500</v>
      </c>
    </row>
    <row r="50" spans="1:14" x14ac:dyDescent="0.2">
      <c r="A50" s="1504" t="s">
        <v>818</v>
      </c>
      <c r="B50" s="614">
        <v>2320</v>
      </c>
      <c r="C50" s="466">
        <v>61925</v>
      </c>
      <c r="D50" s="466">
        <v>5479</v>
      </c>
      <c r="E50" s="466">
        <v>826</v>
      </c>
      <c r="F50" s="466"/>
      <c r="G50" s="466"/>
      <c r="H50" s="466">
        <v>459</v>
      </c>
      <c r="I50" s="467"/>
      <c r="J50" s="467"/>
      <c r="K50" s="1672">
        <f>SUM(C50:J50)</f>
        <v>68689</v>
      </c>
      <c r="L50" s="466">
        <v>72214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61925</v>
      </c>
      <c r="D53" s="1670">
        <f t="shared" ref="D53:L53" si="5">SUM(D49:D52)</f>
        <v>5479</v>
      </c>
      <c r="E53" s="1670">
        <f t="shared" si="5"/>
        <v>9740</v>
      </c>
      <c r="F53" s="1670">
        <f t="shared" si="5"/>
        <v>1007</v>
      </c>
      <c r="G53" s="1670">
        <f t="shared" si="5"/>
        <v>0</v>
      </c>
      <c r="H53" s="1670">
        <f t="shared" si="5"/>
        <v>4126</v>
      </c>
      <c r="I53" s="1670">
        <f t="shared" si="5"/>
        <v>0</v>
      </c>
      <c r="J53" s="1670">
        <f t="shared" si="5"/>
        <v>0</v>
      </c>
      <c r="K53" s="1670">
        <f t="shared" si="5"/>
        <v>82277</v>
      </c>
      <c r="L53" s="1670">
        <f t="shared" si="5"/>
        <v>80714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32125</v>
      </c>
      <c r="D55" s="481">
        <v>5479</v>
      </c>
      <c r="E55" s="481"/>
      <c r="F55" s="481"/>
      <c r="G55" s="481"/>
      <c r="H55" s="481"/>
      <c r="I55" s="467"/>
      <c r="J55" s="467"/>
      <c r="K55" s="1672">
        <f>SUM(C55:J55)</f>
        <v>37604</v>
      </c>
      <c r="L55" s="481">
        <v>29950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32125</v>
      </c>
      <c r="D57" s="1674">
        <f t="shared" ref="D57:K57" si="6">SUM(D55:D56)</f>
        <v>5479</v>
      </c>
      <c r="E57" s="1674">
        <f t="shared" si="6"/>
        <v>0</v>
      </c>
      <c r="F57" s="1674">
        <f t="shared" si="6"/>
        <v>0</v>
      </c>
      <c r="G57" s="1674">
        <f t="shared" si="6"/>
        <v>0</v>
      </c>
      <c r="H57" s="1674">
        <f t="shared" si="6"/>
        <v>0</v>
      </c>
      <c r="I57" s="1674">
        <f t="shared" si="6"/>
        <v>0</v>
      </c>
      <c r="J57" s="1674">
        <f t="shared" si="6"/>
        <v>0</v>
      </c>
      <c r="K57" s="1674">
        <f t="shared" si="6"/>
        <v>37604</v>
      </c>
      <c r="L57" s="1670">
        <f>SUM(L55:L56)</f>
        <v>29950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13391</v>
      </c>
      <c r="D63" s="466"/>
      <c r="E63" s="466"/>
      <c r="F63" s="466">
        <v>26522</v>
      </c>
      <c r="G63" s="466"/>
      <c r="H63" s="466">
        <v>402</v>
      </c>
      <c r="I63" s="467"/>
      <c r="J63" s="467"/>
      <c r="K63" s="1672">
        <f t="shared" si="7"/>
        <v>40315</v>
      </c>
      <c r="L63" s="466">
        <v>38950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13391</v>
      </c>
      <c r="D65" s="1670">
        <f t="shared" ref="D65:L65" si="8">SUM(D59:D64)</f>
        <v>0</v>
      </c>
      <c r="E65" s="1670">
        <f t="shared" si="8"/>
        <v>0</v>
      </c>
      <c r="F65" s="1670">
        <f t="shared" si="8"/>
        <v>26522</v>
      </c>
      <c r="G65" s="1670">
        <f t="shared" si="8"/>
        <v>0</v>
      </c>
      <c r="H65" s="1670">
        <f t="shared" si="8"/>
        <v>402</v>
      </c>
      <c r="I65" s="1670">
        <f t="shared" si="8"/>
        <v>0</v>
      </c>
      <c r="J65" s="1670">
        <f t="shared" si="8"/>
        <v>0</v>
      </c>
      <c r="K65" s="1670">
        <f t="shared" si="8"/>
        <v>40315</v>
      </c>
      <c r="L65" s="1670">
        <f t="shared" si="8"/>
        <v>38950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107441</v>
      </c>
      <c r="D74" s="1677">
        <f t="shared" ref="D74:K74" si="10">SUM(D42,D47,D53,D57,D65,D72,D73)</f>
        <v>10958</v>
      </c>
      <c r="E74" s="1677">
        <f t="shared" si="10"/>
        <v>9740</v>
      </c>
      <c r="F74" s="1677">
        <f t="shared" si="10"/>
        <v>27529</v>
      </c>
      <c r="G74" s="1677">
        <f t="shared" si="10"/>
        <v>0</v>
      </c>
      <c r="H74" s="1677">
        <f t="shared" si="10"/>
        <v>4528</v>
      </c>
      <c r="I74" s="1677">
        <f t="shared" si="10"/>
        <v>0</v>
      </c>
      <c r="J74" s="1677">
        <f t="shared" si="10"/>
        <v>0</v>
      </c>
      <c r="K74" s="1677">
        <f t="shared" si="10"/>
        <v>160196</v>
      </c>
      <c r="L74" s="1677">
        <f>SUM(L42,L47,L53,L57,L65,L72,L73)</f>
        <v>149614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21656</v>
      </c>
      <c r="F79" s="616"/>
      <c r="G79" s="616"/>
      <c r="H79" s="466"/>
      <c r="I79" s="477"/>
      <c r="J79" s="477"/>
      <c r="K79" s="1671">
        <f t="shared" si="11"/>
        <v>21656</v>
      </c>
      <c r="L79" s="466">
        <v>22500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21656</v>
      </c>
      <c r="F84" s="616"/>
      <c r="G84" s="616"/>
      <c r="H84" s="1670">
        <f>SUM(H78:H83)</f>
        <v>0</v>
      </c>
      <c r="I84" s="477"/>
      <c r="J84" s="477"/>
      <c r="K84" s="1670">
        <f>SUM(K78:K83)</f>
        <v>21656</v>
      </c>
      <c r="L84" s="1670">
        <f>SUM(L78:L83)</f>
        <v>22500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21656</v>
      </c>
      <c r="F102" s="616"/>
      <c r="G102" s="616"/>
      <c r="H102" s="1677">
        <f>SUM(H84,H92,H100,H101)</f>
        <v>0</v>
      </c>
      <c r="I102" s="477"/>
      <c r="J102" s="477"/>
      <c r="K102" s="1677">
        <f>SUM(K84,K92,K100,K101)</f>
        <v>21656</v>
      </c>
      <c r="L102" s="1677">
        <f>SUM(L84,L92,L100,L101)</f>
        <v>22500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323924</v>
      </c>
      <c r="D114" s="1670">
        <f t="shared" ref="D114:K114" si="13">SUM(D33,D74,D75,D102,D112,D113)</f>
        <v>38124</v>
      </c>
      <c r="E114" s="1670">
        <f t="shared" si="13"/>
        <v>56753</v>
      </c>
      <c r="F114" s="1670">
        <f t="shared" si="13"/>
        <v>82215</v>
      </c>
      <c r="G114" s="1670">
        <f t="shared" si="13"/>
        <v>13303</v>
      </c>
      <c r="H114" s="1670">
        <f>SUM(H33,H74,H75,H102,H112,H113)</f>
        <v>6708</v>
      </c>
      <c r="I114" s="1670">
        <f t="shared" si="13"/>
        <v>0</v>
      </c>
      <c r="J114" s="1670">
        <f t="shared" si="13"/>
        <v>0</v>
      </c>
      <c r="K114" s="1670">
        <f t="shared" si="13"/>
        <v>521027</v>
      </c>
      <c r="L114" s="1670">
        <f>SUM(L33,L74,L75,L102,L112,L113)</f>
        <v>515485</v>
      </c>
    </row>
    <row r="115" spans="1:14" ht="13.5" thickTop="1" x14ac:dyDescent="0.2">
      <c r="A115" s="2179" t="s">
        <v>996</v>
      </c>
      <c r="B115" s="2180"/>
      <c r="C115" s="618"/>
      <c r="D115" s="618"/>
      <c r="E115" s="618"/>
      <c r="F115" s="618"/>
      <c r="G115" s="618"/>
      <c r="H115" s="618"/>
      <c r="I115" s="618"/>
      <c r="J115" s="618"/>
      <c r="K115" s="1684">
        <f>'Revenues 9-14'!C268-'Expenditures 15-22'!K114</f>
        <v>53483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296</v>
      </c>
      <c r="B117" s="215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24512</v>
      </c>
      <c r="D124" s="466"/>
      <c r="E124" s="466">
        <f>6796+2109+1</f>
        <v>8906</v>
      </c>
      <c r="F124" s="466">
        <f>2622+6313+8562</f>
        <v>17497</v>
      </c>
      <c r="G124" s="466"/>
      <c r="H124" s="466"/>
      <c r="I124" s="467"/>
      <c r="J124" s="467"/>
      <c r="K124" s="1670">
        <f>SUM(C124:J124)</f>
        <v>50915</v>
      </c>
      <c r="L124" s="466">
        <v>40175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24512</v>
      </c>
      <c r="D127" s="1670">
        <f t="shared" ref="D127:L127" si="14">SUM(D122:D126)</f>
        <v>0</v>
      </c>
      <c r="E127" s="1670">
        <f t="shared" si="14"/>
        <v>8906</v>
      </c>
      <c r="F127" s="1670">
        <f t="shared" si="14"/>
        <v>17497</v>
      </c>
      <c r="G127" s="1670">
        <f t="shared" si="14"/>
        <v>0</v>
      </c>
      <c r="H127" s="1670">
        <f t="shared" si="14"/>
        <v>0</v>
      </c>
      <c r="I127" s="1670">
        <f t="shared" si="14"/>
        <v>0</v>
      </c>
      <c r="J127" s="1670">
        <f t="shared" si="14"/>
        <v>0</v>
      </c>
      <c r="K127" s="1670">
        <f t="shared" si="14"/>
        <v>50915</v>
      </c>
      <c r="L127" s="1670">
        <f t="shared" si="14"/>
        <v>40175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24512</v>
      </c>
      <c r="D129" s="1677">
        <f t="shared" ref="D129:L129" si="15">SUM(D120,D127,D128)</f>
        <v>0</v>
      </c>
      <c r="E129" s="1677">
        <f t="shared" si="15"/>
        <v>8906</v>
      </c>
      <c r="F129" s="1677">
        <f t="shared" si="15"/>
        <v>17497</v>
      </c>
      <c r="G129" s="1677">
        <f t="shared" si="15"/>
        <v>0</v>
      </c>
      <c r="H129" s="1677">
        <f t="shared" si="15"/>
        <v>0</v>
      </c>
      <c r="I129" s="1677">
        <f t="shared" si="15"/>
        <v>0</v>
      </c>
      <c r="J129" s="1677">
        <f t="shared" si="15"/>
        <v>0</v>
      </c>
      <c r="K129" s="1677">
        <f t="shared" si="15"/>
        <v>50915</v>
      </c>
      <c r="L129" s="1677">
        <f t="shared" si="15"/>
        <v>40175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9" t="s">
        <v>620</v>
      </c>
      <c r="B151" s="2151"/>
      <c r="C151" s="1670">
        <f>SUM(C129,C130,C139,C149,C150)</f>
        <v>24512</v>
      </c>
      <c r="D151" s="1670">
        <f t="shared" ref="D151:K151" si="16">SUM(D129,D130,D139,D149,D150)</f>
        <v>0</v>
      </c>
      <c r="E151" s="1670">
        <f t="shared" si="16"/>
        <v>8906</v>
      </c>
      <c r="F151" s="1670">
        <f t="shared" si="16"/>
        <v>17497</v>
      </c>
      <c r="G151" s="1670">
        <f t="shared" si="16"/>
        <v>0</v>
      </c>
      <c r="H151" s="1670">
        <f t="shared" si="16"/>
        <v>0</v>
      </c>
      <c r="I151" s="1670">
        <f t="shared" si="16"/>
        <v>0</v>
      </c>
      <c r="J151" s="1670">
        <f t="shared" si="16"/>
        <v>0</v>
      </c>
      <c r="K151" s="1670">
        <f t="shared" si="16"/>
        <v>50915</v>
      </c>
      <c r="L151" s="1670">
        <f>SUM(L129,L130,L139,L149,L150)</f>
        <v>40175</v>
      </c>
    </row>
    <row r="152" spans="1:14" ht="12.75" customHeight="1" thickTop="1" x14ac:dyDescent="0.2">
      <c r="A152" s="2172" t="s">
        <v>1178</v>
      </c>
      <c r="B152" s="2173"/>
      <c r="C152" s="618"/>
      <c r="D152" s="618"/>
      <c r="E152" s="618"/>
      <c r="F152" s="618"/>
      <c r="G152" s="618"/>
      <c r="H152" s="618"/>
      <c r="I152" s="618"/>
      <c r="J152" s="616"/>
      <c r="K152" s="1684">
        <f>'Revenues 9-14'!D268-'Expenditures 15-22'!K151</f>
        <v>3282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621</v>
      </c>
      <c r="B154" s="215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8930</v>
      </c>
      <c r="I169" s="616"/>
      <c r="J169" s="616"/>
      <c r="K169" s="1671">
        <f>SUM(C169:H169)</f>
        <v>8930</v>
      </c>
      <c r="L169" s="656">
        <v>4930</v>
      </c>
    </row>
    <row r="170" spans="1:14" ht="33.75" customHeight="1" x14ac:dyDescent="0.2">
      <c r="A170" s="669" t="s">
        <v>1670</v>
      </c>
      <c r="B170" s="671" t="s">
        <v>31</v>
      </c>
      <c r="C170" s="616"/>
      <c r="D170" s="616"/>
      <c r="E170" s="616"/>
      <c r="F170" s="616"/>
      <c r="G170" s="616"/>
      <c r="H170" s="569">
        <v>4000</v>
      </c>
      <c r="I170" s="616"/>
      <c r="J170" s="616"/>
      <c r="K170" s="1671">
        <f>SUM(C170:J170)</f>
        <v>4000</v>
      </c>
      <c r="L170" s="569">
        <v>4000</v>
      </c>
    </row>
    <row r="171" spans="1:14" ht="15.75" customHeight="1" x14ac:dyDescent="0.2">
      <c r="A171" s="621" t="s">
        <v>766</v>
      </c>
      <c r="B171" s="672" t="s">
        <v>84</v>
      </c>
      <c r="C171" s="616"/>
      <c r="D171" s="616"/>
      <c r="E171" s="466"/>
      <c r="F171" s="616"/>
      <c r="G171" s="616"/>
      <c r="H171" s="569">
        <v>200</v>
      </c>
      <c r="I171" s="477"/>
      <c r="J171" s="616"/>
      <c r="K171" s="1671">
        <f>SUM(C171:J171)</f>
        <v>200</v>
      </c>
      <c r="L171" s="569"/>
    </row>
    <row r="172" spans="1:14" ht="12.75" customHeight="1" thickBot="1" x14ac:dyDescent="0.25">
      <c r="A172" s="1668" t="s">
        <v>638</v>
      </c>
      <c r="B172" s="1669" t="s">
        <v>492</v>
      </c>
      <c r="C172" s="616"/>
      <c r="D172" s="616"/>
      <c r="E172" s="1677">
        <f>SUM(E168,E169,E170,E171)</f>
        <v>0</v>
      </c>
      <c r="F172" s="616"/>
      <c r="G172" s="616"/>
      <c r="H172" s="1677">
        <f>SUM(H168,H169,H170,H171)</f>
        <v>13130</v>
      </c>
      <c r="I172" s="638"/>
      <c r="J172" s="616"/>
      <c r="K172" s="1677">
        <f>SUM(K168,K169,K170,K171)</f>
        <v>13130</v>
      </c>
      <c r="L172" s="1677">
        <f>SUM(L168,L169,L170,L171)</f>
        <v>8930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13130</v>
      </c>
      <c r="I174" s="638"/>
      <c r="J174" s="616"/>
      <c r="K174" s="1677">
        <f>SUM(K160,K172,K173)</f>
        <v>13130</v>
      </c>
      <c r="L174" s="1677">
        <f>SUM(L160,L172,L173)</f>
        <v>8930</v>
      </c>
    </row>
    <row r="175" spans="1:14" ht="13.5" thickTop="1" x14ac:dyDescent="0.2">
      <c r="A175" s="2179" t="s">
        <v>996</v>
      </c>
      <c r="B175" s="2180"/>
      <c r="C175" s="616"/>
      <c r="D175" s="616"/>
      <c r="E175" s="616"/>
      <c r="F175" s="616"/>
      <c r="G175" s="616"/>
      <c r="H175" s="618"/>
      <c r="I175" s="616"/>
      <c r="J175" s="616"/>
      <c r="K175" s="1684">
        <f>'Revenues 9-14'!E268-'Expenditures 15-22'!K174</f>
        <v>641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10759</v>
      </c>
      <c r="D182" s="466"/>
      <c r="E182" s="466">
        <f>267+2930+760</f>
        <v>3957</v>
      </c>
      <c r="F182" s="466">
        <f>40+3886</f>
        <v>3926</v>
      </c>
      <c r="G182" s="466"/>
      <c r="H182" s="466">
        <v>256</v>
      </c>
      <c r="I182" s="467"/>
      <c r="J182" s="467"/>
      <c r="K182" s="1671">
        <f>SUM(C182:J182)</f>
        <v>18898</v>
      </c>
      <c r="L182" s="466">
        <v>25850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10759</v>
      </c>
      <c r="D184" s="1677">
        <f t="shared" ref="D184:J184" si="17">SUM(D180,D182,D183)</f>
        <v>0</v>
      </c>
      <c r="E184" s="1677">
        <f t="shared" si="17"/>
        <v>3957</v>
      </c>
      <c r="F184" s="1677">
        <f t="shared" si="17"/>
        <v>3926</v>
      </c>
      <c r="G184" s="1677">
        <f t="shared" si="17"/>
        <v>0</v>
      </c>
      <c r="H184" s="1677">
        <f t="shared" si="17"/>
        <v>256</v>
      </c>
      <c r="I184" s="1677">
        <f t="shared" si="17"/>
        <v>0</v>
      </c>
      <c r="J184" s="1677">
        <f t="shared" si="17"/>
        <v>0</v>
      </c>
      <c r="K184" s="1677">
        <f>SUM(K180,K182,K183)</f>
        <v>18898</v>
      </c>
      <c r="L184" s="1677">
        <f>SUM(L180, L182:L183)</f>
        <v>25850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10759</v>
      </c>
      <c r="D210" s="1670">
        <f>SUM(D184,D185)</f>
        <v>0</v>
      </c>
      <c r="E210" s="1670">
        <f>SUM(E184,E185,E196)</f>
        <v>3957</v>
      </c>
      <c r="F210" s="1670">
        <f>SUM(F184,F185)</f>
        <v>3926</v>
      </c>
      <c r="G210" s="1670">
        <f>SUM(G184,G185)</f>
        <v>0</v>
      </c>
      <c r="H210" s="1670">
        <f>SUM(H184,H185,H196,H208,H209)</f>
        <v>256</v>
      </c>
      <c r="I210" s="1670">
        <f>SUM(I184,I185)</f>
        <v>0</v>
      </c>
      <c r="J210" s="1670">
        <f>SUM(J184,J185)</f>
        <v>0</v>
      </c>
      <c r="K210" s="1671">
        <f>SUM(K184,K185,K196,K208,K209)</f>
        <v>18898</v>
      </c>
      <c r="L210" s="1670">
        <f>SUM(L184,L185,L196,L208,L209)</f>
        <v>25850</v>
      </c>
    </row>
    <row r="211" spans="1:14" ht="13.5" thickTop="1" x14ac:dyDescent="0.2">
      <c r="A211" s="2179" t="s">
        <v>996</v>
      </c>
      <c r="B211" s="2180"/>
      <c r="C211" s="618"/>
      <c r="D211" s="618"/>
      <c r="E211" s="618"/>
      <c r="F211" s="618"/>
      <c r="G211" s="618"/>
      <c r="H211" s="618"/>
      <c r="I211" s="616"/>
      <c r="J211" s="616"/>
      <c r="K211" s="1684">
        <f>'Revenues 9-14'!F268-'Expenditures 15-22'!K210</f>
        <v>6821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965</v>
      </c>
      <c r="B213" s="217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2263</v>
      </c>
      <c r="E215" s="616"/>
      <c r="F215" s="616"/>
      <c r="G215" s="616"/>
      <c r="H215" s="616"/>
      <c r="I215" s="616"/>
      <c r="J215" s="616"/>
      <c r="K215" s="1671">
        <f>D215</f>
        <v>2263</v>
      </c>
      <c r="L215" s="466">
        <v>2500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394</v>
      </c>
      <c r="E217" s="616"/>
      <c r="F217" s="616"/>
      <c r="G217" s="616"/>
      <c r="H217" s="616"/>
      <c r="I217" s="616"/>
      <c r="J217" s="616"/>
      <c r="K217" s="1671">
        <f t="shared" si="19"/>
        <v>394</v>
      </c>
      <c r="L217" s="466">
        <v>2500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v>3000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208</v>
      </c>
      <c r="E223" s="616"/>
      <c r="F223" s="616"/>
      <c r="G223" s="616"/>
      <c r="H223" s="616"/>
      <c r="I223" s="616"/>
      <c r="J223" s="616"/>
      <c r="K223" s="1671">
        <f t="shared" si="19"/>
        <v>208</v>
      </c>
      <c r="L223" s="466">
        <v>200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2865</v>
      </c>
      <c r="E229" s="616"/>
      <c r="F229" s="616"/>
      <c r="G229" s="616"/>
      <c r="H229" s="616"/>
      <c r="I229" s="616"/>
      <c r="J229" s="616"/>
      <c r="K229" s="1670">
        <f>SUM(K215:K228)</f>
        <v>2865</v>
      </c>
      <c r="L229" s="1670">
        <f>SUM(L215:L228)</f>
        <v>8200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3769</v>
      </c>
      <c r="E246" s="616"/>
      <c r="F246" s="616"/>
      <c r="G246" s="616"/>
      <c r="H246" s="616"/>
      <c r="I246" s="616"/>
      <c r="J246" s="616"/>
      <c r="K246" s="1672">
        <f t="shared" ref="K246:K256" si="21">D246</f>
        <v>3769</v>
      </c>
      <c r="L246" s="466">
        <v>4500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3769</v>
      </c>
      <c r="E257" s="616"/>
      <c r="F257" s="616"/>
      <c r="G257" s="616"/>
      <c r="H257" s="616"/>
      <c r="I257" s="616"/>
      <c r="J257" s="616"/>
      <c r="K257" s="1670">
        <f>SUM(K245:K256)</f>
        <v>3769</v>
      </c>
      <c r="L257" s="1670">
        <f>SUM(L245:L256)</f>
        <v>4500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466</v>
      </c>
      <c r="E259" s="616"/>
      <c r="F259" s="616"/>
      <c r="G259" s="616"/>
      <c r="H259" s="616"/>
      <c r="I259" s="616"/>
      <c r="J259" s="616"/>
      <c r="K259" s="1672">
        <f>D259</f>
        <v>466</v>
      </c>
      <c r="L259" s="481">
        <v>500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466</v>
      </c>
      <c r="E261" s="616"/>
      <c r="F261" s="616"/>
      <c r="G261" s="616"/>
      <c r="H261" s="616"/>
      <c r="I261" s="616"/>
      <c r="J261" s="616"/>
      <c r="K261" s="1670">
        <f>SUM(K259:K260)</f>
        <v>466</v>
      </c>
      <c r="L261" s="1670">
        <f>SUM(L259:L260)</f>
        <v>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2671</v>
      </c>
      <c r="E266" s="616"/>
      <c r="F266" s="616"/>
      <c r="G266" s="616"/>
      <c r="H266" s="616"/>
      <c r="I266" s="616"/>
      <c r="J266" s="616"/>
      <c r="K266" s="1672">
        <f t="shared" si="22"/>
        <v>2671</v>
      </c>
      <c r="L266" s="466">
        <v>3000</v>
      </c>
    </row>
    <row r="267" spans="1:14" x14ac:dyDescent="0.2">
      <c r="A267" s="1504" t="s">
        <v>953</v>
      </c>
      <c r="B267" s="614">
        <v>2550</v>
      </c>
      <c r="C267" s="616"/>
      <c r="D267" s="466">
        <v>814</v>
      </c>
      <c r="E267" s="616"/>
      <c r="F267" s="616"/>
      <c r="G267" s="616"/>
      <c r="H267" s="616"/>
      <c r="I267" s="616"/>
      <c r="J267" s="616"/>
      <c r="K267" s="1672">
        <f t="shared" si="22"/>
        <v>814</v>
      </c>
      <c r="L267" s="466">
        <v>1000</v>
      </c>
    </row>
    <row r="268" spans="1:14" x14ac:dyDescent="0.2">
      <c r="A268" s="1504" t="s">
        <v>100</v>
      </c>
      <c r="B268" s="614">
        <v>2560</v>
      </c>
      <c r="C268" s="616"/>
      <c r="D268" s="466">
        <v>1477</v>
      </c>
      <c r="E268" s="616"/>
      <c r="F268" s="616"/>
      <c r="G268" s="616"/>
      <c r="H268" s="616"/>
      <c r="I268" s="616"/>
      <c r="J268" s="616"/>
      <c r="K268" s="1672">
        <f t="shared" si="22"/>
        <v>1477</v>
      </c>
      <c r="L268" s="466">
        <v>2000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4962</v>
      </c>
      <c r="E270" s="616"/>
      <c r="F270" s="616"/>
      <c r="G270" s="616"/>
      <c r="H270" s="616"/>
      <c r="I270" s="616"/>
      <c r="J270" s="616"/>
      <c r="K270" s="1670">
        <f>SUM(K263:K269)</f>
        <v>4962</v>
      </c>
      <c r="L270" s="1670">
        <f>SUM(L263:L269)</f>
        <v>6000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9197</v>
      </c>
      <c r="E279" s="616"/>
      <c r="F279" s="616"/>
      <c r="G279" s="616"/>
      <c r="H279" s="616"/>
      <c r="I279" s="616"/>
      <c r="J279" s="616"/>
      <c r="K279" s="1677">
        <f>SUM(K238,K243,K257,K261,K270,K277,K278)</f>
        <v>9197</v>
      </c>
      <c r="L279" s="1677">
        <f>SUM(L238,L243,L257,L261,L270,L277,L278)</f>
        <v>11000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0" t="s">
        <v>505</v>
      </c>
      <c r="B295" s="2171"/>
      <c r="C295" s="616"/>
      <c r="D295" s="1670">
        <f>SUM(D229,D279,D280,D285)</f>
        <v>12062</v>
      </c>
      <c r="E295" s="616"/>
      <c r="F295" s="616"/>
      <c r="G295" s="616"/>
      <c r="H295" s="1670">
        <f>H293</f>
        <v>0</v>
      </c>
      <c r="I295" s="616"/>
      <c r="J295" s="616"/>
      <c r="K295" s="1670">
        <f>SUM(K229,K279,K280,K285,K293,K294)</f>
        <v>12062</v>
      </c>
      <c r="L295" s="1670">
        <f>SUM(L229,L279,L280,L285,L293,L294)</f>
        <v>19200</v>
      </c>
    </row>
    <row r="296" spans="1:14" ht="13.5" thickTop="1" x14ac:dyDescent="0.2">
      <c r="A296" s="2179" t="s">
        <v>996</v>
      </c>
      <c r="B296" s="2180"/>
      <c r="C296" s="616"/>
      <c r="D296" s="618"/>
      <c r="E296" s="616"/>
      <c r="F296" s="616"/>
      <c r="G296" s="616"/>
      <c r="H296" s="687"/>
      <c r="I296" s="616"/>
      <c r="J296" s="616"/>
      <c r="K296" s="1684">
        <f>'Revenues 9-14'!G268-'Expenditures 15-22'!K295</f>
        <v>-7247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7" t="s">
        <v>277</v>
      </c>
      <c r="B312" s="2168"/>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3" t="s">
        <v>996</v>
      </c>
      <c r="B313" s="2164"/>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898</v>
      </c>
      <c r="B317" s="217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f>41+3493</f>
        <v>3534</v>
      </c>
      <c r="F320" s="467"/>
      <c r="G320" s="467"/>
      <c r="H320" s="467"/>
      <c r="I320" s="467"/>
      <c r="J320" s="467"/>
      <c r="K320" s="1671">
        <f t="shared" ref="K320:K327" si="24">SUM(C320:J320)</f>
        <v>3534</v>
      </c>
      <c r="L320" s="467">
        <v>5000</v>
      </c>
      <c r="M320" s="665"/>
      <c r="N320" s="665"/>
    </row>
    <row r="321" spans="1:14" s="674" customFormat="1" x14ac:dyDescent="0.2">
      <c r="A321" s="1519" t="s">
        <v>300</v>
      </c>
      <c r="B321" s="697" t="s">
        <v>283</v>
      </c>
      <c r="C321" s="467"/>
      <c r="D321" s="467"/>
      <c r="E321" s="467">
        <v>1064</v>
      </c>
      <c r="F321" s="467"/>
      <c r="G321" s="467"/>
      <c r="H321" s="467"/>
      <c r="I321" s="467"/>
      <c r="J321" s="467"/>
      <c r="K321" s="1671">
        <f t="shared" si="24"/>
        <v>1064</v>
      </c>
      <c r="L321" s="467">
        <v>1200</v>
      </c>
      <c r="M321" s="665"/>
      <c r="N321" s="665"/>
    </row>
    <row r="322" spans="1:14" s="674" customFormat="1" x14ac:dyDescent="0.2">
      <c r="A322" s="1519" t="s">
        <v>238</v>
      </c>
      <c r="B322" s="697" t="s">
        <v>284</v>
      </c>
      <c r="C322" s="467"/>
      <c r="D322" s="467"/>
      <c r="E322" s="467">
        <f>11114-3493</f>
        <v>7621</v>
      </c>
      <c r="F322" s="467"/>
      <c r="G322" s="467"/>
      <c r="H322" s="467"/>
      <c r="I322" s="467"/>
      <c r="J322" s="467"/>
      <c r="K322" s="1671">
        <f t="shared" si="24"/>
        <v>7621</v>
      </c>
      <c r="L322" s="467">
        <v>10000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799</v>
      </c>
      <c r="F327" s="467"/>
      <c r="G327" s="467"/>
      <c r="H327" s="467"/>
      <c r="I327" s="467"/>
      <c r="J327" s="467"/>
      <c r="K327" s="1671">
        <f t="shared" si="24"/>
        <v>799</v>
      </c>
      <c r="L327" s="467">
        <v>20000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13018</v>
      </c>
      <c r="F330" s="1670">
        <f t="shared" si="25"/>
        <v>0</v>
      </c>
      <c r="G330" s="1670">
        <f t="shared" si="25"/>
        <v>0</v>
      </c>
      <c r="H330" s="1670">
        <f t="shared" si="25"/>
        <v>0</v>
      </c>
      <c r="I330" s="1670">
        <f t="shared" si="25"/>
        <v>0</v>
      </c>
      <c r="J330" s="1670">
        <f t="shared" si="25"/>
        <v>0</v>
      </c>
      <c r="K330" s="1670">
        <f>SUM(K319:K329)</f>
        <v>13018</v>
      </c>
      <c r="L330" s="1670">
        <f>SUM(L319:L329)</f>
        <v>36200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13018</v>
      </c>
      <c r="F342" s="1670">
        <f>SUM(F330)</f>
        <v>0</v>
      </c>
      <c r="G342" s="1670">
        <f>SUM(G330)</f>
        <v>0</v>
      </c>
      <c r="H342" s="1670">
        <f>SUM(H330,H334,H340)</f>
        <v>0</v>
      </c>
      <c r="I342" s="1670">
        <f>SUM(I330)</f>
        <v>0</v>
      </c>
      <c r="J342" s="1670">
        <f>SUM(J330)</f>
        <v>0</v>
      </c>
      <c r="K342" s="1670">
        <f>SUM(K330,K334,K340)</f>
        <v>13018</v>
      </c>
      <c r="L342" s="1677">
        <f>SUM(L330,L340,L341)</f>
        <v>36200</v>
      </c>
    </row>
    <row r="343" spans="1:14" ht="12.75" customHeight="1" thickTop="1" x14ac:dyDescent="0.2">
      <c r="A343" s="2165" t="s">
        <v>996</v>
      </c>
      <c r="B343" s="2166"/>
      <c r="C343" s="616"/>
      <c r="D343" s="616"/>
      <c r="E343" s="616"/>
      <c r="F343" s="616"/>
      <c r="G343" s="616"/>
      <c r="H343" s="616"/>
      <c r="I343" s="616"/>
      <c r="J343" s="616"/>
      <c r="K343" s="1684">
        <f>'Revenues 9-14'!J268-'Expenditures 15-22'!K342</f>
        <v>32407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966</v>
      </c>
      <c r="B345" s="215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f>2781-952</f>
        <v>1829</v>
      </c>
      <c r="F349" s="466"/>
      <c r="G349" s="466">
        <f>24779+952</f>
        <v>25731</v>
      </c>
      <c r="H349" s="466"/>
      <c r="I349" s="467"/>
      <c r="J349" s="467"/>
      <c r="K349" s="1671">
        <f>SUM(C349:J349)</f>
        <v>27560</v>
      </c>
      <c r="L349" s="466">
        <v>3000</v>
      </c>
    </row>
    <row r="350" spans="1:14" ht="12.75" customHeight="1" thickBot="1" x14ac:dyDescent="0.25">
      <c r="A350" s="1668" t="s">
        <v>719</v>
      </c>
      <c r="B350" s="1669" t="s">
        <v>35</v>
      </c>
      <c r="C350" s="1670">
        <f>SUM(C348:C349)</f>
        <v>0</v>
      </c>
      <c r="D350" s="1670">
        <f t="shared" ref="D350:L350" si="26">SUM(D348:D349)</f>
        <v>0</v>
      </c>
      <c r="E350" s="1670">
        <f t="shared" si="26"/>
        <v>1829</v>
      </c>
      <c r="F350" s="1670">
        <f t="shared" si="26"/>
        <v>0</v>
      </c>
      <c r="G350" s="1670">
        <f t="shared" si="26"/>
        <v>25731</v>
      </c>
      <c r="H350" s="1670">
        <f t="shared" si="26"/>
        <v>0</v>
      </c>
      <c r="I350" s="1670">
        <f t="shared" si="26"/>
        <v>0</v>
      </c>
      <c r="J350" s="1670">
        <f t="shared" si="26"/>
        <v>0</v>
      </c>
      <c r="K350" s="1670">
        <f t="shared" si="26"/>
        <v>27560</v>
      </c>
      <c r="L350" s="1670">
        <f t="shared" si="26"/>
        <v>3000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1829</v>
      </c>
      <c r="F352" s="1670">
        <f t="shared" si="27"/>
        <v>0</v>
      </c>
      <c r="G352" s="1670">
        <f t="shared" si="27"/>
        <v>25731</v>
      </c>
      <c r="H352" s="1670">
        <f t="shared" si="27"/>
        <v>0</v>
      </c>
      <c r="I352" s="1670">
        <f t="shared" si="27"/>
        <v>0</v>
      </c>
      <c r="J352" s="1670">
        <f t="shared" si="27"/>
        <v>0</v>
      </c>
      <c r="K352" s="1670">
        <f t="shared" si="27"/>
        <v>27560</v>
      </c>
      <c r="L352" s="1670">
        <f t="shared" si="27"/>
        <v>3000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1829</v>
      </c>
      <c r="F367" s="1670">
        <f t="shared" si="28"/>
        <v>0</v>
      </c>
      <c r="G367" s="1670">
        <f t="shared" si="28"/>
        <v>25731</v>
      </c>
      <c r="H367" s="1670">
        <f t="shared" si="28"/>
        <v>0</v>
      </c>
      <c r="I367" s="1670">
        <f t="shared" si="28"/>
        <v>0</v>
      </c>
      <c r="J367" s="1670">
        <f t="shared" si="28"/>
        <v>0</v>
      </c>
      <c r="K367" s="1670">
        <f t="shared" si="28"/>
        <v>27560</v>
      </c>
      <c r="L367" s="1670">
        <f t="shared" si="28"/>
        <v>3000</v>
      </c>
    </row>
    <row r="368" spans="1:14" ht="13.5" thickTop="1" x14ac:dyDescent="0.2">
      <c r="A368" s="2179" t="s">
        <v>996</v>
      </c>
      <c r="B368" s="2180"/>
      <c r="C368" s="654"/>
      <c r="D368" s="654"/>
      <c r="E368" s="626"/>
      <c r="F368" s="626"/>
      <c r="G368" s="626"/>
      <c r="H368" s="626"/>
      <c r="I368" s="626"/>
      <c r="J368" s="623"/>
      <c r="K368" s="1671">
        <f>'Revenues 9-14'!K268-'Expenditures 15-22'!K367</f>
        <v>-24783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&amp;L&amp;8&amp;F&amp;C&amp;8The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purl.org/dc/dcmitype/"/>
    <ds:schemaRef ds:uri="http://www.w3.org/XML/1998/namespace"/>
    <ds:schemaRef ds:uri="http://schemas.microsoft.com/office/2006/metadata/properties"/>
    <ds:schemaRef ds:uri="http://schemas.microsoft.com/sharepoint/v3"/>
    <ds:schemaRef ds:uri="http://purl.org/dc/elements/1.1/"/>
    <ds:schemaRef ds:uri="6ce3111e-7420-4802-b50a-75d4e9a0b980"/>
    <ds:schemaRef ds:uri="http://schemas.openxmlformats.org/package/2006/metadata/core-properties"/>
    <ds:schemaRef ds:uri="4d435f69-8686-490b-bd6d-b153bf22ab50"/>
    <ds:schemaRef ds:uri="d21dc803-237d-4c68-8692-8d731fd29118"/>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2019-11-18T22:39:08Z</cp:lastPrinted>
  <dcterms:created xsi:type="dcterms:W3CDTF">2003-10-29T19:06:34Z</dcterms:created>
  <dcterms:modified xsi:type="dcterms:W3CDTF">2019-12-30T14:20:19Z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