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AB20656-0E90-42D9-81B2-1AC16FC8E0E2}" xr6:coauthVersionLast="36" xr6:coauthVersionMax="36" xr10:uidLastSave="{00000000-0000-0000-0000-000000000000}"/>
  <bookViews>
    <workbookView xWindow="-120" yWindow="-120" windowWidth="29040" windowHeight="176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67" i="29" l="1"/>
  <c r="L223" i="29"/>
  <c r="L14" i="29"/>
  <c r="B4" i="183" l="1"/>
  <c r="C107" i="5"/>
  <c r="D5" i="29"/>
  <c r="D182" i="29" l="1"/>
  <c r="C182" i="29"/>
  <c r="F182" i="29"/>
  <c r="E182" i="29"/>
  <c r="F124" i="29"/>
  <c r="E124" i="29"/>
  <c r="E79" i="29"/>
  <c r="E64" i="29"/>
  <c r="D64" i="29"/>
  <c r="F63" i="29"/>
  <c r="D63" i="29"/>
  <c r="F61" i="29"/>
  <c r="E61" i="29"/>
  <c r="D61" i="29"/>
  <c r="E60" i="29"/>
  <c r="D60" i="29"/>
  <c r="D55" i="29"/>
  <c r="E50" i="29"/>
  <c r="D50" i="29"/>
  <c r="E49" i="29"/>
  <c r="E44" i="29"/>
  <c r="D40" i="29"/>
  <c r="D38" i="29"/>
  <c r="D36" i="29"/>
  <c r="F14" i="29"/>
  <c r="D14" i="29"/>
  <c r="C14" i="29"/>
  <c r="E14" i="29"/>
  <c r="F10" i="29"/>
  <c r="E10" i="29"/>
  <c r="C10" i="29"/>
  <c r="D10" i="29"/>
  <c r="D9" i="29"/>
  <c r="C9" i="29"/>
  <c r="D8" i="29"/>
  <c r="C8" i="29"/>
  <c r="F5" i="29"/>
  <c r="E5" i="29"/>
  <c r="C5" i="29"/>
  <c r="K5" i="5"/>
  <c r="J5" i="5"/>
  <c r="I5" i="5"/>
  <c r="G8" i="5"/>
  <c r="G5" i="5"/>
  <c r="F153" i="5"/>
  <c r="F152" i="5"/>
  <c r="F5" i="5"/>
  <c r="E5" i="5"/>
  <c r="D7" i="5"/>
  <c r="D5" i="5"/>
  <c r="C200" i="5"/>
  <c r="C159" i="5"/>
  <c r="C6" i="5"/>
  <c r="C5" i="5"/>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E27" i="108"/>
  <c r="G27" i="108"/>
  <c r="F28"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J41" i="3" l="1"/>
  <c r="G210" i="29"/>
  <c r="D7245" i="106"/>
  <c r="L13" i="11"/>
  <c r="B2060" i="106" s="1"/>
  <c r="D2060" i="106" s="1"/>
  <c r="C342" i="29"/>
  <c r="B7216" i="106" s="1"/>
  <c r="D7216" i="106" s="1"/>
  <c r="G29" i="108"/>
  <c r="K184" i="29"/>
  <c r="F13" i="4" s="1"/>
  <c r="B2596" i="106" s="1"/>
  <c r="D2596" i="106" s="1"/>
  <c r="E29" i="108"/>
  <c r="F27"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41" i="108" l="1"/>
  <c r="E43" i="108" s="1"/>
  <c r="B1365" i="106"/>
  <c r="D1365" i="106" s="1"/>
  <c r="F65" i="34"/>
  <c r="F41" i="108"/>
  <c r="G43" i="108" s="1"/>
  <c r="L16" i="11"/>
  <c r="B2061" i="106" s="1"/>
  <c r="D2061" i="106" s="1"/>
  <c r="D44" i="36"/>
  <c r="L114" i="29"/>
  <c r="K342" i="29"/>
  <c r="F13" i="34" s="1"/>
  <c r="C114" i="29"/>
  <c r="B757" i="106" s="1"/>
  <c r="D757"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B1145" i="106"/>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J19" i="4"/>
  <c r="B6229" i="106" s="1"/>
  <c r="D6229" i="106" s="1"/>
  <c r="K17" i="4"/>
  <c r="K20" i="4" s="1"/>
  <c r="B6227" i="106"/>
  <c r="D6227"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19" i="4" l="1"/>
  <c r="B4144" i="106" s="1"/>
  <c r="D4144" i="106" s="1"/>
  <c r="B3575" i="106"/>
  <c r="D3575"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<sst xmlns="http://schemas.openxmlformats.org/spreadsheetml/2006/main" count="5097" uniqueCount="2098">
  <si>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</si>
  <si>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</si>
  <si>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</si>
  <si>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</si>
  <si>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</si>
  <si>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</si>
  <si>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</si>
  <si>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</si>
  <si>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</si>
  <si>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</si>
  <si>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</si>
  <si>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</si>
  <si>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</si>
  <si>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</si>
  <si>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</si>
  <si>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</si>
  <si>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</si>
  <si>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</si>
  <si>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</si>
  <si>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</si>
  <si>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</si>
  <si>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</si>
  <si>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</si>
  <si>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</si>
  <si>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</si>
  <si>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</si>
  <si>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</si>
  <si>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</si>
  <si>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</si>
  <si>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</si>
  <si>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</si>
  <si>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</si>
  <si>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</si>
  <si>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</si>
  <si>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</si>
  <si>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</si>
  <si>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</si>
  <si>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</si>
  <si>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</si>
  <si>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</si>
  <si>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</si>
  <si>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</si>
  <si>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</si>
  <si>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</si>
  <si>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</si>
  <si>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</si>
  <si>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</si>
  <si>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</si>
  <si>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</si>
  <si>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</si>
  <si>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</si>
  <si>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</si>
  <si>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</si>
  <si>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</si>
  <si>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</si>
  <si>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</si>
  <si>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</si>
  <si>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</si>
  <si>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</si>
  <si>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</si>
  <si>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</si>
  <si>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</si>
  <si>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</si>
  <si>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</si>
  <si>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</si>
  <si>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</si>
  <si>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</si>
  <si>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</si>
  <si>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</si>
  <si>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</si>
  <si>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</si>
  <si>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</si>
  <si>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</si>
  <si>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</si>
  <si>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</si>
  <si>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</si>
  <si>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</si>
  <si>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</si>
  <si>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</si>
  <si>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</si>
  <si>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</si>
  <si>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</si>
  <si>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</si>
  <si>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</si>
  <si>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</si>
  <si>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</si>
  <si>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</si>
  <si>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</si>
  <si>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</si>
  <si>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</si>
  <si>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</si>
  <si>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</si>
  <si>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</si>
  <si>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</si>
  <si>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</si>
  <si>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</si>
  <si>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</si>
  <si>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</si>
  <si>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</si>
  <si>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</si>
  <si>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</si>
  <si>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</si>
  <si>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</si>
  <si>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</si>
  <si>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</si>
  <si>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</si>
  <si>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</si>
  <si>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</si>
  <si>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</si>
  <si>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</si>
  <si>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</si>
  <si>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</si>
  <si>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</si>
  <si>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</si>
  <si>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</si>
  <si>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</si>
  <si>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</si>
  <si>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</si>
  <si>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</si>
  <si>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</si>
  <si>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</si>
  <si>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</si>
  <si>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</si>
  <si>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</si>
  <si>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</si>
  <si>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</si>
  <si>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</si>
  <si>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</si>
  <si>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</si>
  <si>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</si>
  <si>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</si>
  <si>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</si>
  <si>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</si>
  <si>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</si>
  <si>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</si>
  <si>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</si>
  <si>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</si>
  <si>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</si>
  <si>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</si>
  <si>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</si>
  <si>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</si>
  <si>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</si>
  <si>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</si>
  <si>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</si>
  <si>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</si>
  <si>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</si>
  <si>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</si>
  <si>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</si>
  <si>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</si>
  <si>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</si>
  <si>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</si>
  <si>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</si>
  <si>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</si>
  <si>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</si>
  <si>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</si>
  <si>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</si>
  <si>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</si>
  <si>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</si>
  <si>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</si>
  <si>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</si>
  <si>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</si>
  <si>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</si>
  <si>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</si>
  <si>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</si>
  <si>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</si>
  <si>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</si>
  <si>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</si>
  <si>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</si>
  <si>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</si>
  <si>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</si>
  <si>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</si>
  <si>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</si>
  <si>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</si>
  <si>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</si>
  <si>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</si>
  <si>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</si>
  <si>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</si>
  <si>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</si>
  <si>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</si>
  <si>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</si>
  <si>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</si>
  <si>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</si>
  <si>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</si>
  <si>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</si>
  <si>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</si>
  <si>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</si>
  <si>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</si>
  <si>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</si>
  <si>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</si>
  <si>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</si>
  <si>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</si>
  <si>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</si>
  <si>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</si>
  <si>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</si>
  <si>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</si>
  <si>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</si>
  <si>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</si>
  <si>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</si>
  <si>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</si>
  <si>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</si>
  <si>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</si>
  <si>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</si>
  <si>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</si>
  <si>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</si>
  <si>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</si>
  <si>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</si>
  <si>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</si>
  <si>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</si>
  <si>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</si>
  <si>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</si>
  <si>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</si>
  <si>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</si>
  <si>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</si>
  <si>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</si>
  <si>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</si>
  <si>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</si>
  <si>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</si>
  <si>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</si>
  <si>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</si>
  <si>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</si>
  <si>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</si>
  <si>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</si>
  <si>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</si>
  <si>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</si>
  <si>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</si>
  <si>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</si>
  <si>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</si>
  <si>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</si>
  <si>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</si>
  <si>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</si>
  <si>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</si>
  <si>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</si>
  <si>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</si>
  <si>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</si>
  <si>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</si>
  <si>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</si>
  <si>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</si>
  <si>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</si>
  <si>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</si>
  <si>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</si>
  <si>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</si>
  <si>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</si>
  <si>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</si>
  <si>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</si>
  <si>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</si>
  <si>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</si>
  <si>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</si>
  <si>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</si>
  <si>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</si>
  <si>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</si>
  <si>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</si>
  <si>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</si>
  <si>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</si>
  <si>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</si>
  <si>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</si>
  <si>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</si>
  <si>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</si>
  <si>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</si>
  <si>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</si>
  <si>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</si>
  <si>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</si>
  <si>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</si>
  <si>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</si>
  <si>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</si>
  <si>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</si>
  <si>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</si>
  <si>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</si>
  <si>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</si>
  <si>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</si>
  <si>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</si>
  <si>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</si>
  <si>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</si>
  <si>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</si>
  <si>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</si>
  <si>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</si>
  <si>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</si>
  <si>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</si>
  <si>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</si>
  <si>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</si>
  <si>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</si>
  <si>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</si>
  <si>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</si>
  <si>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</si>
  <si>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</si>
  <si>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</si>
  <si>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</si>
  <si>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</si>
  <si>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</si>
  <si>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</si>
  <si>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</si>
  <si>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</si>
  <si>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</si>
  <si>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</si>
  <si>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</si>
  <si>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</si>
  <si>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</si>
  <si>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</si>
  <si>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</si>
  <si>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</si>
  <si>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</si>
  <si>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</si>
  <si>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</si>
  <si>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</si>
  <si>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</si>
  <si>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</si>
  <si>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</si>
  <si>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</si>
  <si>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</si>
  <si>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</si>
  <si>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</si>
  <si>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</si>
  <si>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</si>
  <si>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</si>
  <si>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</si>
  <si>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</si>
  <si>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</si>
  <si>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</si>
  <si>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</si>
  <si>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</si>
  <si>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</si>
  <si>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</si>
  <si>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</si>
  <si>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</si>
  <si>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</si>
  <si>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</si>
  <si>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</si>
  <si>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</si>
  <si>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</si>
  <si>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</si>
  <si>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</si>
  <si>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</si>
  <si>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</si>
  <si>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</si>
  <si>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</si>
  <si>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</si>
  <si>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</si>
  <si>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</si>
  <si>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</si>
  <si>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</si>
  <si>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</si>
  <si>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</si>
  <si>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</si>
  <si>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</si>
  <si>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</si>
  <si>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</si>
  <si>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</si>
  <si>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</si>
  <si>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</si>
  <si>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</si>
  <si>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</si>
  <si>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</si>
  <si>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</si>
  <si>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</si>
  <si>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</si>
  <si>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</si>
  <si>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</si>
  <si>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</si>
  <si>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</si>
  <si>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</si>
  <si>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</si>
  <si>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</si>
  <si>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</si>
  <si>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</si>
  <si>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</si>
  <si>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</si>
  <si>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</si>
  <si>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</si>
  <si>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</si>
  <si>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</si>
  <si>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</si>
  <si>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</si>
  <si>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</si>
  <si>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</si>
  <si>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</si>
  <si>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</si>
  <si>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</si>
  <si>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</si>
  <si>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</si>
  <si>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</si>
  <si>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</si>
  <si>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</si>
  <si>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</si>
  <si>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</si>
  <si>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</si>
  <si>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</si>
  <si>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</si>
  <si>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</si>
  <si>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</si>
  <si>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</si>
  <si>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</si>
  <si>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</si>
  <si>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</si>
  <si>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</si>
  <si>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</si>
  <si>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</si>
  <si>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</si>
  <si>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</si>
  <si>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</si>
  <si>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</si>
  <si>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</si>
  <si>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</si>
  <si>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</si>
  <si>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</si>
  <si>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</si>
  <si>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</si>
  <si>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</si>
  <si>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</si>
  <si>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</si>
  <si>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</si>
  <si>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</si>
  <si>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</si>
  <si>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</si>
  <si>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</si>
  <si>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</si>
  <si>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</si>
  <si>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</si>
  <si>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</si>
  <si>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</si>
  <si>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</si>
  <si>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</si>
  <si>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</si>
  <si>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</si>
  <si>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</si>
  <si>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</si>
  <si>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</si>
  <si>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</si>
  <si>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</si>
  <si>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</si>
  <si>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</si>
  <si>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</si>
  <si>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</si>
  <si>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</si>
  <si>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</si>
  <si>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</si>
  <si>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</si>
  <si>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</si>
  <si>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</si>
  <si>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</si>
  <si>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</si>
  <si>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</si>
  <si>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</si>
  <si>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</si>
  <si>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</si>
  <si>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</si>
  <si>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</si>
  <si>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</si>
  <si>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</si>
  <si>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</si>
  <si>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</si>
  <si>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</si>
  <si>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</si>
  <si>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</si>
  <si>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</si>
  <si>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</si>
  <si>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</si>
  <si>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</si>
  <si>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</si>
  <si>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</si>
  <si>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</si>
  <si>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</si>
  <si>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</si>
  <si>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</si>
  <si>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</si>
  <si>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</si>
  <si>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</si>
  <si>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</si>
  <si>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</si>
  <si>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</si>
  <si>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</si>
  <si>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</si>
  <si>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</si>
  <si>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</si>
  <si>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</si>
  <si>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</si>
  <si>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</si>
  <si>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</si>
  <si>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</si>
  <si>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</si>
  <si>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</si>
  <si>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</si>
  <si>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</si>
  <si>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</si>
  <si>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</si>
  <si>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</si>
  <si>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</si>
  <si>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</si>
  <si>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</si>
  <si>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</si>
  <si>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</si>
  <si>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</si>
  <si>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</si>
  <si>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</si>
  <si>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</si>
  <si>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</si>
  <si>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</si>
  <si>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</si>
  <si>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</si>
  <si>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</si>
  <si>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</si>
  <si>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</si>
  <si>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</si>
  <si>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</si>
  <si>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</si>
  <si>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</si>
  <si>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</si>
  <si>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</si>
  <si>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</si>
  <si>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</si>
  <si>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</si>
  <si>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</si>
  <si>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</si>
  <si>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</si>
  <si>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</si>
  <si>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</si>
  <si>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</si>
  <si>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</si>
  <si>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</si>
  <si>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</si>
  <si>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</si>
  <si>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</si>
  <si>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</si>
  <si>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</si>
  <si>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</si>
  <si>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</si>
  <si>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</si>
  <si>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</si>
  <si>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</si>
  <si>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</si>
  <si>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</si>
  <si>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</si>
  <si>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</si>
  <si>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</si>
  <si>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</si>
  <si>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</si>
  <si>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</si>
  <si>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</si>
  <si>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</si>
  <si>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</si>
  <si>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</si>
  <si>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</si>
  <si>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</si>
  <si>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</si>
  <si>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</si>
  <si>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</si>
  <si>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</si>
  <si>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</si>
  <si>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</si>
  <si>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</si>
  <si>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</si>
  <si>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</si>
  <si>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</si>
  <si>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</si>
  <si>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</si>
  <si>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</si>
  <si>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</si>
  <si>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</si>
  <si>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</si>
  <si>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</si>
  <si>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</si>
  <si>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</si>
  <si>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</si>
  <si>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</si>
  <si>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</si>
  <si>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</si>
  <si>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</si>
  <si>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</si>
  <si>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</si>
  <si>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</si>
  <si>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</si>
  <si>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</si>
  <si>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</si>
  <si>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</si>
  <si>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</si>
  <si>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</si>
  <si>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</si>
  <si>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</si>
  <si>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</si>
  <si>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</si>
  <si>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</si>
  <si>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</si>
  <si>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</si>
  <si>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</si>
  <si>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</si>
  <si>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</si>
  <si>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</si>
  <si>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</si>
  <si>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</si>
  <si>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</si>
  <si>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</si>
  <si>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</si>
  <si>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</si>
  <si>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</si>
  <si>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</si>
  <si>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</si>
  <si>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</si>
  <si>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</si>
  <si>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</si>
  <si>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</si>
  <si>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</si>
  <si>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</si>
  <si>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</si>
  <si>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</si>
  <si>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</si>
  <si>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</si>
  <si>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</si>
  <si>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</si>
  <si>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</si>
  <si>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</si>
  <si>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</si>
  <si>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</si>
  <si>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</si>
  <si>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</si>
  <si>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</si>
  <si>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</si>
  <si>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</si>
  <si>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</si>
  <si>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</si>
  <si>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</si>
  <si>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</si>
  <si>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</si>
  <si>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</si>
  <si>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</si>
  <si>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</si>
  <si>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</si>
  <si>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</si>
  <si>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</si>
  <si>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</si>
  <si>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</si>
  <si>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</si>
  <si>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</si>
  <si>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</si>
  <si>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</si>
  <si>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</si>
  <si>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</si>
  <si>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</si>
  <si>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</si>
  <si>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</si>
  <si>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</si>
  <si>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</si>
  <si>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</si>
  <si>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</si>
  <si>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</si>
  <si>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</si>
  <si>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</si>
  <si>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</si>
  <si>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</si>
  <si>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</si>
  <si>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</si>
  <si>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</si>
  <si>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</si>
  <si>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</si>
  <si>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</si>
  <si>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</si>
  <si>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</si>
  <si>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</si>
  <si>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</si>
  <si>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</si>
  <si>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</si>
  <si>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</si>
  <si>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</si>
  <si>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</si>
  <si>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</si>
  <si>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</si>
  <si>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</si>
  <si>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</si>
  <si>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</si>
  <si>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</si>
  <si>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</si>
  <si>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</si>
  <si>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</si>
  <si>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</si>
  <si>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</si>
  <si>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</si>
  <si>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</si>
  <si>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</si>
  <si>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</si>
  <si>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</si>
  <si>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</si>
  <si>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</si>
  <si>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</si>
  <si>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</si>
  <si>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</si>
  <si>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</si>
  <si>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</si>
  <si>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</si>
  <si>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</si>
  <si>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</si>
  <si>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</si>
  <si>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</si>
  <si>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</si>
  <si>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</si>
  <si>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</si>
  <si>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</si>
  <si>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</si>
  <si>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</si>
  <si>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</si>
  <si>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</si>
  <si>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</si>
  <si>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</si>
  <si>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</si>
  <si>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</si>
  <si>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</si>
  <si>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</si>
  <si>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</si>
  <si>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</si>
  <si>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</si>
  <si>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</si>
  <si>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</si>
  <si>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</si>
  <si>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</si>
  <si>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</si>
  <si>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</si>
  <si>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</si>
  <si>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</si>
  <si>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</si>
  <si>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</si>
  <si>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</si>
  <si>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</si>
  <si>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</si>
  <si>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</si>
  <si>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</si>
  <si>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</si>
  <si>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</si>
  <si>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</si>
  <si>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</si>
  <si>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</si>
  <si>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</si>
  <si>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</si>
  <si>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</si>
  <si>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</si>
  <si>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</si>
  <si>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</si>
  <si>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</si>
  <si>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</si>
  <si>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</si>
  <si>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</si>
  <si>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</si>
  <si>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</si>
  <si>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</si>
  <si>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</si>
  <si>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</si>
  <si>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</si>
  <si>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</si>
  <si>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</si>
  <si>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</si>
  <si>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</si>
  <si>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</si>
  <si>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</si>
  <si>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</si>
  <si>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</si>
  <si>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</si>
  <si>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</si>
  <si>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</si>
  <si>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</si>
  <si>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</si>
  <si>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</si>
  <si>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</si>
  <si>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</si>
  <si>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</si>
  <si>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</si>
  <si>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</si>
  <si>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</si>
  <si>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</si>
  <si>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</si>
  <si>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</si>
  <si>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</si>
  <si>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</si>
  <si>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</si>
  <si>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</si>
  <si>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</si>
  <si>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</si>
  <si>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</si>
  <si>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</si>
  <si>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</si>
  <si>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</si>
  <si>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</si>
  <si>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</si>
  <si>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</si>
  <si>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</si>
  <si>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</si>
  <si>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</si>
  <si>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</si>
  <si>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</si>
  <si>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</si>
  <si>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</si>
  <si>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</si>
  <si>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</si>
  <si>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</si>
  <si>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</si>
  <si>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</si>
  <si>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</si>
  <si>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</si>
  <si>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</si>
  <si>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</si>
  <si>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</si>
  <si>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</si>
  <si>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</si>
  <si>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</si>
  <si>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</si>
  <si>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</si>
  <si>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</si>
  <si>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</si>
  <si>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</si>
  <si>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</si>
  <si>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</si>
  <si>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</si>
  <si>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</si>
  <si>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</si>
  <si>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</si>
  <si>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</si>
  <si>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</si>
  <si>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</si>
  <si>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</si>
  <si>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</si>
  <si>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</si>
  <si>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</si>
  <si>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</si>
  <si>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</si>
  <si>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</si>
  <si>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</si>
  <si>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</si>
  <si>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</si>
  <si>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</si>
  <si>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</si>
  <si>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</si>
  <si>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</si>
  <si>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</si>
  <si>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</si>
  <si>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</si>
  <si>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</si>
  <si>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</si>
  <si>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</si>
  <si>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</si>
  <si>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</si>
  <si>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</si>
  <si>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</si>
  <si>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</si>
  <si>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</si>
  <si>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</si>
  <si>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</si>
  <si>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</si>
  <si>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</si>
  <si>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</si>
  <si>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</si>
  <si>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</si>
  <si>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</si>
  <si>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</si>
  <si>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</si>
  <si>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</si>
  <si>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</si>
  <si>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</si>
  <si>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</si>
  <si>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</si>
  <si>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</si>
  <si>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</si>
  <si>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</si>
  <si>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</si>
  <si>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</si>
  <si>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</si>
  <si>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</si>
  <si>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</si>
  <si>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</si>
  <si>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</si>
  <si>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</si>
  <si>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</si>
  <si>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</si>
  <si>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</si>
  <si>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</si>
  <si>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</si>
  <si>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</si>
  <si>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</si>
  <si>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</si>
  <si>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</si>
  <si>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</si>
  <si>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</si>
  <si>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</si>
  <si>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</si>
  <si>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</si>
  <si>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</si>
  <si>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</si>
  <si>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</si>
  <si>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</si>
  <si>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</si>
  <si>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</si>
  <si>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</si>
  <si>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</si>
  <si>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</si>
  <si>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</si>
  <si>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</si>
  <si>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</si>
  <si>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</si>
  <si>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</si>
  <si>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</si>
  <si>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</si>
  <si>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</si>
  <si>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</si>
  <si>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</si>
  <si>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</si>
  <si>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</si>
  <si>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</si>
  <si>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</si>
  <si>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</si>
  <si>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</si>
  <si>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</si>
  <si>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</si>
  <si>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</si>
  <si>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</si>
  <si>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</si>
  <si>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</si>
  <si>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</si>
  <si>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</si>
  <si>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</si>
  <si>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</si>
  <si>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</si>
  <si>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</si>
  <si>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</si>
  <si>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</si>
  <si>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</si>
  <si>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</si>
  <si>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</si>
  <si>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</si>
  <si>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</si>
  <si>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</si>
  <si>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</si>
  <si>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</si>
  <si>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</si>
  <si>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</si>
  <si>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</si>
  <si>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</si>
  <si>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</si>
  <si>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</si>
  <si>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</si>
  <si>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</si>
  <si>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</si>
  <si>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</si>
  <si>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</si>
  <si>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</si>
  <si>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</si>
  <si>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</si>
  <si>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</si>
  <si>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</si>
  <si>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</si>
  <si>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</si>
  <si>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</si>
  <si>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</si>
  <si>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</si>
  <si>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</si>
  <si>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</si>
  <si>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</si>
  <si>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</si>
  <si>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</si>
  <si>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</si>
  <si>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</si>
  <si>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</si>
  <si>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</si>
  <si>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</si>
  <si>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</si>
  <si>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</si>
  <si>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</si>
  <si>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</si>
  <si>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</si>
  <si>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</si>
  <si>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</si>
  <si>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</si>
  <si>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</si>
  <si>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</si>
  <si>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</si>
  <si>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</si>
  <si>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</si>
  <si>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</si>
  <si>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</si>
  <si>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</si>
  <si>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</si>
  <si>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</si>
  <si>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</si>
  <si>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</si>
  <si>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</si>
  <si>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</si>
  <si>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</si>
  <si>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</si>
  <si>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</si>
  <si>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</si>
  <si>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</si>
  <si>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</si>
  <si>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</si>
  <si>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</si>
  <si>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</si>
  <si>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</si>
  <si>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</si>
  <si>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</si>
  <si>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</si>
  <si>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</si>
  <si>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</si>
  <si>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</si>
  <si>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</si>
  <si>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</si>
  <si>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</si>
  <si>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</si>
  <si>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</si>
  <si>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</si>
  <si>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</si>
  <si>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</si>
  <si>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</si>
  <si>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</si>
  <si>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</si>
  <si>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</si>
  <si>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</si>
  <si>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</si>
  <si>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</si>
  <si>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</si>
  <si>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</si>
  <si>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</si>
  <si>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</si>
  <si>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</si>
  <si>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</si>
  <si>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</si>
  <si>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</si>
  <si>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</si>
  <si>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</si>
  <si>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</si>
  <si>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</si>
  <si>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</si>
  <si>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</si>
  <si>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</si>
  <si>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</si>
  <si>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</si>
  <si>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</si>
  <si>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</si>
  <si>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</si>
  <si>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</si>
  <si>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</si>
  <si>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</si>
  <si>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</si>
  <si>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</si>
  <si>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</si>
  <si>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</si>
  <si>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</si>
  <si>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</si>
  <si>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</si>
  <si>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</si>
  <si>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</si>
  <si>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</si>
  <si>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</si>
  <si>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</si>
  <si>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</si>
  <si>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</si>
  <si>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</si>
  <si>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</si>
  <si>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</si>
  <si>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</si>
  <si>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</si>
  <si>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</si>
  <si>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</si>
  <si>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</si>
  <si>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</si>
  <si>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</si>
  <si>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</si>
  <si>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</si>
  <si>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</si>
  <si>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</si>
  <si>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</si>
  <si>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</si>
  <si>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</si>
  <si>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</si>
  <si>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</si>
  <si>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</si>
  <si>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</si>
  <si>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</si>
  <si>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</si>
  <si>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</si>
  <si>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</si>
  <si>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</si>
  <si>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</si>
  <si>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</si>
  <si>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</si>
  <si>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</si>
  <si>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</si>
  <si>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</si>
  <si>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</si>
  <si>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</si>
  <si>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</si>
  <si>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</si>
  <si>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</si>
  <si>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</si>
  <si>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</si>
  <si>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</si>
  <si>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</si>
  <si>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</si>
  <si>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</si>
  <si>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</si>
  <si>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</si>
  <si>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</si>
  <si>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</si>
  <si>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</si>
  <si>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</si>
  <si>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</si>
  <si>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</si>
  <si>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</si>
  <si>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</si>
  <si>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</si>
  <si>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</si>
  <si>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</si>
  <si>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</si>
  <si>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</si>
  <si>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</si>
  <si>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</si>
  <si>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</si>
  <si>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</si>
  <si>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</si>
  <si>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</si>
  <si>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</si>
  <si>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</si>
  <si>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</si>
  <si>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</si>
  <si>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</si>
  <si>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</si>
  <si>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</si>
  <si>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</si>
  <si>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</si>
  <si>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</si>
  <si>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</si>
  <si>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</si>
  <si>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</si>
  <si>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</si>
  <si>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</si>
  <si>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</si>
  <si>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</si>
  <si>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</si>
  <si>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</si>
  <si>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</si>
  <si>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</si>
  <si>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</si>
  <si>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</si>
  <si>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</si>
  <si>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</si>
  <si>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</si>
  <si>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</si>
  <si>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</si>
  <si>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</si>
  <si>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</si>
  <si>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</si>
  <si>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</si>
  <si>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</si>
  <si>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</si>
  <si>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</si>
  <si>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</si>
  <si>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</si>
  <si>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</si>
  <si>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</si>
  <si>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</si>
  <si>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</si>
  <si>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</si>
  <si>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</si>
  <si>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</si>
  <si>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</si>
  <si>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</si>
  <si>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</si>
  <si>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</si>
  <si>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</si>
  <si>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</si>
  <si>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</si>
  <si>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</si>
  <si>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</si>
  <si>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</si>
  <si>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</si>
  <si>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</si>
  <si>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</si>
  <si>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</si>
  <si>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</si>
  <si>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</si>
  <si>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</si>
  <si>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</si>
  <si>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</si>
  <si>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</si>
  <si>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</si>
  <si>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</si>
  <si>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</si>
  <si>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</si>
  <si>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</si>
  <si>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</si>
  <si>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</si>
  <si>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</si>
  <si>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</si>
  <si>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</si>
  <si>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</si>
  <si>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</si>
  <si>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</si>
  <si>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</si>
  <si>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</si>
  <si>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</si>
  <si>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</si>
  <si>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</si>
  <si>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</si>
  <si>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</si>
  <si>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</si>
  <si>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</si>
  <si>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</si>
  <si>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</si>
  <si>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</si>
  <si>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</si>
  <si>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</si>
  <si>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</si>
  <si>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</si>
  <si>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</si>
  <si>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</si>
  <si>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</si>
  <si>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</si>
  <si>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</si>
  <si>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</si>
  <si>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</si>
  <si>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</si>
  <si>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</si>
  <si>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</si>
  <si>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</si>
  <si>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</si>
  <si>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</si>
  <si>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</si>
  <si>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</si>
  <si>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</si>
  <si>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</si>
  <si>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</si>
  <si>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</si>
  <si>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</si>
  <si>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</si>
  <si>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</si>
  <si>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</si>
  <si>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</si>
  <si>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</si>
  <si>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</si>
  <si>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</si>
  <si>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</si>
  <si>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</si>
  <si>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</si>
  <si>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</si>
  <si>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</si>
  <si>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</si>
  <si>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</si>
  <si>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</si>
  <si>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</si>
  <si>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</si>
  <si>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</si>
  <si>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</si>
  <si>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</si>
  <si>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</si>
  <si>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</si>
  <si>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</si>
  <si>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</si>
  <si>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</si>
  <si>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</si>
  <si>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</si>
  <si>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</si>
  <si>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</si>
  <si>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</si>
  <si>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</si>
  <si>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</si>
  <si>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</si>
  <si>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</si>
  <si>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</si>
  <si>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</si>
  <si>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</si>
  <si>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</si>
  <si>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</si>
  <si>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</si>
  <si>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</si>
  <si>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</si>
  <si>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</si>
  <si>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</si>
  <si>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</si>
  <si>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</si>
  <si>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</si>
  <si>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</si>
  <si>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</si>
  <si>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</si>
  <si>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</si>
  <si>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</si>
  <si>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</si>
  <si>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</si>
  <si>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</si>
  <si>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</si>
  <si>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</si>
  <si>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</si>
  <si>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</si>
  <si>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</si>
  <si>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</si>
  <si>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</si>
  <si>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</si>
  <si>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</si>
  <si>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</si>
  <si>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</si>
  <si>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</si>
  <si>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</si>
  <si>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</si>
  <si>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</si>
  <si>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</si>
  <si>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</si>
  <si>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</si>
  <si>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</si>
  <si>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</si>
  <si>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</si>
  <si>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</si>
  <si>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</si>
  <si>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</si>
  <si>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</si>
  <si>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</si>
  <si>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</si>
  <si>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</si>
  <si>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</si>
  <si>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</si>
  <si>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</si>
  <si>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</si>
  <si>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</si>
  <si>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</si>
  <si>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</si>
  <si>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</si>
  <si>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</si>
  <si>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</si>
  <si>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</si>
  <si>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</si>
  <si>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</si>
  <si>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</si>
  <si>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</si>
  <si>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</si>
  <si>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</si>
  <si>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</si>
  <si>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</si>
  <si>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</si>
  <si>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</si>
  <si>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</si>
  <si>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</si>
  <si>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</si>
  <si>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</si>
  <si>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</si>
  <si>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</si>
  <si>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</si>
  <si>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</si>
  <si>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</si>
  <si>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</si>
  <si>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</si>
  <si>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</si>
  <si>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</si>
  <si>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</si>
  <si>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</si>
  <si>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</si>
  <si>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</si>
  <si>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</si>
  <si>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</si>
  <si>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</si>
  <si>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</si>
  <si>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</si>
  <si>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</si>
  <si>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</si>
  <si>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</si>
  <si>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</si>
  <si>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</si>
  <si>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</si>
  <si>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</si>
  <si>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</si>
  <si>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</si>
  <si>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</si>
  <si>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</si>
  <si>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</si>
  <si>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</si>
  <si>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</si>
  <si>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</si>
  <si>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</si>
  <si>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</si>
  <si>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</si>
  <si>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</si>
  <si>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</si>
  <si>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</si>
  <si>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</si>
  <si>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</si>
  <si>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</si>
  <si>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</si>
  <si>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</si>
  <si>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</si>
  <si>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</si>
  <si>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</si>
  <si>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</si>
  <si>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</si>
  <si>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</si>
  <si>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</si>
  <si>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</si>
  <si>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</si>
  <si>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</si>
  <si>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</si>
  <si>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</si>
  <si>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</si>
  <si>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</si>
  <si>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</si>
  <si>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</si>
  <si>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</si>
  <si>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</si>
  <si>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</si>
  <si>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</si>
  <si>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</si>
  <si>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</si>
  <si>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</si>
  <si>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</si>
  <si>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</si>
  <si>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</si>
  <si>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</si>
  <si>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</si>
  <si>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</si>
  <si>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</si>
  <si>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</si>
  <si>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</si>
  <si>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</si>
  <si>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</si>
  <si>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</si>
  <si>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</si>
  <si>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</si>
  <si>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</si>
  <si>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</si>
  <si>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</si>
  <si>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</si>
  <si>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</si>
  <si>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</si>
  <si>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</si>
  <si>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</si>
  <si>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</si>
  <si>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</si>
  <si>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</si>
  <si>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</si>
  <si>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</si>
  <si>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</si>
  <si>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</si>
  <si>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</si>
  <si>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</si>
  <si>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</si>
  <si>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</si>
  <si>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</si>
  <si>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</si>
  <si>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</si>
  <si>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</si>
  <si>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</si>
  <si>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</si>
  <si>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</si>
  <si>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</si>
  <si>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</si>
  <si>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</si>
  <si>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</si>
  <si>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</si>
  <si>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</si>
  <si>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</si>
  <si>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</si>
  <si>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</si>
  <si>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</si>
  <si>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</si>
  <si>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</si>
  <si>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</si>
  <si>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</si>
  <si>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</si>
  <si>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</si>
  <si>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</si>
  <si>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</si>
  <si>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</si>
  <si>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</si>
  <si>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</si>
  <si>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</si>
  <si>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</si>
  <si>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</si>
  <si>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</si>
  <si>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</si>
  <si>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</si>
  <si>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</si>
  <si>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</si>
  <si>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</si>
  <si>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</si>
  <si>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</si>
  <si>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</si>
  <si>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</si>
  <si>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</si>
  <si>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</si>
  <si>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</si>
  <si>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</si>
  <si>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</si>
  <si>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</si>
  <si>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</si>
  <si>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</si>
  <si>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</si>
  <si>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</si>
  <si>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</si>
  <si>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</si>
  <si>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</si>
  <si>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</si>
  <si>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</si>
  <si>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</si>
  <si>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</si>
  <si>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</si>
  <si>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</si>
  <si>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</si>
  <si>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</si>
  <si>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</si>
  <si>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</si>
  <si>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</si>
  <si>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</si>
  <si>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</si>
  <si>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</si>
  <si>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</si>
  <si>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</si>
  <si>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</si>
  <si>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</si>
  <si>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</si>
  <si>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</si>
  <si>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</si>
  <si>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</si>
  <si>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</si>
  <si>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</si>
  <si>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</si>
  <si>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</si>
  <si>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</si>
  <si>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</si>
  <si>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</si>
  <si>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</si>
  <si>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</si>
  <si>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</si>
  <si>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</si>
  <si>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</si>
  <si>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</si>
  <si>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</si>
  <si>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</si>
  <si>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</si>
  <si>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</si>
  <si>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</si>
  <si>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</si>
  <si>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</si>
  <si>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</si>
  <si>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</si>
  <si>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</si>
  <si>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</si>
  <si>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</si>
  <si>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</si>
  <si>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</si>
  <si>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</si>
  <si>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</si>
  <si>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</si>
  <si>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</si>
  <si>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</si>
  <si>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</si>
  <si>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</si>
  <si>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</si>
  <si>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</si>
  <si>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</si>
  <si>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</si>
  <si>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</si>
  <si>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</si>
  <si>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</si>
  <si>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</si>
  <si>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</si>
  <si>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</si>
  <si>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</si>
  <si>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</si>
  <si>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</si>
  <si>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</si>
  <si>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</si>
  <si>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</si>
  <si>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</si>
  <si>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</si>
  <si>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</si>
  <si>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</si>
  <si>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</si>
  <si>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</si>
  <si>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</si>
  <si>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</si>
  <si>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</si>
  <si>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</si>
  <si>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</si>
  <si>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</si>
  <si>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</si>
  <si>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</si>
  <si>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</si>
  <si>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</si>
  <si>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</si>
  <si>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</si>
  <si>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</si>
  <si>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</si>
  <si>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</si>
  <si>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</si>
  <si>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</si>
  <si>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</si>
  <si>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</si>
  <si>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</si>
  <si>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</si>
  <si>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</si>
  <si>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</si>
  <si>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</si>
  <si>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</si>
  <si>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</si>
  <si>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</si>
  <si>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</si>
  <si>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</si>
  <si>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</si>
  <si>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</si>
  <si>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</si>
  <si>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</si>
  <si>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</si>
  <si>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</si>
  <si>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</si>
  <si>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</si>
  <si>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</si>
  <si>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</si>
  <si>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</si>
  <si>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</si>
  <si>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</si>
  <si>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</si>
  <si>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</si>
  <si>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</si>
  <si>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</si>
  <si>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</si>
  <si>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</si>
  <si>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</si>
  <si>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</si>
  <si>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</si>
  <si>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</si>
  <si>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</si>
  <si>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</si>
  <si>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</si>
  <si>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</si>
  <si>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</si>
  <si>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</si>
  <si>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</si>
  <si>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</si>
  <si>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</si>
  <si>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</si>
  <si>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</si>
  <si>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</si>
  <si>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</si>
  <si>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</si>
  <si>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</si>
  <si>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</si>
  <si>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</si>
  <si>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</si>
  <si>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</si>
  <si>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</si>
  <si>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</si>
  <si>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</si>
  <si>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</si>
  <si>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</si>
  <si>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</si>
  <si>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</si>
  <si>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</si>
  <si>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</si>
  <si>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</si>
  <si>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</si>
  <si>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</si>
  <si>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</si>
  <si>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</si>
  <si>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</si>
  <si>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</si>
  <si>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</si>
  <si>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</si>
  <si>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</si>
  <si>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</si>
  <si>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</si>
  <si>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</si>
  <si>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</si>
  <si>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</si>
  <si>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</si>
  <si>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</si>
  <si>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</si>
  <si>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</si>
  <si>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</si>
  <si>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</si>
  <si>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</si>
  <si>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</si>
  <si>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</si>
  <si>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</si>
  <si>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</si>
  <si>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</si>
  <si>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</si>
  <si>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</si>
  <si>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</si>
  <si>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</si>
  <si>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</si>
  <si>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</si>
  <si>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</si>
  <si>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</si>
  <si>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</si>
  <si>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</si>
  <si>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</si>
  <si>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</si>
  <si>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</si>
  <si>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</si>
  <si>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</si>
  <si>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</si>
  <si>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</si>
  <si>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</si>
  <si>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</si>
  <si>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</si>
  <si>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</si>
  <si>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</si>
  <si>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</si>
  <si>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</si>
  <si>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</si>
  <si>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</si>
  <si>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</si>
  <si>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</si>
  <si>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</si>
  <si>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</si>
  <si>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</si>
  <si>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</si>
  <si>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</si>
  <si>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</si>
  <si>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</si>
  <si>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</si>
  <si>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</si>
  <si>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</si>
  <si>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</si>
  <si>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</si>
  <si>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</si>
  <si>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</si>
  <si>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</si>
  <si>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</si>
  <si>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</si>
  <si>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</si>
  <si>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</si>
  <si>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</si>
  <si>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</si>
  <si>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</si>
  <si>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</si>
  <si>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</si>
  <si>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</si>
  <si>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</si>
  <si>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</si>
  <si>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</si>
  <si>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</si>
  <si>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</si>
  <si>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</si>
  <si>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</si>
  <si>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</si>
  <si>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</si>
  <si>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</si>
  <si>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</si>
  <si>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</si>
  <si>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</si>
  <si>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</si>
  <si>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</si>
  <si>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</si>
  <si>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</si>
  <si>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</si>
  <si>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</si>
  <si>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</si>
  <si>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</si>
  <si>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</si>
  <si>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</si>
  <si>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</si>
  <si>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</si>
  <si>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</si>
  <si>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</si>
  <si>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</si>
  <si>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</si>
  <si>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</si>
  <si>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</si>
  <si>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</si>
  <si>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</si>
  <si>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</si>
  <si>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</si>
  <si>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</si>
  <si>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</si>
  <si>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</si>
  <si>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</si>
  <si>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</si>
  <si>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</si>
  <si>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</si>
  <si>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</si>
  <si>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</si>
  <si>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</si>
  <si>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</si>
  <si>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</si>
  <si>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</si>
  <si>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</si>
  <si>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</si>
  <si>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</si>
  <si>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</si>
  <si>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</si>
  <si>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</si>
  <si>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</si>
  <si>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</si>
  <si>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</si>
  <si>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</si>
  <si>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</si>
  <si>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</si>
  <si>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</si>
  <si>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</si>
  <si>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</si>
  <si>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</si>
  <si>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</si>
  <si>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</si>
  <si>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</si>
  <si>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</si>
  <si>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</si>
  <si>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</si>
  <si>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</si>
  <si>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</si>
  <si>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</si>
  <si>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</si>
  <si>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</si>
  <si>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</si>
  <si>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</si>
  <si>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</si>
  <si>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</si>
  <si>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</si>
  <si>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</si>
  <si>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</si>
  <si>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</si>
  <si>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</si>
  <si>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</si>
  <si>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</si>
  <si>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</si>
  <si>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</si>
  <si>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</si>
  <si>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</si>
  <si>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</si>
  <si>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</si>
  <si>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</si>
  <si>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</si>
  <si>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</si>
  <si>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</si>
  <si>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</si>
  <si>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</si>
  <si>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</si>
  <si>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</si>
  <si>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</si>
  <si>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</si>
  <si>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</si>
  <si>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</si>
  <si>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</si>
  <si>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</si>
  <si>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</si>
  <si>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</si>
  <si>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</si>
  <si>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</si>
  <si>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</si>
  <si>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</si>
  <si>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</si>
  <si>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</si>
  <si>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</si>
  <si>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</si>
  <si>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</si>
  <si>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</si>
  <si>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</si>
  <si>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</si>
  <si>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</si>
  <si>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</si>
  <si>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</si>
  <si>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</si>
  <si>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</si>
  <si>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</si>
  <si>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</si>
  <si>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</si>
  <si>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</si>
  <si>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</si>
  <si>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</si>
  <si>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</si>
  <si>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</si>
  <si>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</si>
  <si>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</si>
  <si>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</si>
  <si>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</si>
  <si>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</si>
  <si>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</si>
  <si>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</si>
  <si>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</si>
  <si>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</si>
  <si>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</si>
  <si>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</si>
  <si>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</si>
  <si>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</si>
  <si>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</si>
  <si>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</si>
  <si>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</si>
  <si>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</si>
  <si>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</si>
  <si>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</si>
  <si>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</si>
  <si>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</si>
  <si>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</si>
  <si>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</si>
  <si>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</si>
  <si>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</si>
  <si>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</si>
  <si>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</si>
  <si>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</si>
  <si>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</si>
  <si>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</si>
  <si>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</si>
  <si>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</si>
  <si>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</si>
  <si>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</si>
  <si>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</si>
  <si>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</si>
  <si>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</si>
  <si>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</si>
  <si>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</si>
  <si>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</si>
  <si>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</si>
  <si>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</si>
  <si>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</si>
  <si>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</si>
  <si>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</si>
  <si>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</si>
  <si>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</si>
  <si>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</si>
  <si>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</si>
  <si>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</si>
  <si>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</si>
  <si>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</si>
  <si>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</si>
  <si>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</si>
  <si>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</si>
  <si>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</si>
  <si>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</si>
  <si>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</si>
  <si>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</si>
  <si>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</si>
  <si>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</si>
  <si>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</si>
  <si>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</si>
  <si>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</si>
  <si>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</si>
  <si>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</si>
  <si>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</si>
  <si>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</si>
  <si>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</si>
  <si>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</si>
  <si>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</si>
  <si>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</si>
  <si>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</si>
  <si>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</si>
  <si>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</si>
  <si>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</si>
  <si>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</si>
  <si>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</si>
  <si>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</si>
  <si>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</si>
  <si>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</si>
  <si>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</si>
  <si>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</si>
  <si>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</si>
  <si>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</si>
  <si>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</si>
  <si>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</si>
  <si>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</si>
  <si>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</si>
  <si>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</si>
  <si>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</si>
  <si>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</si>
  <si>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</si>
  <si>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</si>
  <si>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</si>
  <si>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</si>
  <si>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</si>
  <si>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</si>
  <si>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</si>
  <si>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</si>
  <si>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</si>
  <si>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</si>
  <si>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</si>
  <si>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</si>
  <si>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</si>
  <si>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</si>
  <si>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</si>
  <si>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</si>
  <si>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</si>
  <si>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</si>
  <si>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</si>
  <si>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</si>
  <si>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</si>
  <si>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</si>
  <si>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</si>
  <si>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</si>
  <si>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</si>
  <si>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</si>
  <si>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</si>
  <si>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</si>
  <si>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</si>
  <si>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</si>
  <si>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</si>
  <si>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</si>
  <si>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</si>
  <si>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</si>
  <si>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</si>
  <si>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</si>
  <si>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</si>
  <si>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</si>
  <si>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</si>
  <si>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</si>
  <si>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</si>
  <si>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</si>
  <si>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</si>
  <si>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</si>
  <si>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</si>
  <si>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</si>
  <si>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</si>
  <si>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</si>
  <si>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</si>
  <si>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</si>
  <si>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</si>
  <si>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</si>
  <si>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</si>
  <si>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</si>
  <si>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</si>
  <si>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</si>
  <si>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</si>
  <si>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</si>
  <si>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</si>
  <si>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</si>
  <si>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</si>
  <si>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</si>
  <si>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</si>
  <si>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</si>
  <si>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</si>
  <si>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</si>
  <si>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</si>
  <si>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</si>
  <si>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</si>
  <si>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</si>
  <si>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</si>
  <si>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</si>
  <si>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</si>
  <si>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</si>
  <si>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</si>
  <si>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</si>
  <si>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</si>
  <si>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</si>
  <si>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</si>
  <si>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</si>
  <si>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</si>
  <si>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</si>
  <si>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</si>
  <si>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</si>
  <si>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</si>
  <si>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</si>
  <si>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</si>
  <si>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</si>
  <si>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</si>
  <si>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</si>
  <si>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</si>
  <si>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</si>
  <si>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</si>
  <si>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</si>
  <si>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</si>
  <si>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</si>
  <si>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</si>
  <si>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</si>
  <si>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</si>
  <si>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</si>
  <si>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</si>
  <si>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</si>
  <si>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</si>
  <si>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</si>
  <si>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</si>
  <si>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</si>
  <si>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</si>
  <si>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</si>
  <si>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</si>
  <si>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</si>
  <si>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</si>
  <si>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</si>
  <si>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</si>
  <si>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</si>
  <si>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</si>
  <si>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</si>
  <si>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</si>
  <si>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</si>
  <si>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Johnson</t>
  </si>
  <si>
    <t>95 Tunnel Hill Road</t>
  </si>
  <si>
    <t>Tunnel Hill</t>
  </si>
  <si>
    <t>Cindy A. Bobell, CPA</t>
  </si>
  <si>
    <t>10653 Khoury League Road</t>
  </si>
  <si>
    <t>Marion</t>
  </si>
  <si>
    <t>IL</t>
  </si>
  <si>
    <t>618-997-9711</t>
  </si>
  <si>
    <t>618-997-8014</t>
  </si>
  <si>
    <t>065-022629</t>
  </si>
  <si>
    <t>cabcpa@frontier.com</t>
  </si>
  <si>
    <t>Joe Nighswander</t>
  </si>
  <si>
    <t>618-658-9066</t>
  </si>
  <si>
    <t>618-658-5034</t>
  </si>
  <si>
    <t>2016 G.O. Refunding Bonds</t>
  </si>
  <si>
    <t>None</t>
  </si>
  <si>
    <t>Goreville Unit 1: Cypress Grade School #64</t>
  </si>
  <si>
    <t>JAMP Special Education Cooperative</t>
  </si>
  <si>
    <t>Page 11 Line 106 Acct #1993 Column 10 - Reimbursement for Shared Personnel</t>
  </si>
  <si>
    <t>Page 11 Line 107 Acct #1999 Column 10 - Erate; Column 20 - School Facilities Occupational Tax</t>
  </si>
  <si>
    <t>Page 12 Line 168 Acct #3999 Column 10 - State Library Grant</t>
  </si>
  <si>
    <t>Page 18 Line 171 Acct #5400 Column 10 - Bond Admin Fee</t>
  </si>
  <si>
    <t>Page 14 Line 265 Acct #4999 Column 10 - REAP; Column 20 - School Maintenance Grant</t>
  </si>
  <si>
    <t>Page 13 Line 203 Acct #4399 Column 10 - School Improvement and Accountability</t>
  </si>
  <si>
    <t>Page 25 Line 22 - Facility Expense</t>
  </si>
  <si>
    <t>Budget to actual comparisons should be prepared and analyzed during the year and transfers and amendments should be made as necessary.</t>
  </si>
  <si>
    <t>The District will make transfers and amendments to the budget as necessary.</t>
  </si>
  <si>
    <t>Due to the size of the organization, there is a lack of segregation of duties.</t>
  </si>
  <si>
    <t>The requirement to have two signatures on the checks would be a good internal control and would help to create a segregation of duties.</t>
  </si>
  <si>
    <t>The District will make every effort within its means to segregate duties and strengthen internal controls.</t>
  </si>
  <si>
    <t>The District expenditures exceeded the budgeted expenditures in a couple funds.</t>
  </si>
  <si>
    <t>New Simpson Hill SD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</si>
</sst>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54"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C7A864A1-EDF7-4E6C-B19A-1B1EF0507F6D}"/>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C68D55BA-25C8-4581-8F8C-AAD599560F8B}"/>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5" t="s">
        <v>405</v>
      </c>
      <c r="J1" s="1986"/>
      <c r="K1" s="1986"/>
      <c r="L1" s="1986"/>
      <c r="M1" s="1986"/>
      <c r="N1" s="1986"/>
      <c r="O1" s="1986"/>
      <c r="P1" s="1986"/>
      <c r="Q1" s="1986"/>
      <c r="R1" s="1986"/>
      <c r="S1" s="1986"/>
    </row>
    <row r="2" spans="1:28" ht="12" customHeight="1" x14ac:dyDescent="0.2">
      <c r="A2" s="47" t="s">
        <v>1991</v>
      </c>
      <c r="D2" s="48"/>
      <c r="I2" s="1987" t="s">
        <v>979</v>
      </c>
      <c r="J2" s="1986"/>
      <c r="K2" s="1986"/>
      <c r="L2" s="1986"/>
      <c r="M2" s="1986"/>
      <c r="N2" s="1986"/>
      <c r="O2" s="1986"/>
      <c r="P2" s="1986"/>
      <c r="Q2" s="1986"/>
      <c r="R2" s="1986"/>
      <c r="S2" s="1986"/>
    </row>
    <row r="3" spans="1:28" ht="12" customHeight="1" x14ac:dyDescent="0.2">
      <c r="A3" s="155" t="s">
        <v>1943</v>
      </c>
      <c r="B3" s="156"/>
      <c r="C3" s="156"/>
      <c r="D3" s="157"/>
      <c r="I3" s="1987" t="s">
        <v>52</v>
      </c>
      <c r="J3" s="1986"/>
      <c r="K3" s="1986"/>
      <c r="L3" s="1986"/>
      <c r="M3" s="1986"/>
      <c r="N3" s="1986"/>
      <c r="O3" s="1986"/>
      <c r="P3" s="1986"/>
      <c r="Q3" s="1986"/>
      <c r="R3" s="1986"/>
      <c r="S3" s="1986"/>
    </row>
    <row r="4" spans="1:28" ht="12" customHeight="1" x14ac:dyDescent="0.2">
      <c r="A4" s="37"/>
      <c r="I4" s="1987" t="s">
        <v>524</v>
      </c>
      <c r="J4" s="1986"/>
      <c r="K4" s="1986"/>
      <c r="L4" s="1986"/>
      <c r="M4" s="1986"/>
      <c r="N4" s="1986"/>
      <c r="O4" s="1986"/>
      <c r="P4" s="1986"/>
      <c r="Q4" s="1986"/>
      <c r="R4" s="1986"/>
      <c r="S4" s="1986"/>
    </row>
    <row r="5" spans="1:28" ht="14.1" customHeight="1" x14ac:dyDescent="0.2">
      <c r="B5" s="104" t="s">
        <v>2065</v>
      </c>
      <c r="C5" s="26" t="s">
        <v>910</v>
      </c>
      <c r="D5" s="84"/>
      <c r="E5" s="84"/>
      <c r="H5" s="38"/>
      <c r="I5" s="1995" t="s">
        <v>680</v>
      </c>
      <c r="J5" s="1994"/>
      <c r="K5" s="1994"/>
      <c r="L5" s="1994"/>
      <c r="M5" s="1994"/>
      <c r="N5" s="1994"/>
      <c r="O5" s="1994"/>
      <c r="P5" s="1994"/>
      <c r="Q5" s="1994"/>
      <c r="R5" s="1994"/>
      <c r="S5" s="1994"/>
    </row>
    <row r="6" spans="1:28" ht="14.1" customHeight="1" x14ac:dyDescent="0.2">
      <c r="B6" s="104"/>
      <c r="C6" s="26" t="s">
        <v>911</v>
      </c>
      <c r="D6" s="84"/>
      <c r="E6" s="84"/>
      <c r="I6" s="1993" t="s">
        <v>883</v>
      </c>
      <c r="J6" s="1994"/>
      <c r="K6" s="1994"/>
      <c r="L6" s="1994"/>
      <c r="M6" s="1994"/>
      <c r="N6" s="1994"/>
      <c r="O6" s="1994"/>
      <c r="P6" s="1994"/>
      <c r="Q6" s="1994"/>
      <c r="R6" s="1994"/>
      <c r="S6" s="1994"/>
    </row>
    <row r="7" spans="1:28" ht="12.2" customHeight="1" x14ac:dyDescent="0.2">
      <c r="I7" s="1988">
        <v>43646</v>
      </c>
      <c r="J7" s="1989"/>
      <c r="K7" s="1989"/>
      <c r="L7" s="1989"/>
      <c r="M7" s="1989"/>
      <c r="N7" s="1989"/>
      <c r="O7" s="1989"/>
      <c r="P7" s="1989"/>
      <c r="Q7" s="1989"/>
      <c r="R7" s="1989"/>
      <c r="S7" s="19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674</v>
      </c>
      <c r="J9" s="1991"/>
      <c r="K9" s="1991"/>
      <c r="L9" s="1991"/>
      <c r="M9" s="1991"/>
      <c r="N9" s="1991"/>
      <c r="O9" s="1991"/>
      <c r="P9" s="1991"/>
      <c r="Q9" s="1991"/>
      <c r="R9" s="1991"/>
      <c r="S9" s="1992"/>
      <c r="T9" s="2006" t="s">
        <v>533</v>
      </c>
      <c r="U9" s="2007"/>
      <c r="V9" s="2007"/>
      <c r="W9" s="2007"/>
      <c r="X9" s="2007"/>
      <c r="Y9" s="2007"/>
      <c r="Z9" s="2007"/>
      <c r="AA9" s="2008"/>
    </row>
    <row r="10" spans="1:28" ht="13.5" customHeight="1" x14ac:dyDescent="0.2">
      <c r="A10" s="2013" t="s">
        <v>675</v>
      </c>
      <c r="B10" s="2014"/>
      <c r="C10" s="2014"/>
      <c r="D10" s="2014"/>
      <c r="E10" s="2014"/>
      <c r="F10" s="2014"/>
      <c r="G10" s="2014"/>
      <c r="H10" s="2015"/>
      <c r="I10" s="29"/>
      <c r="J10" s="30"/>
      <c r="K10" s="28"/>
      <c r="R10" s="30"/>
      <c r="S10" s="30"/>
      <c r="T10" s="2009"/>
      <c r="U10" s="1994"/>
      <c r="V10" s="1994"/>
      <c r="W10" s="1994"/>
      <c r="X10" s="1994"/>
      <c r="Y10" s="1994"/>
      <c r="Z10" s="1994"/>
      <c r="AA10" s="2000"/>
    </row>
    <row r="11" spans="1:28" ht="14.25" customHeight="1" x14ac:dyDescent="0.2">
      <c r="A11" s="2016" t="s">
        <v>955</v>
      </c>
      <c r="B11" s="2017"/>
      <c r="C11" s="2017"/>
      <c r="D11" s="2017"/>
      <c r="E11" s="2017"/>
      <c r="F11" s="2017"/>
      <c r="G11" s="2017"/>
      <c r="H11" s="2018"/>
      <c r="I11" s="27"/>
      <c r="J11" s="74"/>
      <c r="K11" s="27"/>
      <c r="O11" s="148" t="s">
        <v>2065</v>
      </c>
      <c r="P11" s="100" t="s">
        <v>201</v>
      </c>
      <c r="Q11" s="30"/>
      <c r="R11" s="28"/>
      <c r="S11" s="27"/>
      <c r="T11" s="2010"/>
      <c r="U11" s="2011"/>
      <c r="V11" s="2011"/>
      <c r="W11" s="2011"/>
      <c r="X11" s="2011"/>
      <c r="Y11" s="2011"/>
      <c r="Z11" s="2011"/>
      <c r="AA11" s="201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0">
        <v>21044032003</v>
      </c>
      <c r="B13" s="2021"/>
      <c r="C13" s="2021"/>
      <c r="D13" s="2021"/>
      <c r="E13" s="2021"/>
      <c r="F13" s="2021"/>
      <c r="G13" s="2021"/>
      <c r="H13" s="2022"/>
      <c r="I13" s="31"/>
      <c r="J13" s="30"/>
      <c r="K13" s="28"/>
      <c r="L13" s="30"/>
      <c r="M13" s="30"/>
      <c r="N13" s="30"/>
      <c r="O13" s="30"/>
      <c r="P13" s="30"/>
      <c r="Q13" s="30"/>
      <c r="R13" s="30"/>
      <c r="S13" s="30"/>
      <c r="T13" s="2025" t="s">
        <v>2069</v>
      </c>
      <c r="U13" s="2026"/>
      <c r="V13" s="2026"/>
      <c r="W13" s="2026"/>
      <c r="X13" s="2026"/>
      <c r="Y13" s="2027"/>
      <c r="Z13" s="2027"/>
      <c r="AA13" s="202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9" t="s">
        <v>2066</v>
      </c>
      <c r="B15" s="2023"/>
      <c r="C15" s="2023"/>
      <c r="D15" s="2023"/>
      <c r="E15" s="2023"/>
      <c r="F15" s="2023"/>
      <c r="G15" s="2023"/>
      <c r="H15" s="2024"/>
      <c r="T15" s="2029" t="s">
        <v>2069</v>
      </c>
      <c r="U15" s="1973"/>
      <c r="V15" s="1973"/>
      <c r="W15" s="1973"/>
      <c r="X15" s="1973"/>
      <c r="Y15" s="2030"/>
      <c r="Z15" s="2030"/>
      <c r="AA15" s="203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9" t="s">
        <v>2097</v>
      </c>
      <c r="B17" s="1980"/>
      <c r="C17" s="1980"/>
      <c r="D17" s="1980"/>
      <c r="E17" s="1980"/>
      <c r="F17" s="1980"/>
      <c r="G17" s="1980"/>
      <c r="H17" s="2005"/>
      <c r="T17" s="2036" t="s">
        <v>2070</v>
      </c>
      <c r="U17" s="2037"/>
      <c r="V17" s="2037"/>
      <c r="W17" s="2037"/>
      <c r="X17" s="2037"/>
      <c r="Y17" s="2037"/>
      <c r="Z17" s="2037"/>
      <c r="AA17" s="2038"/>
    </row>
    <row r="18" spans="1:27" ht="13.5" customHeight="1" x14ac:dyDescent="0.2">
      <c r="A18" s="85" t="s">
        <v>530</v>
      </c>
      <c r="B18" s="76"/>
      <c r="C18" s="72"/>
      <c r="D18" s="76"/>
      <c r="E18" s="76"/>
      <c r="F18" s="76"/>
      <c r="G18" s="76"/>
      <c r="H18" s="56"/>
      <c r="I18" s="2004" t="s">
        <v>676</v>
      </c>
      <c r="J18" s="1955"/>
      <c r="K18" s="1955"/>
      <c r="L18" s="1955"/>
      <c r="M18" s="1955"/>
      <c r="N18" s="1955"/>
      <c r="O18" s="1955"/>
      <c r="P18" s="1955"/>
      <c r="Q18" s="1955"/>
      <c r="R18" s="1955"/>
      <c r="S18" s="1956"/>
      <c r="T18" s="85" t="s">
        <v>711</v>
      </c>
      <c r="U18" s="51"/>
      <c r="V18" s="72"/>
      <c r="W18" s="50"/>
      <c r="X18" s="85" t="s">
        <v>266</v>
      </c>
      <c r="Y18" s="81"/>
      <c r="Z18" s="159" t="s">
        <v>677</v>
      </c>
      <c r="AA18" s="46"/>
    </row>
    <row r="19" spans="1:27" ht="13.5" customHeight="1" x14ac:dyDescent="0.2">
      <c r="A19" s="2019" t="s">
        <v>2067</v>
      </c>
      <c r="B19" s="1965"/>
      <c r="C19" s="1965"/>
      <c r="D19" s="1965"/>
      <c r="E19" s="1965"/>
      <c r="F19" s="1965"/>
      <c r="G19" s="1965"/>
      <c r="H19" s="1945"/>
      <c r="I19" s="30"/>
      <c r="J19" s="99"/>
      <c r="K19" s="40"/>
      <c r="L19" s="38"/>
      <c r="M19" s="112" t="s">
        <v>315</v>
      </c>
      <c r="P19" s="27"/>
      <c r="Q19" s="27"/>
      <c r="R19" s="27"/>
      <c r="S19" s="31"/>
      <c r="T19" s="2019" t="s">
        <v>2071</v>
      </c>
      <c r="U19" s="1944"/>
      <c r="V19" s="1944"/>
      <c r="W19" s="1945"/>
      <c r="X19" s="2034" t="s">
        <v>2072</v>
      </c>
      <c r="Y19" s="2035"/>
      <c r="Z19" s="2032">
        <v>62959</v>
      </c>
      <c r="AA19" s="203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3" t="s">
        <v>2068</v>
      </c>
      <c r="B21" s="1944"/>
      <c r="C21" s="1944"/>
      <c r="D21" s="1944"/>
      <c r="E21" s="1944"/>
      <c r="F21" s="1944"/>
      <c r="G21" s="1944"/>
      <c r="H21" s="1945"/>
      <c r="I21" s="1999" t="s">
        <v>678</v>
      </c>
      <c r="J21" s="1994"/>
      <c r="K21" s="1994"/>
      <c r="L21" s="1994"/>
      <c r="M21" s="1994"/>
      <c r="N21" s="1994"/>
      <c r="O21" s="1994"/>
      <c r="P21" s="1994"/>
      <c r="Q21" s="1994"/>
      <c r="R21" s="1994"/>
      <c r="S21" s="2000"/>
      <c r="T21" s="2043" t="s">
        <v>2073</v>
      </c>
      <c r="U21" s="2044"/>
      <c r="V21" s="2044"/>
      <c r="W21" s="2044"/>
      <c r="X21" s="2049" t="s">
        <v>2074</v>
      </c>
      <c r="Y21" s="2050"/>
      <c r="Z21" s="2050"/>
      <c r="AA21" s="2051"/>
    </row>
    <row r="22" spans="1:27" ht="13.5" customHeight="1" x14ac:dyDescent="0.2">
      <c r="A22" s="87" t="s">
        <v>531</v>
      </c>
      <c r="B22" s="59"/>
      <c r="C22" s="59"/>
      <c r="D22" s="59"/>
      <c r="E22" s="59"/>
      <c r="F22" s="59"/>
      <c r="G22" s="59"/>
      <c r="H22" s="60"/>
      <c r="I22" s="2001" t="s">
        <v>1429</v>
      </c>
      <c r="J22" s="2002"/>
      <c r="K22" s="2002"/>
      <c r="L22" s="2002"/>
      <c r="M22" s="2002"/>
      <c r="N22" s="2002"/>
      <c r="O22" s="2002"/>
      <c r="P22" s="2002"/>
      <c r="Q22" s="2002"/>
      <c r="R22" s="2002"/>
      <c r="S22" s="2003"/>
      <c r="T22" s="85" t="s">
        <v>1516</v>
      </c>
      <c r="U22" s="51"/>
      <c r="V22" s="72"/>
      <c r="W22" s="51"/>
      <c r="X22" s="160" t="s">
        <v>1318</v>
      </c>
      <c r="Z22" s="45"/>
      <c r="AA22" s="46"/>
    </row>
    <row r="23" spans="1:27" ht="13.5" customHeight="1" x14ac:dyDescent="0.2">
      <c r="A23" s="1996"/>
      <c r="B23" s="1997"/>
      <c r="C23" s="1997"/>
      <c r="D23" s="1997"/>
      <c r="E23" s="1997"/>
      <c r="F23" s="1997"/>
      <c r="G23" s="1997"/>
      <c r="H23" s="1998"/>
      <c r="T23" s="1979" t="s">
        <v>2075</v>
      </c>
      <c r="U23" s="2042"/>
      <c r="V23" s="2042"/>
      <c r="W23" s="2042"/>
      <c r="X23" s="2046">
        <v>44469</v>
      </c>
      <c r="Y23" s="2047"/>
      <c r="Z23" s="2047"/>
      <c r="AA23" s="2048"/>
    </row>
    <row r="24" spans="1:27" ht="14.1" customHeight="1" x14ac:dyDescent="0.2">
      <c r="A24" s="88" t="s">
        <v>677</v>
      </c>
      <c r="B24" s="49"/>
      <c r="C24" s="49"/>
      <c r="D24" s="49"/>
      <c r="E24" s="49"/>
      <c r="F24" s="49"/>
      <c r="G24" s="49"/>
      <c r="H24" s="61"/>
      <c r="J24" s="1966">
        <f>IF(B5="x",IF(AUDITCHECK!D29="AFR form Incomplete.","",IF(AUDITCHECK!D29="Deficit reduction plan is required.","School District must complete a deficit reduction plan in the 2019-2020 Budget",)),"")</f>
        <v>0</v>
      </c>
      <c r="K24" s="1966"/>
      <c r="L24" s="1966"/>
      <c r="M24" s="1966"/>
      <c r="N24" s="1966"/>
      <c r="O24" s="1966"/>
      <c r="P24" s="1966"/>
      <c r="Q24" s="1966"/>
      <c r="R24" s="1966"/>
      <c r="S24" s="1967"/>
      <c r="T24" s="105" t="s">
        <v>531</v>
      </c>
      <c r="U24" s="106"/>
      <c r="V24" s="106"/>
      <c r="W24" s="106"/>
      <c r="X24" s="107"/>
      <c r="Y24" s="107"/>
      <c r="Z24" s="107"/>
      <c r="AA24" s="108"/>
    </row>
    <row r="25" spans="1:27" ht="14.1" customHeight="1" x14ac:dyDescent="0.2">
      <c r="A25" s="1943">
        <v>62972</v>
      </c>
      <c r="B25" s="1944"/>
      <c r="C25" s="1944"/>
      <c r="D25" s="1944"/>
      <c r="E25" s="1944"/>
      <c r="F25" s="1944"/>
      <c r="G25" s="1944"/>
      <c r="H25" s="1945"/>
      <c r="I25" s="113"/>
      <c r="J25" s="1968"/>
      <c r="K25" s="1968"/>
      <c r="L25" s="1968"/>
      <c r="M25" s="1968"/>
      <c r="N25" s="1968"/>
      <c r="O25" s="1968"/>
      <c r="P25" s="1968"/>
      <c r="Q25" s="1968"/>
      <c r="R25" s="1968"/>
      <c r="S25" s="1969"/>
      <c r="T25" s="2039" t="s">
        <v>2076</v>
      </c>
      <c r="U25" s="2040"/>
      <c r="V25" s="2040"/>
      <c r="W25" s="2040"/>
      <c r="X25" s="2040"/>
      <c r="Y25" s="2040"/>
      <c r="Z25" s="2040"/>
      <c r="AA25" s="20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4" t="s">
        <v>1511</v>
      </c>
      <c r="J27" s="1955"/>
      <c r="K27" s="1955"/>
      <c r="L27" s="1955"/>
      <c r="M27" s="1955"/>
      <c r="N27" s="1955"/>
      <c r="O27" s="1955"/>
      <c r="P27" s="1955"/>
      <c r="Q27" s="1955"/>
      <c r="R27" s="1955"/>
      <c r="S27" s="195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5"/>
      <c r="Q35" s="1944"/>
      <c r="R35" s="194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9" t="s">
        <v>2077</v>
      </c>
      <c r="B38" s="1980"/>
      <c r="C38" s="1980"/>
      <c r="D38" s="1980"/>
      <c r="E38" s="1980"/>
      <c r="F38" s="1944"/>
      <c r="G38" s="1944"/>
      <c r="H38" s="1945"/>
      <c r="I38" s="1972"/>
      <c r="J38" s="1973"/>
      <c r="K38" s="1973"/>
      <c r="L38" s="1973"/>
      <c r="M38" s="1973"/>
      <c r="N38" s="1973"/>
      <c r="O38" s="1973"/>
      <c r="P38" s="1974"/>
      <c r="Q38" s="1974"/>
      <c r="R38" s="1974"/>
      <c r="S38" s="1975"/>
      <c r="T38" s="2029"/>
      <c r="U38" s="1973"/>
      <c r="V38" s="1973"/>
      <c r="W38" s="1973"/>
      <c r="X38" s="1974"/>
      <c r="Y38" s="1974"/>
      <c r="Z38" s="1974"/>
      <c r="AA38" s="1975"/>
    </row>
    <row r="39" spans="1:27" ht="12" customHeight="1" x14ac:dyDescent="0.2">
      <c r="A39" s="1949" t="s">
        <v>531</v>
      </c>
      <c r="B39" s="1950"/>
      <c r="C39" s="72"/>
      <c r="D39" s="69"/>
      <c r="E39" s="69"/>
      <c r="F39" s="79"/>
      <c r="G39" s="69"/>
      <c r="H39" s="56"/>
      <c r="I39" s="1949" t="s">
        <v>531</v>
      </c>
      <c r="J39" s="1950"/>
      <c r="K39" s="1950"/>
      <c r="L39" s="1950"/>
      <c r="M39" s="1950"/>
      <c r="N39" s="67"/>
      <c r="O39" s="72"/>
      <c r="P39" s="72"/>
      <c r="Q39" s="78"/>
      <c r="R39" s="72"/>
      <c r="S39" s="56"/>
      <c r="T39" s="72" t="s">
        <v>531</v>
      </c>
      <c r="U39" s="51"/>
      <c r="V39" s="72"/>
      <c r="W39" s="50"/>
      <c r="X39" s="78"/>
      <c r="Y39" s="45"/>
      <c r="Z39" s="45"/>
      <c r="AA39" s="46"/>
    </row>
    <row r="40" spans="1:27" ht="13.5" customHeight="1" x14ac:dyDescent="0.2">
      <c r="A40" s="1957"/>
      <c r="B40" s="1958"/>
      <c r="C40" s="1959"/>
      <c r="D40" s="1959"/>
      <c r="E40" s="1959"/>
      <c r="F40" s="1960"/>
      <c r="G40" s="1960"/>
      <c r="H40" s="1961"/>
      <c r="I40" s="1982"/>
      <c r="J40" s="1983"/>
      <c r="K40" s="1983"/>
      <c r="L40" s="1983"/>
      <c r="M40" s="1983"/>
      <c r="N40" s="1983"/>
      <c r="O40" s="1983"/>
      <c r="P40" s="1983"/>
      <c r="Q40" s="1983"/>
      <c r="R40" s="1983"/>
      <c r="S40" s="1984"/>
      <c r="T40" s="1982"/>
      <c r="U40" s="2045"/>
      <c r="V40" s="1983"/>
      <c r="W40" s="1983"/>
      <c r="X40" s="1983"/>
      <c r="Y40" s="1983"/>
      <c r="Z40" s="1983"/>
      <c r="AA40" s="198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1" t="s">
        <v>2078</v>
      </c>
      <c r="B42" s="1963"/>
      <c r="C42" s="1964"/>
      <c r="D42" s="1962" t="s">
        <v>2079</v>
      </c>
      <c r="E42" s="1963"/>
      <c r="F42" s="1963"/>
      <c r="G42" s="1963"/>
      <c r="H42" s="1964"/>
      <c r="I42" s="1946"/>
      <c r="J42" s="1947"/>
      <c r="K42" s="1947"/>
      <c r="L42" s="1947"/>
      <c r="M42" s="1947"/>
      <c r="N42" s="1947"/>
      <c r="O42" s="1948"/>
      <c r="P42" s="1981"/>
      <c r="Q42" s="1947"/>
      <c r="R42" s="1947"/>
      <c r="S42" s="1948"/>
      <c r="T42" s="1946"/>
      <c r="U42" s="1947"/>
      <c r="V42" s="1947"/>
      <c r="W42" s="1948"/>
      <c r="X42" s="1981"/>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6"/>
      <c r="B44" s="1977"/>
      <c r="C44" s="1977"/>
      <c r="D44" s="1977"/>
      <c r="E44" s="1977"/>
      <c r="F44" s="1977"/>
      <c r="G44" s="1977"/>
      <c r="H44" s="1978"/>
      <c r="I44" s="1951"/>
      <c r="J44" s="1952"/>
      <c r="K44" s="1952"/>
      <c r="L44" s="1952"/>
      <c r="M44" s="1952"/>
      <c r="N44" s="1952"/>
      <c r="O44" s="1952"/>
      <c r="P44" s="1952"/>
      <c r="Q44" s="1952"/>
      <c r="R44" s="1952"/>
      <c r="S44" s="1953"/>
      <c r="T44" s="1951"/>
      <c r="U44" s="1970"/>
      <c r="V44" s="1970"/>
      <c r="W44" s="1970"/>
      <c r="X44" s="1970"/>
      <c r="Y44" s="1970"/>
      <c r="Z44" s="1952"/>
      <c r="AA44" s="195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&amp;F&amp;R
B-i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J37" sqref="J3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headerFooter>
    <oddFooter>&amp;R
B-1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0" colorId="8" zoomScale="110" zoomScaleNormal="110" workbookViewId="0">
      <selection activeCell="J37" sqref="J3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2069</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J37" sqref="J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20670159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9.1999999999999998E-3</v>
      </c>
      <c r="E10" s="356" t="s">
        <v>1005</v>
      </c>
      <c r="F10" s="355">
        <v>2.5000000000000001E-3</v>
      </c>
      <c r="G10" s="356" t="s">
        <v>1005</v>
      </c>
      <c r="H10" s="355">
        <v>1.1999999999999999E-3</v>
      </c>
      <c r="I10" s="356" t="s">
        <v>1006</v>
      </c>
      <c r="J10" s="1732">
        <f>ROUND(D10+F10+H10,5)</f>
        <v>1.29E-2</v>
      </c>
      <c r="K10" s="222"/>
      <c r="L10" s="355">
        <v>5.0000000000000001E-4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2145978</v>
      </c>
      <c r="E16" s="356"/>
      <c r="F16" s="1733">
        <f>SUM('Acct Summary 7-8'!C17,'Acct Summary 7-8'!D17,'Acct Summary 7-8'!F17)</f>
        <v>2127186</v>
      </c>
      <c r="G16" s="356"/>
      <c r="H16" s="1733">
        <f>SUM(D16-F16)</f>
        <v>18792</v>
      </c>
      <c r="I16" s="222"/>
      <c r="J16" s="1733">
        <f>SUM('Acct Summary 7-8'!C81,'Acct Summary 7-8'!D81,'Acct Summary 7-8'!F81,'Acct Summary 7-8'!I81)</f>
        <v>860154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586</v>
      </c>
      <c r="D31" s="237" t="s">
        <v>1072</v>
      </c>
      <c r="E31" s="222"/>
      <c r="F31" s="222"/>
      <c r="G31" s="363"/>
      <c r="H31" s="1735">
        <f>IF(B31="X",(J7*0.069),IF(B32="X",(J7*0.138),"Enter x in a.or b."))</f>
        <v>1426240.9710000001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J37" sqref="J3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New Simpson Hill SD 32</v>
      </c>
      <c r="E7" s="391"/>
      <c r="G7" s="252"/>
      <c r="H7" s="387"/>
      <c r="I7" s="387"/>
      <c r="J7" s="387"/>
      <c r="K7" s="387"/>
      <c r="L7" s="329"/>
      <c r="M7" s="329"/>
      <c r="N7" s="329"/>
      <c r="O7" s="329"/>
      <c r="P7" s="329"/>
    </row>
    <row r="8" spans="1:18" ht="12.75" x14ac:dyDescent="0.2">
      <c r="A8" s="329"/>
      <c r="B8" s="329"/>
      <c r="C8" s="389" t="s">
        <v>1125</v>
      </c>
      <c r="D8" s="392">
        <f>COVER!A13</f>
        <v>21044032003</v>
      </c>
      <c r="E8" s="393"/>
      <c r="G8" s="329"/>
      <c r="H8" s="329"/>
      <c r="I8" s="329"/>
      <c r="J8" s="329"/>
      <c r="K8" s="329"/>
      <c r="L8" s="329"/>
      <c r="M8" s="329"/>
      <c r="N8" s="329"/>
      <c r="O8" s="329"/>
      <c r="P8" s="329"/>
    </row>
    <row r="9" spans="1:18" ht="12.75" x14ac:dyDescent="0.2">
      <c r="A9" s="329"/>
      <c r="B9" s="329"/>
      <c r="C9" s="389" t="s">
        <v>713</v>
      </c>
      <c r="D9" s="394" t="str">
        <f>COVER!A15</f>
        <v>Johnson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860154</v>
      </c>
      <c r="I12" s="404"/>
      <c r="J12" s="404"/>
      <c r="K12" s="405">
        <f>TRUNC((H12/H13*100000),5)/100000</f>
        <v>0.40082144359999999</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2145978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2127186</v>
      </c>
      <c r="I17" s="404"/>
      <c r="J17" s="416"/>
      <c r="K17" s="405">
        <f>TRUNC((H17/H18*100000),5)/100000</f>
        <v>0.99124315340000002</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2145978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860154</v>
      </c>
      <c r="I24" s="422"/>
      <c r="J24" s="422"/>
      <c r="K24" s="423">
        <f>TRUNC(((H24/H25*100000)/100000),2)</f>
        <v>145.57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5908.85</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226648.29344000001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160000</v>
      </c>
      <c r="I32" s="420"/>
      <c r="J32" s="420"/>
      <c r="K32" s="423">
        <f>TRUNC(100-((((H32/H33*100))*100)/100),2)</f>
        <v>88.78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1426240.9710000001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J37" sqref="J37"/>
      <selection pane="bottomLeft" activeCell="J37" sqref="J3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159026</v>
      </c>
      <c r="D4" s="466">
        <v>196387</v>
      </c>
      <c r="E4" s="466">
        <v>26489</v>
      </c>
      <c r="F4" s="466">
        <v>255729</v>
      </c>
      <c r="G4" s="466">
        <v>102048</v>
      </c>
      <c r="H4" s="466"/>
      <c r="I4" s="466">
        <v>249012</v>
      </c>
      <c r="J4" s="467">
        <v>40595</v>
      </c>
      <c r="K4" s="466">
        <v>19908</v>
      </c>
      <c r="L4" s="466">
        <v>8437</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159026</v>
      </c>
      <c r="D13" s="1737">
        <f t="shared" ref="D13:L13" si="0">SUM(D4:D12)</f>
        <v>196387</v>
      </c>
      <c r="E13" s="1737">
        <f t="shared" si="0"/>
        <v>26489</v>
      </c>
      <c r="F13" s="1737">
        <f t="shared" si="0"/>
        <v>255729</v>
      </c>
      <c r="G13" s="1737">
        <f t="shared" si="0"/>
        <v>102048</v>
      </c>
      <c r="H13" s="1737">
        <f t="shared" si="0"/>
        <v>0</v>
      </c>
      <c r="I13" s="1737">
        <f t="shared" si="0"/>
        <v>249012</v>
      </c>
      <c r="J13" s="1737">
        <f t="shared" si="0"/>
        <v>40595</v>
      </c>
      <c r="K13" s="1737">
        <f t="shared" si="0"/>
        <v>19908</v>
      </c>
      <c r="L13" s="1737">
        <f t="shared" si="0"/>
        <v>8437</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7000</v>
      </c>
      <c r="N16" s="484"/>
    </row>
    <row r="17" spans="1:14" s="485" customFormat="1" ht="12.75" customHeight="1" x14ac:dyDescent="0.2">
      <c r="A17" s="482" t="s">
        <v>1403</v>
      </c>
      <c r="B17" s="483">
        <v>230</v>
      </c>
      <c r="C17" s="477"/>
      <c r="D17" s="477"/>
      <c r="E17" s="477"/>
      <c r="F17" s="477"/>
      <c r="G17" s="477"/>
      <c r="H17" s="477"/>
      <c r="I17" s="477"/>
      <c r="J17" s="477"/>
      <c r="K17" s="477"/>
      <c r="L17" s="477"/>
      <c r="M17" s="467">
        <v>4196764</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1134562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26489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133511</v>
      </c>
    </row>
    <row r="23" spans="1:14" ht="13.5" customHeight="1" thickBot="1" x14ac:dyDescent="0.25">
      <c r="A23" s="1736" t="s">
        <v>643</v>
      </c>
      <c r="B23" s="1741"/>
      <c r="C23" s="468"/>
      <c r="D23" s="468"/>
      <c r="E23" s="468"/>
      <c r="F23" s="468"/>
      <c r="G23" s="468"/>
      <c r="H23" s="468"/>
      <c r="I23" s="468"/>
      <c r="J23" s="468"/>
      <c r="K23" s="468"/>
      <c r="L23" s="468"/>
      <c r="M23" s="1688">
        <f>SUM(M15:M22)</f>
        <v>5338326</v>
      </c>
      <c r="N23" s="1688">
        <f>SUM(N21:N22)</f>
        <v>160000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8437</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8437</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160000</v>
      </c>
    </row>
    <row r="37" spans="1:14" ht="13.5" thickBot="1" x14ac:dyDescent="0.25">
      <c r="A37" s="1736" t="s">
        <v>653</v>
      </c>
      <c r="B37" s="1741"/>
      <c r="C37" s="477"/>
      <c r="D37" s="477"/>
      <c r="E37" s="477"/>
      <c r="F37" s="477"/>
      <c r="G37" s="477"/>
      <c r="H37" s="477"/>
      <c r="I37" s="477"/>
      <c r="J37" s="477"/>
      <c r="K37" s="477"/>
      <c r="L37" s="480"/>
      <c r="M37" s="468"/>
      <c r="N37" s="1688">
        <f>SUM(N36:N36)</f>
        <v>160000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159026</v>
      </c>
      <c r="D39" s="466">
        <v>196387</v>
      </c>
      <c r="E39" s="466">
        <v>26489</v>
      </c>
      <c r="F39" s="466">
        <v>255729</v>
      </c>
      <c r="G39" s="466">
        <v>102048</v>
      </c>
      <c r="H39" s="466"/>
      <c r="I39" s="466">
        <v>249012</v>
      </c>
      <c r="J39" s="467">
        <v>40595</v>
      </c>
      <c r="K39" s="466">
        <v>19908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5338326</v>
      </c>
      <c r="N40" s="497"/>
    </row>
    <row r="41" spans="1:14" ht="13.5" customHeight="1" thickBot="1" x14ac:dyDescent="0.25">
      <c r="A41" s="1736" t="s">
        <v>655</v>
      </c>
      <c r="B41" s="1706"/>
      <c r="C41" s="1688">
        <f>(SUM(C34,C37,C38,C39))</f>
        <v>159026</v>
      </c>
      <c r="D41" s="1688">
        <f t="shared" ref="D41:L41" si="2">SUM(D34,D37,D38:D39)</f>
        <v>196387</v>
      </c>
      <c r="E41" s="1688">
        <f t="shared" si="2"/>
        <v>26489</v>
      </c>
      <c r="F41" s="1688">
        <f t="shared" si="2"/>
        <v>255729</v>
      </c>
      <c r="G41" s="1688">
        <f t="shared" si="2"/>
        <v>102048</v>
      </c>
      <c r="H41" s="1688">
        <f t="shared" si="2"/>
        <v>0</v>
      </c>
      <c r="I41" s="1688">
        <f t="shared" si="2"/>
        <v>249012</v>
      </c>
      <c r="J41" s="1688">
        <f t="shared" si="2"/>
        <v>40595</v>
      </c>
      <c r="K41" s="1688">
        <f t="shared" si="2"/>
        <v>19908</v>
      </c>
      <c r="L41" s="1688">
        <f t="shared" si="2"/>
        <v>8437</v>
      </c>
      <c r="M41" s="1688">
        <f>SUM(M40)</f>
        <v>5338326</v>
      </c>
      <c r="N41" s="1688">
        <f>SUM(N37)</f>
        <v>160000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0" activePane="bottomLeft" state="frozen"/>
      <selection activeCell="J37" sqref="J37"/>
      <selection pane="bottomLeft" activeCell="J37" sqref="J3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333951</v>
      </c>
      <c r="D4" s="1742">
        <f>'Revenues 9-14'!D109</f>
        <v>55384</v>
      </c>
      <c r="E4" s="1742">
        <f>'Revenues 9-14'!E109</f>
        <v>101079</v>
      </c>
      <c r="F4" s="1742">
        <f>'Revenues 9-14'!F109</f>
        <v>24410</v>
      </c>
      <c r="G4" s="1742">
        <f>'Revenues 9-14'!G109</f>
        <v>100252</v>
      </c>
      <c r="H4" s="1742">
        <f>'Revenues 9-14'!H109</f>
        <v>0</v>
      </c>
      <c r="I4" s="1742">
        <f>'Revenues 9-14'!I109</f>
        <v>10171</v>
      </c>
      <c r="J4" s="1742">
        <f>'Revenues 9-14'!J109</f>
        <v>81019</v>
      </c>
      <c r="K4" s="1742">
        <f>'Revenues 9-14'!K109</f>
        <v>10171</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1320961</v>
      </c>
      <c r="D6" s="1743">
        <f>'Revenues 9-14'!D170</f>
        <v>0</v>
      </c>
      <c r="E6" s="1743">
        <f>'Revenues 9-14'!E170</f>
        <v>0</v>
      </c>
      <c r="F6" s="1743">
        <f>'Revenues 9-14'!F170</f>
        <v>138141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237978</v>
      </c>
      <c r="D7" s="1743">
        <f>'Revenues 9-14'!D267</f>
        <v>24982</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1892890</v>
      </c>
      <c r="D8" s="1688">
        <f t="shared" ref="D8:K8" si="0">SUM(D4:D7)</f>
        <v>80366</v>
      </c>
      <c r="E8" s="1688">
        <f t="shared" si="0"/>
        <v>101079</v>
      </c>
      <c r="F8" s="1688">
        <f t="shared" si="0"/>
        <v>162551</v>
      </c>
      <c r="G8" s="1688">
        <f t="shared" si="0"/>
        <v>100252</v>
      </c>
      <c r="H8" s="1688">
        <f t="shared" si="0"/>
        <v>0</v>
      </c>
      <c r="I8" s="1688">
        <f t="shared" si="0"/>
        <v>10171</v>
      </c>
      <c r="J8" s="1688">
        <f t="shared" si="0"/>
        <v>81019</v>
      </c>
      <c r="K8" s="1688">
        <f t="shared" si="0"/>
        <v>10171</v>
      </c>
      <c r="L8" s="347"/>
    </row>
    <row r="9" spans="1:13" ht="15.75" thickTop="1" x14ac:dyDescent="0.2">
      <c r="A9" s="514" t="s">
        <v>1653</v>
      </c>
      <c r="B9" s="515">
        <v>3998</v>
      </c>
      <c r="C9" s="481">
        <v>745144</v>
      </c>
      <c r="D9" s="516"/>
      <c r="E9" s="481"/>
      <c r="F9" s="481"/>
      <c r="G9" s="517"/>
      <c r="H9" s="481"/>
      <c r="I9" s="509" t="s">
        <v>1169</v>
      </c>
      <c r="J9" s="478"/>
      <c r="K9" s="481"/>
      <c r="L9" s="347"/>
    </row>
    <row r="10" spans="1:13" s="519" customFormat="1" ht="13.5" thickBot="1" x14ac:dyDescent="0.25">
      <c r="A10" s="1736" t="s">
        <v>1173</v>
      </c>
      <c r="B10" s="1709"/>
      <c r="C10" s="1688">
        <f>SUM(C8:C9)</f>
        <v>2638034</v>
      </c>
      <c r="D10" s="1688">
        <f t="shared" ref="D10:K10" si="1">SUM(D8:D9)</f>
        <v>80366</v>
      </c>
      <c r="E10" s="1688">
        <f t="shared" si="1"/>
        <v>101079</v>
      </c>
      <c r="F10" s="1688">
        <f t="shared" si="1"/>
        <v>162551</v>
      </c>
      <c r="G10" s="1688">
        <f t="shared" si="1"/>
        <v>100252</v>
      </c>
      <c r="H10" s="1688">
        <f t="shared" si="1"/>
        <v>0</v>
      </c>
      <c r="I10" s="1688">
        <f t="shared" si="1"/>
        <v>10171</v>
      </c>
      <c r="J10" s="1688">
        <f t="shared" si="1"/>
        <v>81019</v>
      </c>
      <c r="K10" s="1688">
        <f t="shared" si="1"/>
        <v>10171</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1172531</v>
      </c>
      <c r="D12" s="520" t="s">
        <v>1169</v>
      </c>
      <c r="E12" s="468" t="s">
        <v>1169</v>
      </c>
      <c r="F12" s="468" t="s">
        <v>1169</v>
      </c>
      <c r="G12" s="1742">
        <f>'Expenditures 15-22'!K229</f>
        <v>37836</v>
      </c>
      <c r="H12" s="521"/>
      <c r="I12" s="468" t="s">
        <v>1169</v>
      </c>
      <c r="J12" s="468" t="s">
        <v>1169</v>
      </c>
      <c r="K12" s="521" t="s">
        <v>1169</v>
      </c>
      <c r="L12" s="347"/>
    </row>
    <row r="13" spans="1:13" ht="15.75" customHeight="1" x14ac:dyDescent="0.2">
      <c r="A13" s="1576" t="s">
        <v>457</v>
      </c>
      <c r="B13" s="1578">
        <v>2000</v>
      </c>
      <c r="C13" s="1743">
        <f>'Expenditures 15-22'!K74</f>
        <v>704122</v>
      </c>
      <c r="D13" s="1743">
        <f>'Expenditures 15-22'!K129</f>
        <v>89860</v>
      </c>
      <c r="E13" s="469" t="s">
        <v>1169</v>
      </c>
      <c r="F13" s="1743">
        <f>'Expenditures 15-22'!K184</f>
        <v>140245</v>
      </c>
      <c r="G13" s="1743">
        <f>'Expenditures 15-22'!K279</f>
        <v>50662</v>
      </c>
      <c r="H13" s="1743">
        <f>'Expenditures 15-22'!K303</f>
        <v>0</v>
      </c>
      <c r="I13" s="468" t="s">
        <v>1169</v>
      </c>
      <c r="J13" s="1743">
        <f>'Expenditures 15-22'!K330</f>
        <v>90500</v>
      </c>
      <c r="K13" s="1747">
        <f>'Expenditures 15-22'!K352</f>
        <v>2736</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20428</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102763</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1897081</v>
      </c>
      <c r="D17" s="1688">
        <f t="shared" si="2"/>
        <v>89860</v>
      </c>
      <c r="E17" s="1688">
        <f t="shared" si="2"/>
        <v>102763</v>
      </c>
      <c r="F17" s="1688">
        <f t="shared" si="2"/>
        <v>140245</v>
      </c>
      <c r="G17" s="1688">
        <f t="shared" si="2"/>
        <v>88498</v>
      </c>
      <c r="H17" s="1688">
        <f t="shared" si="2"/>
        <v>0</v>
      </c>
      <c r="I17" s="468"/>
      <c r="J17" s="1688">
        <f>SUM(J12:J16)</f>
        <v>90500</v>
      </c>
      <c r="K17" s="1688">
        <f>SUM(K12:K16)</f>
        <v>2736</v>
      </c>
      <c r="L17" s="347"/>
    </row>
    <row r="18" spans="1:12" ht="15" customHeight="1" thickTop="1" x14ac:dyDescent="0.2">
      <c r="A18" s="1744" t="s">
        <v>1654</v>
      </c>
      <c r="B18" s="1745">
        <v>4180</v>
      </c>
      <c r="C18" s="1742">
        <f t="shared" ref="C18:H18" si="3">C9</f>
        <v>745144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2642225</v>
      </c>
      <c r="D19" s="1688">
        <f t="shared" si="4"/>
        <v>89860</v>
      </c>
      <c r="E19" s="1688">
        <f t="shared" si="4"/>
        <v>102763</v>
      </c>
      <c r="F19" s="1688">
        <f t="shared" si="4"/>
        <v>140245</v>
      </c>
      <c r="G19" s="1688">
        <f t="shared" si="4"/>
        <v>88498</v>
      </c>
      <c r="H19" s="1688">
        <f t="shared" si="4"/>
        <v>0</v>
      </c>
      <c r="I19" s="468"/>
      <c r="J19" s="1688">
        <f>SUM(J17:J18)</f>
        <v>90500</v>
      </c>
      <c r="K19" s="1688">
        <f>SUM(K17:K18)</f>
        <v>2736</v>
      </c>
      <c r="L19" s="347"/>
    </row>
    <row r="20" spans="1:12" ht="16.5" thickTop="1" thickBot="1" x14ac:dyDescent="0.25">
      <c r="A20" s="2128" t="s">
        <v>1655</v>
      </c>
      <c r="B20" s="2129"/>
      <c r="C20" s="1746">
        <f>C8-C17</f>
        <v>-4191</v>
      </c>
      <c r="D20" s="1746">
        <f t="shared" ref="D20:K20" si="5">D8-D17</f>
        <v>-9494</v>
      </c>
      <c r="E20" s="1746">
        <f t="shared" si="5"/>
        <v>-1684</v>
      </c>
      <c r="F20" s="1746">
        <f t="shared" si="5"/>
        <v>22306</v>
      </c>
      <c r="G20" s="1746">
        <f t="shared" si="5"/>
        <v>11754</v>
      </c>
      <c r="H20" s="1746">
        <f t="shared" si="5"/>
        <v>0</v>
      </c>
      <c r="I20" s="1746">
        <f t="shared" si="5"/>
        <v>10171</v>
      </c>
      <c r="J20" s="1746">
        <f t="shared" si="5"/>
        <v>-9481</v>
      </c>
      <c r="K20" s="1746">
        <f t="shared" si="5"/>
        <v>7435</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-4191</v>
      </c>
      <c r="D78" s="1702">
        <f t="shared" si="9"/>
        <v>-9494</v>
      </c>
      <c r="E78" s="1702">
        <f t="shared" si="9"/>
        <v>-1684</v>
      </c>
      <c r="F78" s="1702">
        <f t="shared" si="9"/>
        <v>22306</v>
      </c>
      <c r="G78" s="1702">
        <f t="shared" si="9"/>
        <v>11754</v>
      </c>
      <c r="H78" s="1702">
        <f t="shared" si="9"/>
        <v>0</v>
      </c>
      <c r="I78" s="1702">
        <f t="shared" si="9"/>
        <v>10171</v>
      </c>
      <c r="J78" s="1702">
        <f t="shared" si="9"/>
        <v>-9481</v>
      </c>
      <c r="K78" s="1702">
        <f t="shared" si="9"/>
        <v>7435</v>
      </c>
      <c r="L78" s="533"/>
    </row>
    <row r="79" spans="1:12" ht="13.5" thickTop="1" x14ac:dyDescent="0.2">
      <c r="A79" s="1494" t="s">
        <v>1947</v>
      </c>
      <c r="B79" s="534"/>
      <c r="C79" s="478">
        <v>163217</v>
      </c>
      <c r="D79" s="535">
        <v>205881</v>
      </c>
      <c r="E79" s="535">
        <v>28173</v>
      </c>
      <c r="F79" s="535">
        <v>233423</v>
      </c>
      <c r="G79" s="535">
        <v>90294</v>
      </c>
      <c r="H79" s="535"/>
      <c r="I79" s="535">
        <v>238841</v>
      </c>
      <c r="J79" s="535">
        <v>50076</v>
      </c>
      <c r="K79" s="535">
        <v>12473</v>
      </c>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159026</v>
      </c>
      <c r="D81" s="1688">
        <f>SUM(D78:D80)</f>
        <v>196387</v>
      </c>
      <c r="E81" s="1688">
        <f t="shared" ref="E81:K81" si="10">SUM(E78:E80)</f>
        <v>26489</v>
      </c>
      <c r="F81" s="1688">
        <f t="shared" si="10"/>
        <v>255729</v>
      </c>
      <c r="G81" s="1688">
        <f t="shared" si="10"/>
        <v>102048</v>
      </c>
      <c r="H81" s="1688">
        <f t="shared" si="10"/>
        <v>0</v>
      </c>
      <c r="I81" s="1688">
        <f t="shared" si="10"/>
        <v>249012</v>
      </c>
      <c r="J81" s="1688">
        <f t="shared" si="10"/>
        <v>40595</v>
      </c>
      <c r="K81" s="1688">
        <f t="shared" si="10"/>
        <v>19908</v>
      </c>
      <c r="L81" s="347"/>
    </row>
    <row r="82" spans="1:12" ht="0.75" customHeight="1" thickTop="1" thickBot="1" x14ac:dyDescent="0.25">
      <c r="A82" s="536" t="s">
        <v>343</v>
      </c>
      <c r="B82" s="537"/>
      <c r="C82" s="538">
        <f>(C81-C79)</f>
        <v>-4191</v>
      </c>
      <c r="D82" s="538">
        <f t="shared" ref="D82:K82" si="11">(D81-D79)</f>
        <v>-9494</v>
      </c>
      <c r="E82" s="538">
        <f t="shared" si="11"/>
        <v>-1684</v>
      </c>
      <c r="F82" s="538">
        <f t="shared" si="11"/>
        <v>22306</v>
      </c>
      <c r="G82" s="538">
        <f t="shared" si="11"/>
        <v>11754</v>
      </c>
      <c r="H82" s="538">
        <f t="shared" si="11"/>
        <v>0</v>
      </c>
      <c r="I82" s="538">
        <f t="shared" si="11"/>
        <v>10171</v>
      </c>
      <c r="J82" s="538">
        <f t="shared" si="11"/>
        <v>-9481</v>
      </c>
      <c r="K82" s="538">
        <f t="shared" si="11"/>
        <v>7435</v>
      </c>
    </row>
    <row r="83" spans="1:12" ht="14.25" hidden="1" thickTop="1" thickBot="1" x14ac:dyDescent="0.25">
      <c r="A83" s="539" t="s">
        <v>344</v>
      </c>
      <c r="B83" s="464"/>
      <c r="C83" s="540">
        <f>C82/C81</f>
        <v>-2.6354181077308112E-2</v>
      </c>
      <c r="D83" s="540">
        <f t="shared" ref="D83:K83" si="12">D82/D81</f>
        <v>-4.8343322113989215E-2</v>
      </c>
      <c r="E83" s="540">
        <f t="shared" si="12"/>
        <v>-6.3573558835743144E-2</v>
      </c>
      <c r="F83" s="540">
        <f t="shared" si="12"/>
        <v>8.7225148497041785E-2</v>
      </c>
      <c r="G83" s="540">
        <f t="shared" si="12"/>
        <v>0.11518109125117591</v>
      </c>
      <c r="H83" s="540" t="e">
        <f t="shared" si="12"/>
        <v>#DIV/0!</v>
      </c>
      <c r="I83" s="540">
        <f t="shared" si="12"/>
        <v>4.0845421104203812E-2</v>
      </c>
      <c r="J83" s="540">
        <f t="shared" si="12"/>
        <v>-0.23355092991747753</v>
      </c>
      <c r="K83" s="540">
        <f t="shared" si="12"/>
        <v>0.37346795258187665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86" activePane="bottomLeft" state="frozen"/>
      <selection activeCell="J37" sqref="J37"/>
      <selection pane="bottomLeft" activeCell="C200" sqref="C200"/>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f>179031+7630</f>
        <v>186661</v>
      </c>
      <c r="D5" s="481">
        <f>48689+2075</f>
        <v>50764</v>
      </c>
      <c r="E5" s="466">
        <f>96868+4168</f>
        <v>101036</v>
      </c>
      <c r="F5" s="548">
        <f>23403+997</f>
        <v>24400</v>
      </c>
      <c r="G5" s="466">
        <f>43811+1867</f>
        <v>45678</v>
      </c>
      <c r="H5" s="466"/>
      <c r="I5" s="466">
        <f>9751+416</f>
        <v>10167</v>
      </c>
      <c r="J5" s="467">
        <f>77675+3310</f>
        <v>80985</v>
      </c>
      <c r="K5" s="466">
        <f>9751+416</f>
        <v>10167</v>
      </c>
    </row>
    <row r="6" spans="1:12" ht="15" x14ac:dyDescent="0.2">
      <c r="A6" s="463" t="s">
        <v>1662</v>
      </c>
      <c r="B6" s="470">
        <v>1130</v>
      </c>
      <c r="C6" s="466">
        <f>9751+416</f>
        <v>10167</v>
      </c>
      <c r="D6" s="466"/>
      <c r="E6" s="475"/>
      <c r="F6" s="475"/>
      <c r="G6" s="468"/>
      <c r="H6" s="468"/>
      <c r="I6" s="468"/>
      <c r="J6" s="468"/>
      <c r="K6" s="468"/>
    </row>
    <row r="7" spans="1:12" x14ac:dyDescent="0.2">
      <c r="A7" s="463" t="s">
        <v>110</v>
      </c>
      <c r="B7" s="549">
        <v>1140</v>
      </c>
      <c r="C7" s="466"/>
      <c r="D7" s="466">
        <f>3901+167</f>
        <v>4068</v>
      </c>
      <c r="E7" s="468"/>
      <c r="F7" s="467"/>
      <c r="G7" s="467"/>
      <c r="H7" s="467"/>
      <c r="I7" s="468"/>
      <c r="J7" s="468"/>
      <c r="K7" s="468"/>
    </row>
    <row r="8" spans="1:12" x14ac:dyDescent="0.2">
      <c r="A8" s="463" t="s">
        <v>413</v>
      </c>
      <c r="B8" s="470">
        <v>1150</v>
      </c>
      <c r="C8" s="475"/>
      <c r="D8" s="475"/>
      <c r="E8" s="477"/>
      <c r="F8" s="477"/>
      <c r="G8" s="481">
        <f>43778+1866</f>
        <v>45644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196828</v>
      </c>
      <c r="D12" s="1707">
        <f t="shared" si="0"/>
        <v>54832</v>
      </c>
      <c r="E12" s="1707">
        <f t="shared" si="0"/>
        <v>101036</v>
      </c>
      <c r="F12" s="1707">
        <f t="shared" si="0"/>
        <v>24400</v>
      </c>
      <c r="G12" s="1707">
        <f t="shared" si="0"/>
        <v>91322</v>
      </c>
      <c r="H12" s="1707">
        <f t="shared" si="0"/>
        <v>0</v>
      </c>
      <c r="I12" s="1707">
        <f t="shared" si="0"/>
        <v>10167</v>
      </c>
      <c r="J12" s="1707">
        <f t="shared" si="0"/>
        <v>80985</v>
      </c>
      <c r="K12" s="1688">
        <f t="shared" si="0"/>
        <v>10167</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84</v>
      </c>
      <c r="D14" s="466">
        <v>23</v>
      </c>
      <c r="E14" s="466">
        <v>43</v>
      </c>
      <c r="F14" s="466">
        <v>10</v>
      </c>
      <c r="G14" s="466">
        <v>39</v>
      </c>
      <c r="H14" s="466"/>
      <c r="I14" s="466">
        <v>4</v>
      </c>
      <c r="J14" s="467">
        <v>34</v>
      </c>
      <c r="K14" s="466">
        <v>4</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43410</v>
      </c>
      <c r="D16" s="466"/>
      <c r="E16" s="466"/>
      <c r="F16" s="466"/>
      <c r="G16" s="466">
        <v>8891</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43494</v>
      </c>
      <c r="D18" s="1710">
        <f t="shared" ref="D18:K18" si="1">SUM(D14:D17)</f>
        <v>23</v>
      </c>
      <c r="E18" s="1710">
        <f t="shared" si="1"/>
        <v>43</v>
      </c>
      <c r="F18" s="1710">
        <f t="shared" si="1"/>
        <v>10</v>
      </c>
      <c r="G18" s="1710">
        <f t="shared" si="1"/>
        <v>8930</v>
      </c>
      <c r="H18" s="1710">
        <f t="shared" si="1"/>
        <v>0</v>
      </c>
      <c r="I18" s="1710">
        <f t="shared" si="1"/>
        <v>4</v>
      </c>
      <c r="J18" s="1710">
        <f t="shared" si="1"/>
        <v>34</v>
      </c>
      <c r="K18" s="1711">
        <f t="shared" si="1"/>
        <v>4</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2434</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2434</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0</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14521</v>
      </c>
      <c r="D69" s="468"/>
      <c r="E69" s="468"/>
      <c r="F69" s="468"/>
      <c r="G69" s="468"/>
      <c r="H69" s="468"/>
      <c r="I69" s="468"/>
      <c r="J69" s="468"/>
      <c r="K69" s="468"/>
    </row>
    <row r="70" spans="1:11" ht="12.75" customHeight="1" x14ac:dyDescent="0.2">
      <c r="A70" s="463" t="s">
        <v>997</v>
      </c>
      <c r="B70" s="470">
        <v>1612</v>
      </c>
      <c r="C70" s="551">
        <v>1097</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1890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17508</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2730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2730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5525</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59084</v>
      </c>
      <c r="D106" s="489"/>
      <c r="E106" s="467"/>
      <c r="F106" s="467"/>
      <c r="G106" s="467"/>
      <c r="H106" s="467"/>
      <c r="I106" s="521"/>
      <c r="J106" s="467"/>
      <c r="K106" s="467"/>
    </row>
    <row r="107" spans="1:12" ht="12.75" customHeight="1" x14ac:dyDescent="0.2">
      <c r="A107" s="463" t="s">
        <v>78</v>
      </c>
      <c r="B107" s="470">
        <v>1999</v>
      </c>
      <c r="C107" s="551">
        <f>6340+8</f>
        <v>6348</v>
      </c>
      <c r="D107" s="466">
        <v>529</v>
      </c>
      <c r="E107" s="466"/>
      <c r="F107" s="466"/>
      <c r="G107" s="466"/>
      <c r="H107" s="466"/>
      <c r="I107" s="466"/>
      <c r="J107" s="467"/>
      <c r="K107" s="466"/>
    </row>
    <row r="108" spans="1:12" ht="12.75" customHeight="1" thickBot="1" x14ac:dyDescent="0.25">
      <c r="A108" s="1708" t="s">
        <v>487</v>
      </c>
      <c r="B108" s="1712"/>
      <c r="C108" s="1707">
        <f>SUM(C95:C107)</f>
        <v>70957</v>
      </c>
      <c r="D108" s="1707">
        <f t="shared" ref="D108:K108" si="3">SUM(D95:D107)</f>
        <v>529</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333951</v>
      </c>
      <c r="D109" s="1715">
        <f t="shared" si="4"/>
        <v>55384</v>
      </c>
      <c r="E109" s="1715">
        <f t="shared" si="4"/>
        <v>101079</v>
      </c>
      <c r="F109" s="1715">
        <f t="shared" si="4"/>
        <v>24410</v>
      </c>
      <c r="G109" s="1715">
        <f t="shared" si="4"/>
        <v>100252</v>
      </c>
      <c r="H109" s="1715">
        <f t="shared" si="4"/>
        <v>0</v>
      </c>
      <c r="I109" s="1715">
        <f t="shared" si="4"/>
        <v>10171</v>
      </c>
      <c r="J109" s="1715">
        <f t="shared" si="4"/>
        <v>81019</v>
      </c>
      <c r="K109" s="1702">
        <f t="shared" si="4"/>
        <v>10171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1185476</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1185476</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1207</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f>102033+34705</f>
        <v>136738</v>
      </c>
      <c r="G152" s="467"/>
      <c r="H152" s="468"/>
      <c r="I152" s="468"/>
      <c r="J152" s="468"/>
      <c r="K152" s="468"/>
    </row>
    <row r="153" spans="1:11" ht="12.75" customHeight="1" x14ac:dyDescent="0.2">
      <c r="A153" s="463" t="s">
        <v>1057</v>
      </c>
      <c r="B153" s="562">
        <v>3510</v>
      </c>
      <c r="C153" s="551"/>
      <c r="D153" s="466"/>
      <c r="E153" s="561"/>
      <c r="F153" s="466">
        <f>888+515</f>
        <v>1403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138141</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f>127253+6000</f>
        <v>133253</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1025</v>
      </c>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135485</v>
      </c>
      <c r="D169" s="1722">
        <f t="shared" si="6"/>
        <v>0</v>
      </c>
      <c r="E169" s="1722">
        <f t="shared" si="6"/>
        <v>0</v>
      </c>
      <c r="F169" s="1722">
        <f t="shared" si="6"/>
        <v>138141</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1320961</v>
      </c>
      <c r="D170" s="1715">
        <f t="shared" si="7"/>
        <v>0</v>
      </c>
      <c r="E170" s="1715">
        <f t="shared" si="7"/>
        <v>0</v>
      </c>
      <c r="F170" s="1715">
        <f t="shared" si="7"/>
        <v>138141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54043</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17898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71941</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f>96789+6778</f>
        <v>103567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24352</v>
      </c>
      <c r="D203" s="466"/>
      <c r="E203" s="468"/>
      <c r="F203" s="466"/>
      <c r="G203" s="466"/>
      <c r="H203" s="468"/>
      <c r="I203" s="468"/>
      <c r="J203" s="468"/>
      <c r="K203" s="468"/>
    </row>
    <row r="204" spans="1:11" ht="12.75" customHeight="1" thickBot="1" x14ac:dyDescent="0.25">
      <c r="A204" s="1708" t="s">
        <v>400</v>
      </c>
      <c r="B204" s="1709"/>
      <c r="C204" s="1707">
        <f>SUM(C200:C203)</f>
        <v>127919</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4476</v>
      </c>
      <c r="D263" s="576"/>
      <c r="E263" s="468"/>
      <c r="F263" s="576"/>
      <c r="G263" s="576"/>
      <c r="H263" s="468"/>
      <c r="I263" s="468"/>
      <c r="J263" s="468"/>
      <c r="K263" s="468"/>
    </row>
    <row r="264" spans="1:11" ht="12.75" customHeight="1" thickTop="1" thickBot="1" x14ac:dyDescent="0.25">
      <c r="A264" s="463" t="s">
        <v>377</v>
      </c>
      <c r="B264" s="470">
        <v>4992</v>
      </c>
      <c r="C264" s="575">
        <v>15936</v>
      </c>
      <c r="D264" s="576"/>
      <c r="E264" s="468"/>
      <c r="F264" s="576"/>
      <c r="G264" s="576"/>
      <c r="H264" s="468"/>
      <c r="I264" s="468"/>
      <c r="J264" s="468"/>
      <c r="K264" s="468"/>
    </row>
    <row r="265" spans="1:11" s="593" customFormat="1" ht="12.75" customHeight="1" thickTop="1" thickBot="1" x14ac:dyDescent="0.25">
      <c r="A265" s="563" t="s">
        <v>75</v>
      </c>
      <c r="B265" s="557">
        <v>4999</v>
      </c>
      <c r="C265" s="575">
        <v>17706</v>
      </c>
      <c r="D265" s="576">
        <v>24982</v>
      </c>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237978</v>
      </c>
      <c r="D266" s="1715">
        <f t="shared" si="10"/>
        <v>24982</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237978</v>
      </c>
      <c r="D267" s="1715">
        <f>SUM(D175,D181,D266)</f>
        <v>24982</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1892890</v>
      </c>
      <c r="D268" s="1715">
        <f t="shared" si="12"/>
        <v>80366</v>
      </c>
      <c r="E268" s="1715">
        <f t="shared" si="12"/>
        <v>101079</v>
      </c>
      <c r="F268" s="1715">
        <f t="shared" si="12"/>
        <v>162551</v>
      </c>
      <c r="G268" s="1715">
        <f t="shared" si="12"/>
        <v>100252</v>
      </c>
      <c r="H268" s="1715">
        <f t="shared" si="12"/>
        <v>0</v>
      </c>
      <c r="I268" s="1715">
        <f t="shared" si="12"/>
        <v>10171</v>
      </c>
      <c r="J268" s="1715">
        <f t="shared" si="12"/>
        <v>81019</v>
      </c>
      <c r="K268" s="1702">
        <f t="shared" si="12"/>
        <v>10171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92" activePane="bottomLeft" state="frozen"/>
      <selection activeCell="J37" sqref="J37"/>
      <selection pane="bottomLeft" activeCell="J37" sqref="J3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f>503835+3850+32834+64+11856+672</f>
        <v>553111</v>
      </c>
      <c r="D5" s="466">
        <f>53086+3399+12697+233+59782+2511</f>
        <v>131708</v>
      </c>
      <c r="E5" s="466">
        <f>5177+700+1545</f>
        <v>7422</v>
      </c>
      <c r="F5" s="466">
        <f>7768+1583+309</f>
        <v>9660</v>
      </c>
      <c r="G5" s="466"/>
      <c r="H5" s="466">
        <v>510</v>
      </c>
      <c r="I5" s="467"/>
      <c r="J5" s="467"/>
      <c r="K5" s="1671">
        <f>SUM(C5:J5)</f>
        <v>702411</v>
      </c>
      <c r="L5" s="466">
        <v>723551</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f>96670+30765</f>
        <v>127435</v>
      </c>
      <c r="D8" s="466">
        <f>9561+616+2295+76+21281+798</f>
        <v>34627</v>
      </c>
      <c r="E8" s="466"/>
      <c r="F8" s="466"/>
      <c r="G8" s="466"/>
      <c r="H8" s="466"/>
      <c r="I8" s="467"/>
      <c r="J8" s="467"/>
      <c r="K8" s="1671">
        <f t="shared" si="0"/>
        <v>162062</v>
      </c>
      <c r="L8" s="466">
        <v>153297</v>
      </c>
    </row>
    <row r="9" spans="1:14" x14ac:dyDescent="0.2">
      <c r="A9" s="1504" t="s">
        <v>721</v>
      </c>
      <c r="B9" s="614" t="s">
        <v>968</v>
      </c>
      <c r="C9" s="467">
        <f>45835+19853</f>
        <v>65688</v>
      </c>
      <c r="D9" s="467">
        <f>4533+292+1088+48+13607+510</f>
        <v>20078</v>
      </c>
      <c r="E9" s="467"/>
      <c r="F9" s="467">
        <v>2910</v>
      </c>
      <c r="G9" s="467"/>
      <c r="H9" s="467"/>
      <c r="I9" s="467"/>
      <c r="J9" s="467"/>
      <c r="K9" s="1671">
        <f t="shared" si="0"/>
        <v>88676</v>
      </c>
      <c r="L9" s="466">
        <v>88736</v>
      </c>
    </row>
    <row r="10" spans="1:14" x14ac:dyDescent="0.2">
      <c r="A10" s="1504" t="s">
        <v>722</v>
      </c>
      <c r="B10" s="614">
        <v>1250</v>
      </c>
      <c r="C10" s="466">
        <f>12000</f>
        <v>12000</v>
      </c>
      <c r="D10" s="466">
        <f>1187+76+1299+285+25+7094+266</f>
        <v>10232</v>
      </c>
      <c r="E10" s="466">
        <f>14793+27896</f>
        <v>42689</v>
      </c>
      <c r="F10" s="466">
        <f>49867+10106</f>
        <v>59973</v>
      </c>
      <c r="G10" s="466">
        <v>9723</v>
      </c>
      <c r="H10" s="466"/>
      <c r="I10" s="467"/>
      <c r="J10" s="467"/>
      <c r="K10" s="1671">
        <f t="shared" si="0"/>
        <v>134617</v>
      </c>
      <c r="L10" s="466">
        <v>240430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f>11431+1729+6987+44128+1418+1902+692</f>
        <v>68287</v>
      </c>
      <c r="D14" s="466">
        <f>1131+73+271+4364+281+1047+25+7094+266+188+12+45+68+4+16</f>
        <v>14885</v>
      </c>
      <c r="E14" s="466">
        <f>1200</f>
        <v>1200</v>
      </c>
      <c r="F14" s="466">
        <f>-176+568+1</f>
        <v>393</v>
      </c>
      <c r="G14" s="466"/>
      <c r="H14" s="466"/>
      <c r="I14" s="467"/>
      <c r="J14" s="467"/>
      <c r="K14" s="1671">
        <f t="shared" si="0"/>
        <v>84765</v>
      </c>
      <c r="L14" s="466">
        <f>23718+57000+1418+2147+780</f>
        <v>85063</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826521</v>
      </c>
      <c r="D33" s="1670">
        <f t="shared" ref="D33:L33" si="1">SUM(D5:D32)</f>
        <v>211530</v>
      </c>
      <c r="E33" s="1670">
        <f t="shared" si="1"/>
        <v>51311</v>
      </c>
      <c r="F33" s="1670">
        <f t="shared" si="1"/>
        <v>72936</v>
      </c>
      <c r="G33" s="1670">
        <f t="shared" si="1"/>
        <v>9723</v>
      </c>
      <c r="H33" s="1670">
        <f t="shared" si="1"/>
        <v>510</v>
      </c>
      <c r="I33" s="1670">
        <f t="shared" si="1"/>
        <v>0</v>
      </c>
      <c r="J33" s="1670">
        <f t="shared" si="1"/>
        <v>0</v>
      </c>
      <c r="K33" s="1670">
        <f t="shared" si="1"/>
        <v>1172531</v>
      </c>
      <c r="L33" s="1670">
        <f t="shared" si="1"/>
        <v>1291077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46285</v>
      </c>
      <c r="D36" s="481">
        <f>4578+295+1099+25+7094+266</f>
        <v>13357</v>
      </c>
      <c r="E36" s="481"/>
      <c r="F36" s="481"/>
      <c r="G36" s="481"/>
      <c r="H36" s="481"/>
      <c r="I36" s="467"/>
      <c r="J36" s="467"/>
      <c r="K36" s="1671">
        <f t="shared" ref="K36:K41" si="2">SUM(C36:J36)</f>
        <v>59642</v>
      </c>
      <c r="L36" s="466">
        <v>59642</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18685</v>
      </c>
      <c r="D38" s="466">
        <f>15+4194+155</f>
        <v>4364</v>
      </c>
      <c r="E38" s="466">
        <v>1300</v>
      </c>
      <c r="F38" s="466">
        <v>419</v>
      </c>
      <c r="G38" s="466"/>
      <c r="H38" s="466"/>
      <c r="I38" s="467"/>
      <c r="J38" s="467"/>
      <c r="K38" s="1671">
        <f t="shared" si="2"/>
        <v>24768</v>
      </c>
      <c r="L38" s="466">
        <v>27618</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56785</v>
      </c>
      <c r="D40" s="466">
        <f>5616+362+1348+16+7094+266</f>
        <v>14702</v>
      </c>
      <c r="E40" s="466"/>
      <c r="F40" s="466"/>
      <c r="G40" s="466"/>
      <c r="H40" s="466"/>
      <c r="I40" s="467"/>
      <c r="J40" s="467"/>
      <c r="K40" s="1671">
        <f t="shared" si="2"/>
        <v>71487</v>
      </c>
      <c r="L40" s="466">
        <v>71496</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121755</v>
      </c>
      <c r="D42" s="1670">
        <f t="shared" ref="D42:L42" si="3">SUM(D36:D41)</f>
        <v>32423</v>
      </c>
      <c r="E42" s="1670">
        <f t="shared" si="3"/>
        <v>1300</v>
      </c>
      <c r="F42" s="1670">
        <f t="shared" si="3"/>
        <v>419</v>
      </c>
      <c r="G42" s="1670">
        <f t="shared" si="3"/>
        <v>0</v>
      </c>
      <c r="H42" s="1670">
        <f t="shared" si="3"/>
        <v>0</v>
      </c>
      <c r="I42" s="1670">
        <f t="shared" si="3"/>
        <v>0</v>
      </c>
      <c r="J42" s="1670">
        <f t="shared" si="3"/>
        <v>0</v>
      </c>
      <c r="K42" s="1670">
        <f t="shared" si="3"/>
        <v>155897</v>
      </c>
      <c r="L42" s="1670">
        <f t="shared" si="3"/>
        <v>158756</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f>3554+9000</f>
        <v>12554</v>
      </c>
      <c r="F44" s="481">
        <v>891</v>
      </c>
      <c r="G44" s="481"/>
      <c r="H44" s="481"/>
      <c r="I44" s="467"/>
      <c r="J44" s="467"/>
      <c r="K44" s="1672">
        <f>SUM(C44:J44)</f>
        <v>13445</v>
      </c>
      <c r="L44" s="481">
        <v>25000</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0</v>
      </c>
      <c r="D47" s="1670">
        <f t="shared" ref="D47:K47" si="4">SUM(D44:D46)</f>
        <v>0</v>
      </c>
      <c r="E47" s="1670">
        <f t="shared" si="4"/>
        <v>12554</v>
      </c>
      <c r="F47" s="1670">
        <f t="shared" si="4"/>
        <v>891</v>
      </c>
      <c r="G47" s="1670">
        <f t="shared" si="4"/>
        <v>0</v>
      </c>
      <c r="H47" s="1670">
        <f t="shared" si="4"/>
        <v>0</v>
      </c>
      <c r="I47" s="1670">
        <f t="shared" si="4"/>
        <v>0</v>
      </c>
      <c r="J47" s="1670">
        <f t="shared" si="4"/>
        <v>0</v>
      </c>
      <c r="K47" s="1670">
        <f t="shared" si="4"/>
        <v>13445</v>
      </c>
      <c r="L47" s="1670">
        <f>SUM(L44:L46)</f>
        <v>25000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f>1541+50+611</f>
        <v>2202</v>
      </c>
      <c r="F49" s="481">
        <v>2233</v>
      </c>
      <c r="G49" s="481"/>
      <c r="H49" s="481">
        <v>1386</v>
      </c>
      <c r="I49" s="467"/>
      <c r="J49" s="467"/>
      <c r="K49" s="1672">
        <f>SUM(C49:J49)</f>
        <v>5821</v>
      </c>
      <c r="L49" s="481">
        <v>6300</v>
      </c>
    </row>
    <row r="50" spans="1:14" x14ac:dyDescent="0.2">
      <c r="A50" s="1504" t="s">
        <v>818</v>
      </c>
      <c r="B50" s="614">
        <v>2320</v>
      </c>
      <c r="C50" s="466">
        <v>78403</v>
      </c>
      <c r="D50" s="466">
        <f>7754+500+1861+25+7094+266</f>
        <v>17500</v>
      </c>
      <c r="E50" s="466">
        <f>1307+1069</f>
        <v>2376</v>
      </c>
      <c r="F50" s="466">
        <v>3408</v>
      </c>
      <c r="G50" s="466"/>
      <c r="H50" s="466">
        <v>754</v>
      </c>
      <c r="I50" s="467"/>
      <c r="J50" s="467"/>
      <c r="K50" s="1672">
        <f>SUM(C50:J50)</f>
        <v>102441</v>
      </c>
      <c r="L50" s="466">
        <v>102439</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78403</v>
      </c>
      <c r="D53" s="1670">
        <f t="shared" ref="D53:L53" si="5">SUM(D49:D52)</f>
        <v>17500</v>
      </c>
      <c r="E53" s="1670">
        <f t="shared" si="5"/>
        <v>4578</v>
      </c>
      <c r="F53" s="1670">
        <f t="shared" si="5"/>
        <v>5641</v>
      </c>
      <c r="G53" s="1670">
        <f t="shared" si="5"/>
        <v>0</v>
      </c>
      <c r="H53" s="1670">
        <f t="shared" si="5"/>
        <v>2140</v>
      </c>
      <c r="I53" s="1670">
        <f t="shared" si="5"/>
        <v>0</v>
      </c>
      <c r="J53" s="1670">
        <f t="shared" si="5"/>
        <v>0</v>
      </c>
      <c r="K53" s="1670">
        <f t="shared" si="5"/>
        <v>108262</v>
      </c>
      <c r="L53" s="1670">
        <f t="shared" si="5"/>
        <v>108739</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57350</v>
      </c>
      <c r="D55" s="481">
        <f>5672+365+1361+23+6514+244</f>
        <v>14179</v>
      </c>
      <c r="E55" s="481">
        <v>791</v>
      </c>
      <c r="F55" s="481"/>
      <c r="G55" s="481"/>
      <c r="H55" s="481">
        <v>125</v>
      </c>
      <c r="I55" s="467"/>
      <c r="J55" s="467"/>
      <c r="K55" s="1672">
        <f>SUM(C55:J55)</f>
        <v>72445</v>
      </c>
      <c r="L55" s="481">
        <v>72638</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57350</v>
      </c>
      <c r="D57" s="1674">
        <f t="shared" ref="D57:K57" si="6">SUM(D55:D56)</f>
        <v>14179</v>
      </c>
      <c r="E57" s="1674">
        <f t="shared" si="6"/>
        <v>791</v>
      </c>
      <c r="F57" s="1674">
        <f t="shared" si="6"/>
        <v>0</v>
      </c>
      <c r="G57" s="1674">
        <f t="shared" si="6"/>
        <v>0</v>
      </c>
      <c r="H57" s="1674">
        <f t="shared" si="6"/>
        <v>125</v>
      </c>
      <c r="I57" s="1674">
        <f t="shared" si="6"/>
        <v>0</v>
      </c>
      <c r="J57" s="1674">
        <f t="shared" si="6"/>
        <v>0</v>
      </c>
      <c r="K57" s="1674">
        <f t="shared" si="6"/>
        <v>72445</v>
      </c>
      <c r="L57" s="1670">
        <f>SUM(L55:L56)</f>
        <v>72638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37700</v>
      </c>
      <c r="D60" s="466">
        <f>25+7094+266</f>
        <v>7385</v>
      </c>
      <c r="E60" s="466">
        <f>3050+285</f>
        <v>3335</v>
      </c>
      <c r="F60" s="466">
        <v>636</v>
      </c>
      <c r="G60" s="466"/>
      <c r="H60" s="466"/>
      <c r="I60" s="467"/>
      <c r="J60" s="467"/>
      <c r="K60" s="1672">
        <f t="shared" si="7"/>
        <v>49056</v>
      </c>
      <c r="L60" s="466">
        <v>43385</v>
      </c>
      <c r="M60" s="609"/>
      <c r="N60" s="609"/>
    </row>
    <row r="61" spans="1:14" s="343" customFormat="1" x14ac:dyDescent="0.2">
      <c r="A61" s="1504" t="s">
        <v>197</v>
      </c>
      <c r="B61" s="614">
        <v>2540</v>
      </c>
      <c r="C61" s="466">
        <v>49085</v>
      </c>
      <c r="D61" s="466">
        <f>50+14187+532</f>
        <v>14769</v>
      </c>
      <c r="E61" s="466">
        <f>10344+3244+367+4962</f>
        <v>18917</v>
      </c>
      <c r="F61" s="466">
        <f>2567+72681</f>
        <v>75248</v>
      </c>
      <c r="G61" s="466"/>
      <c r="H61" s="466"/>
      <c r="I61" s="467"/>
      <c r="J61" s="467"/>
      <c r="K61" s="1672">
        <f t="shared" si="7"/>
        <v>158019</v>
      </c>
      <c r="L61" s="466">
        <v>151255</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46690</v>
      </c>
      <c r="D63" s="466">
        <f>50+14187+532</f>
        <v>14769</v>
      </c>
      <c r="E63" s="466">
        <v>494</v>
      </c>
      <c r="F63" s="466">
        <f>25298+10615+2848</f>
        <v>38761</v>
      </c>
      <c r="G63" s="466"/>
      <c r="H63" s="466"/>
      <c r="I63" s="467"/>
      <c r="J63" s="467"/>
      <c r="K63" s="1672">
        <f t="shared" si="7"/>
        <v>100714</v>
      </c>
      <c r="L63" s="466">
        <v>101060</v>
      </c>
    </row>
    <row r="64" spans="1:14" s="609" customFormat="1" x14ac:dyDescent="0.2">
      <c r="A64" s="1509" t="s">
        <v>101</v>
      </c>
      <c r="B64" s="630">
        <v>2570</v>
      </c>
      <c r="C64" s="481">
        <v>27050</v>
      </c>
      <c r="D64" s="481">
        <f>25+7094+266</f>
        <v>7385</v>
      </c>
      <c r="E64" s="481">
        <f>524+3521</f>
        <v>4045</v>
      </c>
      <c r="F64" s="481">
        <v>7804</v>
      </c>
      <c r="G64" s="481"/>
      <c r="H64" s="481"/>
      <c r="I64" s="467"/>
      <c r="J64" s="467"/>
      <c r="K64" s="1672">
        <f t="shared" si="7"/>
        <v>46284</v>
      </c>
      <c r="L64" s="481">
        <v>46304</v>
      </c>
    </row>
    <row r="65" spans="1:14" s="343" customFormat="1" ht="12.75" customHeight="1" thickBot="1" x14ac:dyDescent="0.25">
      <c r="A65" s="1668" t="s">
        <v>719</v>
      </c>
      <c r="B65" s="1669" t="s">
        <v>35</v>
      </c>
      <c r="C65" s="1670">
        <f>SUM(C59:C64)</f>
        <v>160525</v>
      </c>
      <c r="D65" s="1670">
        <f t="shared" ref="D65:L65" si="8">SUM(D59:D64)</f>
        <v>44308</v>
      </c>
      <c r="E65" s="1670">
        <f t="shared" si="8"/>
        <v>26791</v>
      </c>
      <c r="F65" s="1670">
        <f t="shared" si="8"/>
        <v>122449</v>
      </c>
      <c r="G65" s="1670">
        <f t="shared" si="8"/>
        <v>0</v>
      </c>
      <c r="H65" s="1670">
        <f t="shared" si="8"/>
        <v>0</v>
      </c>
      <c r="I65" s="1670">
        <f t="shared" si="8"/>
        <v>0</v>
      </c>
      <c r="J65" s="1670">
        <f t="shared" si="8"/>
        <v>0</v>
      </c>
      <c r="K65" s="1670">
        <f t="shared" si="8"/>
        <v>354073</v>
      </c>
      <c r="L65" s="1670">
        <f t="shared" si="8"/>
        <v>342004</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418033</v>
      </c>
      <c r="D74" s="1677">
        <f t="shared" ref="D74:K74" si="10">SUM(D42,D47,D53,D57,D65,D72,D73)</f>
        <v>108410</v>
      </c>
      <c r="E74" s="1677">
        <f t="shared" si="10"/>
        <v>46014</v>
      </c>
      <c r="F74" s="1677">
        <f t="shared" si="10"/>
        <v>129400</v>
      </c>
      <c r="G74" s="1677">
        <f t="shared" si="10"/>
        <v>0</v>
      </c>
      <c r="H74" s="1677">
        <f t="shared" si="10"/>
        <v>2265</v>
      </c>
      <c r="I74" s="1677">
        <f t="shared" si="10"/>
        <v>0</v>
      </c>
      <c r="J74" s="1677">
        <f t="shared" si="10"/>
        <v>0</v>
      </c>
      <c r="K74" s="1677">
        <f t="shared" si="10"/>
        <v>704122</v>
      </c>
      <c r="L74" s="1677">
        <f>SUM(L42,L47,L53,L57,L65,L72,L73)</f>
        <v>707137</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f>20234+15+179</f>
        <v>20428</v>
      </c>
      <c r="F79" s="616"/>
      <c r="G79" s="616"/>
      <c r="H79" s="466"/>
      <c r="I79" s="477"/>
      <c r="J79" s="477"/>
      <c r="K79" s="1671">
        <f t="shared" si="11"/>
        <v>20428</v>
      </c>
      <c r="L79" s="466">
        <v>45700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20428</v>
      </c>
      <c r="F84" s="616"/>
      <c r="G84" s="616"/>
      <c r="H84" s="1670">
        <f>SUM(H78:H83)</f>
        <v>0</v>
      </c>
      <c r="I84" s="477"/>
      <c r="J84" s="477"/>
      <c r="K84" s="1670">
        <f>SUM(K78:K83)</f>
        <v>20428</v>
      </c>
      <c r="L84" s="1670">
        <f>SUM(L78:L83)</f>
        <v>45700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20428</v>
      </c>
      <c r="F102" s="616"/>
      <c r="G102" s="616"/>
      <c r="H102" s="1677">
        <f>SUM(H84,H92,H100,H101)</f>
        <v>0</v>
      </c>
      <c r="I102" s="477"/>
      <c r="J102" s="477"/>
      <c r="K102" s="1677">
        <f>SUM(K84,K92,K100,K101)</f>
        <v>20428</v>
      </c>
      <c r="L102" s="1677">
        <f>SUM(L84,L92,L100,L101)</f>
        <v>45700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1244554</v>
      </c>
      <c r="D114" s="1670">
        <f t="shared" ref="D114:K114" si="13">SUM(D33,D74,D75,D102,D112,D113)</f>
        <v>319940</v>
      </c>
      <c r="E114" s="1670">
        <f t="shared" si="13"/>
        <v>117753</v>
      </c>
      <c r="F114" s="1670">
        <f t="shared" si="13"/>
        <v>202336</v>
      </c>
      <c r="G114" s="1670">
        <f t="shared" si="13"/>
        <v>9723</v>
      </c>
      <c r="H114" s="1670">
        <f>SUM(H33,H74,H75,H102,H112,H113)</f>
        <v>2775</v>
      </c>
      <c r="I114" s="1670">
        <f t="shared" si="13"/>
        <v>0</v>
      </c>
      <c r="J114" s="1670">
        <f t="shared" si="13"/>
        <v>0</v>
      </c>
      <c r="K114" s="1670">
        <f t="shared" si="13"/>
        <v>1897081</v>
      </c>
      <c r="L114" s="1670">
        <f>SUM(L33,L74,L75,L102,L112,L113)</f>
        <v>2043914</v>
      </c>
    </row>
    <row r="115" spans="1:14" ht="13.5" thickTop="1" x14ac:dyDescent="0.2">
      <c r="A115" s="2158" t="s">
        <v>996</v>
      </c>
      <c r="B115" s="2159"/>
      <c r="C115" s="618"/>
      <c r="D115" s="618"/>
      <c r="E115" s="618"/>
      <c r="F115" s="618"/>
      <c r="G115" s="618"/>
      <c r="H115" s="618"/>
      <c r="I115" s="618"/>
      <c r="J115" s="618"/>
      <c r="K115" s="1684">
        <f>'Revenues 9-14'!C268-'Expenditures 15-22'!K114</f>
        <v>-4191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f>69646+2413</f>
        <v>72059</v>
      </c>
      <c r="F124" s="466">
        <f>12976+4825</f>
        <v>17801</v>
      </c>
      <c r="G124" s="466"/>
      <c r="H124" s="466"/>
      <c r="I124" s="467"/>
      <c r="J124" s="467"/>
      <c r="K124" s="1670">
        <f>SUM(C124:J124)</f>
        <v>89860</v>
      </c>
      <c r="L124" s="466">
        <v>83250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72059</v>
      </c>
      <c r="F127" s="1670">
        <f t="shared" si="14"/>
        <v>17801</v>
      </c>
      <c r="G127" s="1670">
        <f t="shared" si="14"/>
        <v>0</v>
      </c>
      <c r="H127" s="1670">
        <f t="shared" si="14"/>
        <v>0</v>
      </c>
      <c r="I127" s="1670">
        <f t="shared" si="14"/>
        <v>0</v>
      </c>
      <c r="J127" s="1670">
        <f t="shared" si="14"/>
        <v>0</v>
      </c>
      <c r="K127" s="1670">
        <f t="shared" si="14"/>
        <v>89860</v>
      </c>
      <c r="L127" s="1670">
        <f t="shared" si="14"/>
        <v>83250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72059</v>
      </c>
      <c r="F129" s="1677">
        <f t="shared" si="15"/>
        <v>17801</v>
      </c>
      <c r="G129" s="1677">
        <f t="shared" si="15"/>
        <v>0</v>
      </c>
      <c r="H129" s="1677">
        <f t="shared" si="15"/>
        <v>0</v>
      </c>
      <c r="I129" s="1677">
        <f t="shared" si="15"/>
        <v>0</v>
      </c>
      <c r="J129" s="1677">
        <f t="shared" si="15"/>
        <v>0</v>
      </c>
      <c r="K129" s="1677">
        <f t="shared" si="15"/>
        <v>89860</v>
      </c>
      <c r="L129" s="1677">
        <f t="shared" si="15"/>
        <v>83250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5"/>
      <c r="C151" s="1670">
        <f>SUM(C129,C130,C139,C149,C150)</f>
        <v>0</v>
      </c>
      <c r="D151" s="1670">
        <f t="shared" ref="D151:K151" si="16">SUM(D129,D130,D139,D149,D150)</f>
        <v>0</v>
      </c>
      <c r="E151" s="1670">
        <f t="shared" si="16"/>
        <v>72059</v>
      </c>
      <c r="F151" s="1670">
        <f t="shared" si="16"/>
        <v>17801</v>
      </c>
      <c r="G151" s="1670">
        <f t="shared" si="16"/>
        <v>0</v>
      </c>
      <c r="H151" s="1670">
        <f t="shared" si="16"/>
        <v>0</v>
      </c>
      <c r="I151" s="1670">
        <f t="shared" si="16"/>
        <v>0</v>
      </c>
      <c r="J151" s="1670">
        <f t="shared" si="16"/>
        <v>0</v>
      </c>
      <c r="K151" s="1670">
        <f t="shared" si="16"/>
        <v>89860</v>
      </c>
      <c r="L151" s="1670">
        <f>SUM(L129,L130,L139,L149,L150)</f>
        <v>83250</v>
      </c>
    </row>
    <row r="152" spans="1:14" ht="12.75" customHeight="1" thickTop="1" x14ac:dyDescent="0.2">
      <c r="A152" s="2178" t="s">
        <v>1178</v>
      </c>
      <c r="B152" s="2179"/>
      <c r="C152" s="618"/>
      <c r="D152" s="618"/>
      <c r="E152" s="618"/>
      <c r="F152" s="618"/>
      <c r="G152" s="618"/>
      <c r="H152" s="618"/>
      <c r="I152" s="618"/>
      <c r="J152" s="616"/>
      <c r="K152" s="1684">
        <f>'Revenues 9-14'!D268-'Expenditures 15-22'!K151</f>
        <v>-9494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7263</v>
      </c>
      <c r="I169" s="616"/>
      <c r="J169" s="616"/>
      <c r="K169" s="1671">
        <f>SUM(C169:H169)</f>
        <v>7263</v>
      </c>
      <c r="L169" s="656">
        <v>7263</v>
      </c>
    </row>
    <row r="170" spans="1:14" ht="33.75" customHeight="1" x14ac:dyDescent="0.2">
      <c r="A170" s="669" t="s">
        <v>1670</v>
      </c>
      <c r="B170" s="671" t="s">
        <v>31</v>
      </c>
      <c r="C170" s="616"/>
      <c r="D170" s="616"/>
      <c r="E170" s="616"/>
      <c r="F170" s="616"/>
      <c r="G170" s="616"/>
      <c r="H170" s="569">
        <v>95000</v>
      </c>
      <c r="I170" s="616"/>
      <c r="J170" s="616"/>
      <c r="K170" s="1671">
        <f>SUM(C170:J170)</f>
        <v>95000</v>
      </c>
      <c r="L170" s="569">
        <v>95000</v>
      </c>
    </row>
    <row r="171" spans="1:14" ht="15.75" customHeight="1" x14ac:dyDescent="0.2">
      <c r="A171" s="621" t="s">
        <v>766</v>
      </c>
      <c r="B171" s="672" t="s">
        <v>84</v>
      </c>
      <c r="C171" s="616"/>
      <c r="D171" s="616"/>
      <c r="E171" s="466"/>
      <c r="F171" s="616"/>
      <c r="G171" s="616"/>
      <c r="H171" s="569">
        <v>500</v>
      </c>
      <c r="I171" s="477"/>
      <c r="J171" s="616"/>
      <c r="K171" s="1671">
        <f>SUM(C171:J171)</f>
        <v>500</v>
      </c>
      <c r="L171" s="569">
        <v>500</v>
      </c>
    </row>
    <row r="172" spans="1:14" ht="12.75" customHeight="1" thickBot="1" x14ac:dyDescent="0.25">
      <c r="A172" s="1668" t="s">
        <v>638</v>
      </c>
      <c r="B172" s="1669" t="s">
        <v>492</v>
      </c>
      <c r="C172" s="616"/>
      <c r="D172" s="616"/>
      <c r="E172" s="1677">
        <f>SUM(E168,E169,E170,E171)</f>
        <v>0</v>
      </c>
      <c r="F172" s="616"/>
      <c r="G172" s="616"/>
      <c r="H172" s="1677">
        <f>SUM(H168,H169,H170,H171)</f>
        <v>102763</v>
      </c>
      <c r="I172" s="638"/>
      <c r="J172" s="616"/>
      <c r="K172" s="1677">
        <f>SUM(K168,K169,K170,K171)</f>
        <v>102763</v>
      </c>
      <c r="L172" s="1677">
        <f>SUM(L168,L169,L170,L171)</f>
        <v>102763</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102763</v>
      </c>
      <c r="I174" s="638"/>
      <c r="J174" s="616"/>
      <c r="K174" s="1677">
        <f>SUM(K160,K172,K173)</f>
        <v>102763</v>
      </c>
      <c r="L174" s="1677">
        <f>SUM(L160,L172,L173)</f>
        <v>102763</v>
      </c>
    </row>
    <row r="175" spans="1:14" ht="13.5" thickTop="1" x14ac:dyDescent="0.2">
      <c r="A175" s="2158" t="s">
        <v>996</v>
      </c>
      <c r="B175" s="2159"/>
      <c r="C175" s="616"/>
      <c r="D175" s="616"/>
      <c r="E175" s="616"/>
      <c r="F175" s="616"/>
      <c r="G175" s="616"/>
      <c r="H175" s="618"/>
      <c r="I175" s="616"/>
      <c r="J175" s="616"/>
      <c r="K175" s="1684">
        <f>'Revenues 9-14'!E268-'Expenditures 15-22'!K174</f>
        <v>-1684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f>63724+750+3117+930+7097</f>
        <v>75618</v>
      </c>
      <c r="D182" s="466">
        <f>64+17221+554+702+45+168</f>
        <v>18754</v>
      </c>
      <c r="E182" s="466">
        <f>7041+5245+945+3296+5258</f>
        <v>21785</v>
      </c>
      <c r="F182" s="466">
        <f>4207+19881</f>
        <v>24088</v>
      </c>
      <c r="G182" s="466"/>
      <c r="H182" s="466"/>
      <c r="I182" s="467"/>
      <c r="J182" s="467"/>
      <c r="K182" s="1671">
        <f>SUM(C182:J182)</f>
        <v>140245</v>
      </c>
      <c r="L182" s="466">
        <v>139528</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75618</v>
      </c>
      <c r="D184" s="1677">
        <f t="shared" ref="D184:J184" si="17">SUM(D180,D182,D183)</f>
        <v>18754</v>
      </c>
      <c r="E184" s="1677">
        <f t="shared" si="17"/>
        <v>21785</v>
      </c>
      <c r="F184" s="1677">
        <f t="shared" si="17"/>
        <v>24088</v>
      </c>
      <c r="G184" s="1677">
        <f t="shared" si="17"/>
        <v>0</v>
      </c>
      <c r="H184" s="1677">
        <f t="shared" si="17"/>
        <v>0</v>
      </c>
      <c r="I184" s="1677">
        <f t="shared" si="17"/>
        <v>0</v>
      </c>
      <c r="J184" s="1677">
        <f t="shared" si="17"/>
        <v>0</v>
      </c>
      <c r="K184" s="1677">
        <f>SUM(K180,K182,K183)</f>
        <v>140245</v>
      </c>
      <c r="L184" s="1677">
        <f>SUM(L180, L182:L183)</f>
        <v>139528</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75618</v>
      </c>
      <c r="D210" s="1670">
        <f>SUM(D184,D185)</f>
        <v>18754</v>
      </c>
      <c r="E210" s="1670">
        <f>SUM(E184,E185,E196)</f>
        <v>21785</v>
      </c>
      <c r="F210" s="1670">
        <f>SUM(F184,F185)</f>
        <v>24088</v>
      </c>
      <c r="G210" s="1670">
        <f>SUM(G184,G185)</f>
        <v>0</v>
      </c>
      <c r="H210" s="1670">
        <f>SUM(H184,H185,H196,H208,H209)</f>
        <v>0</v>
      </c>
      <c r="I210" s="1670">
        <f>SUM(I184,I185)</f>
        <v>0</v>
      </c>
      <c r="J210" s="1670">
        <f>SUM(J184,J185)</f>
        <v>0</v>
      </c>
      <c r="K210" s="1671">
        <f>SUM(K184,K185,K196,K208,K209)</f>
        <v>140245</v>
      </c>
      <c r="L210" s="1670">
        <f>SUM(L184,L185,L196,L208,L209)</f>
        <v>139528</v>
      </c>
    </row>
    <row r="211" spans="1:14" ht="13.5" thickTop="1" x14ac:dyDescent="0.2">
      <c r="A211" s="2158" t="s">
        <v>996</v>
      </c>
      <c r="B211" s="2159"/>
      <c r="C211" s="618"/>
      <c r="D211" s="618"/>
      <c r="E211" s="618"/>
      <c r="F211" s="618"/>
      <c r="G211" s="618"/>
      <c r="H211" s="618"/>
      <c r="I211" s="616"/>
      <c r="J211" s="616"/>
      <c r="K211" s="1684">
        <f>'Revenues 9-14'!F268-'Expenditures 15-22'!K210</f>
        <v>22306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23651</v>
      </c>
      <c r="E215" s="616"/>
      <c r="F215" s="616"/>
      <c r="G215" s="616"/>
      <c r="H215" s="616"/>
      <c r="I215" s="616"/>
      <c r="J215" s="616"/>
      <c r="K215" s="1671">
        <f>D215</f>
        <v>23651</v>
      </c>
      <c r="L215" s="466">
        <v>26128</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7523</v>
      </c>
      <c r="E217" s="616"/>
      <c r="F217" s="616"/>
      <c r="G217" s="616"/>
      <c r="H217" s="616"/>
      <c r="I217" s="616"/>
      <c r="J217" s="616"/>
      <c r="K217" s="1671">
        <f t="shared" si="19"/>
        <v>7523</v>
      </c>
      <c r="L217" s="466">
        <v>5900</v>
      </c>
    </row>
    <row r="218" spans="1:14" x14ac:dyDescent="0.2">
      <c r="A218" s="1504" t="s">
        <v>278</v>
      </c>
      <c r="B218" s="614" t="s">
        <v>968</v>
      </c>
      <c r="C218" s="616"/>
      <c r="D218" s="467">
        <v>4624</v>
      </c>
      <c r="E218" s="616"/>
      <c r="F218" s="616"/>
      <c r="G218" s="616"/>
      <c r="H218" s="616"/>
      <c r="I218" s="616"/>
      <c r="J218" s="616"/>
      <c r="K218" s="1671">
        <f t="shared" si="19"/>
        <v>4624</v>
      </c>
      <c r="L218" s="466">
        <v>4460</v>
      </c>
    </row>
    <row r="219" spans="1:14" x14ac:dyDescent="0.2">
      <c r="A219" s="1504" t="s">
        <v>279</v>
      </c>
      <c r="B219" s="614">
        <v>1250</v>
      </c>
      <c r="C219" s="616"/>
      <c r="D219" s="466">
        <v>174</v>
      </c>
      <c r="E219" s="616"/>
      <c r="F219" s="616"/>
      <c r="G219" s="616"/>
      <c r="H219" s="616"/>
      <c r="I219" s="616"/>
      <c r="J219" s="616"/>
      <c r="K219" s="1671">
        <f t="shared" si="19"/>
        <v>174</v>
      </c>
      <c r="L219" s="466">
        <v>174</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1864</v>
      </c>
      <c r="E223" s="616"/>
      <c r="F223" s="616"/>
      <c r="G223" s="616"/>
      <c r="H223" s="616"/>
      <c r="I223" s="616"/>
      <c r="J223" s="616"/>
      <c r="K223" s="1671">
        <f t="shared" si="19"/>
        <v>1864</v>
      </c>
      <c r="L223" s="466">
        <f>776+627+109+28+10</f>
        <v>1550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37836</v>
      </c>
      <c r="E229" s="616"/>
      <c r="F229" s="616"/>
      <c r="G229" s="616"/>
      <c r="H229" s="616"/>
      <c r="I229" s="616"/>
      <c r="J229" s="616"/>
      <c r="K229" s="1670">
        <f>SUM(K215:K228)</f>
        <v>37836</v>
      </c>
      <c r="L229" s="1670">
        <f>SUM(L215:L228)</f>
        <v>38212</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671</v>
      </c>
      <c r="E232" s="616"/>
      <c r="F232" s="616"/>
      <c r="G232" s="616"/>
      <c r="H232" s="616"/>
      <c r="I232" s="616"/>
      <c r="J232" s="616"/>
      <c r="K232" s="1671">
        <f t="shared" ref="K232:K237" si="20">D232</f>
        <v>671</v>
      </c>
      <c r="L232" s="466">
        <v>671</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3724</v>
      </c>
      <c r="E234" s="616"/>
      <c r="F234" s="616"/>
      <c r="G234" s="616"/>
      <c r="H234" s="616"/>
      <c r="I234" s="616"/>
      <c r="J234" s="616"/>
      <c r="K234" s="1671">
        <f t="shared" si="20"/>
        <v>3724</v>
      </c>
      <c r="L234" s="466">
        <v>5452</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823</v>
      </c>
      <c r="E236" s="616"/>
      <c r="F236" s="616"/>
      <c r="G236" s="616"/>
      <c r="H236" s="616"/>
      <c r="I236" s="616"/>
      <c r="J236" s="616"/>
      <c r="K236" s="1671">
        <f t="shared" si="20"/>
        <v>823</v>
      </c>
      <c r="L236" s="466">
        <v>823</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5218</v>
      </c>
      <c r="E238" s="616"/>
      <c r="F238" s="616"/>
      <c r="G238" s="616"/>
      <c r="H238" s="616"/>
      <c r="I238" s="616"/>
      <c r="J238" s="616"/>
      <c r="K238" s="1670">
        <f>SUM(K232:K237)</f>
        <v>5218</v>
      </c>
      <c r="L238" s="1670">
        <f>SUM(L232:L237)</f>
        <v>6946</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1137</v>
      </c>
      <c r="E246" s="616"/>
      <c r="F246" s="616"/>
      <c r="G246" s="616"/>
      <c r="H246" s="616"/>
      <c r="I246" s="616"/>
      <c r="J246" s="616"/>
      <c r="K246" s="1672">
        <f t="shared" ref="K246:K256" si="21">D246</f>
        <v>1137</v>
      </c>
      <c r="L246" s="466">
        <v>1130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1137</v>
      </c>
      <c r="E257" s="616"/>
      <c r="F257" s="616"/>
      <c r="G257" s="616"/>
      <c r="H257" s="616"/>
      <c r="I257" s="616"/>
      <c r="J257" s="616"/>
      <c r="K257" s="1670">
        <f>SUM(K245:K256)</f>
        <v>1137</v>
      </c>
      <c r="L257" s="1670">
        <f>SUM(L245:L256)</f>
        <v>1130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832</v>
      </c>
      <c r="E259" s="616"/>
      <c r="F259" s="616"/>
      <c r="G259" s="616"/>
      <c r="H259" s="616"/>
      <c r="I259" s="616"/>
      <c r="J259" s="616"/>
      <c r="K259" s="1672">
        <f>D259</f>
        <v>832</v>
      </c>
      <c r="L259" s="481">
        <v>827</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832</v>
      </c>
      <c r="E261" s="616"/>
      <c r="F261" s="616"/>
      <c r="G261" s="616"/>
      <c r="H261" s="616"/>
      <c r="I261" s="616"/>
      <c r="J261" s="616"/>
      <c r="K261" s="1670">
        <f>SUM(K259:K260)</f>
        <v>832</v>
      </c>
      <c r="L261" s="1670">
        <f>SUM(L259:L260)</f>
        <v>827</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7063</v>
      </c>
      <c r="E264" s="616"/>
      <c r="F264" s="616"/>
      <c r="G264" s="616"/>
      <c r="H264" s="616"/>
      <c r="I264" s="616"/>
      <c r="J264" s="616"/>
      <c r="K264" s="1672">
        <f t="shared" ref="K264:K269" si="22">D264</f>
        <v>7063</v>
      </c>
      <c r="L264" s="466">
        <v>6680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10020</v>
      </c>
      <c r="E266" s="616"/>
      <c r="F266" s="616"/>
      <c r="G266" s="616"/>
      <c r="H266" s="616"/>
      <c r="I266" s="616"/>
      <c r="J266" s="616"/>
      <c r="K266" s="1672">
        <f t="shared" si="22"/>
        <v>10020</v>
      </c>
      <c r="L266" s="466">
        <v>9905</v>
      </c>
    </row>
    <row r="267" spans="1:14" x14ac:dyDescent="0.2">
      <c r="A267" s="1504" t="s">
        <v>953</v>
      </c>
      <c r="B267" s="614">
        <v>2550</v>
      </c>
      <c r="C267" s="616"/>
      <c r="D267" s="466">
        <v>11618</v>
      </c>
      <c r="E267" s="616"/>
      <c r="F267" s="616"/>
      <c r="G267" s="616"/>
      <c r="H267" s="616"/>
      <c r="I267" s="616"/>
      <c r="J267" s="616"/>
      <c r="K267" s="1672">
        <f t="shared" si="22"/>
        <v>11618</v>
      </c>
      <c r="L267" s="466">
        <f>13305+103</f>
        <v>13408</v>
      </c>
    </row>
    <row r="268" spans="1:14" x14ac:dyDescent="0.2">
      <c r="A268" s="1504" t="s">
        <v>100</v>
      </c>
      <c r="B268" s="614">
        <v>2560</v>
      </c>
      <c r="C268" s="616"/>
      <c r="D268" s="466">
        <v>9316</v>
      </c>
      <c r="E268" s="616"/>
      <c r="F268" s="616"/>
      <c r="G268" s="616"/>
      <c r="H268" s="616"/>
      <c r="I268" s="616"/>
      <c r="J268" s="616"/>
      <c r="K268" s="1672">
        <f t="shared" si="22"/>
        <v>9316</v>
      </c>
      <c r="L268" s="466">
        <v>9172</v>
      </c>
    </row>
    <row r="269" spans="1:14" x14ac:dyDescent="0.2">
      <c r="A269" s="1504" t="s">
        <v>101</v>
      </c>
      <c r="B269" s="614">
        <v>2570</v>
      </c>
      <c r="C269" s="616"/>
      <c r="D269" s="466">
        <v>5458</v>
      </c>
      <c r="E269" s="616"/>
      <c r="F269" s="616"/>
      <c r="G269" s="616"/>
      <c r="H269" s="616"/>
      <c r="I269" s="616"/>
      <c r="J269" s="616"/>
      <c r="K269" s="1672">
        <f t="shared" si="22"/>
        <v>5458</v>
      </c>
      <c r="L269" s="466">
        <v>5373</v>
      </c>
    </row>
    <row r="270" spans="1:14" ht="12.75" customHeight="1" thickBot="1" x14ac:dyDescent="0.25">
      <c r="A270" s="1668" t="s">
        <v>719</v>
      </c>
      <c r="B270" s="1675" t="s">
        <v>35</v>
      </c>
      <c r="C270" s="616"/>
      <c r="D270" s="1670">
        <f>SUM(D263:D269)</f>
        <v>43475</v>
      </c>
      <c r="E270" s="616"/>
      <c r="F270" s="616"/>
      <c r="G270" s="616"/>
      <c r="H270" s="616"/>
      <c r="I270" s="616"/>
      <c r="J270" s="616"/>
      <c r="K270" s="1670">
        <f>SUM(K263:K269)</f>
        <v>43475</v>
      </c>
      <c r="L270" s="1670">
        <f>SUM(L263:L269)</f>
        <v>44538</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50662</v>
      </c>
      <c r="E279" s="616"/>
      <c r="F279" s="616"/>
      <c r="G279" s="616"/>
      <c r="H279" s="616"/>
      <c r="I279" s="616"/>
      <c r="J279" s="616"/>
      <c r="K279" s="1677">
        <f>SUM(K238,K243,K257,K261,K270,K277,K278)</f>
        <v>50662</v>
      </c>
      <c r="L279" s="1677">
        <f>SUM(L238,L243,L257,L261,L270,L277,L278)</f>
        <v>53441</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88498</v>
      </c>
      <c r="E295" s="616"/>
      <c r="F295" s="616"/>
      <c r="G295" s="616"/>
      <c r="H295" s="1670">
        <f>H293</f>
        <v>0</v>
      </c>
      <c r="I295" s="616"/>
      <c r="J295" s="616"/>
      <c r="K295" s="1670">
        <f>SUM(K229,K279,K280,K285,K293,K294)</f>
        <v>88498</v>
      </c>
      <c r="L295" s="1670">
        <f>SUM(L229,L279,L280,L285,L293,L294)</f>
        <v>91653</v>
      </c>
    </row>
    <row r="296" spans="1:14" ht="13.5" thickTop="1" x14ac:dyDescent="0.2">
      <c r="A296" s="2158" t="s">
        <v>996</v>
      </c>
      <c r="B296" s="2159"/>
      <c r="C296" s="616"/>
      <c r="D296" s="618"/>
      <c r="E296" s="616"/>
      <c r="F296" s="616"/>
      <c r="G296" s="616"/>
      <c r="H296" s="687"/>
      <c r="I296" s="616"/>
      <c r="J296" s="616"/>
      <c r="K296" s="1684">
        <f>'Revenues 9-14'!G268-'Expenditures 15-22'!K295</f>
        <v>11754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10975</v>
      </c>
      <c r="F320" s="467"/>
      <c r="G320" s="467"/>
      <c r="H320" s="467"/>
      <c r="I320" s="467"/>
      <c r="J320" s="467"/>
      <c r="K320" s="1671">
        <f t="shared" ref="K320:K327" si="24">SUM(C320:J320)</f>
        <v>10975</v>
      </c>
      <c r="L320" s="467">
        <v>11185</v>
      </c>
      <c r="M320" s="665"/>
      <c r="N320" s="665"/>
    </row>
    <row r="321" spans="1:14" s="674" customFormat="1" x14ac:dyDescent="0.2">
      <c r="A321" s="1519" t="s">
        <v>300</v>
      </c>
      <c r="B321" s="697" t="s">
        <v>283</v>
      </c>
      <c r="C321" s="467"/>
      <c r="D321" s="467"/>
      <c r="E321" s="467">
        <v>88</v>
      </c>
      <c r="F321" s="467"/>
      <c r="G321" s="467"/>
      <c r="H321" s="467"/>
      <c r="I321" s="467"/>
      <c r="J321" s="467"/>
      <c r="K321" s="1671">
        <f t="shared" si="24"/>
        <v>88</v>
      </c>
      <c r="L321" s="467">
        <v>100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v>55000</v>
      </c>
      <c r="D323" s="467"/>
      <c r="E323" s="467"/>
      <c r="F323" s="467"/>
      <c r="G323" s="467"/>
      <c r="H323" s="467"/>
      <c r="I323" s="467"/>
      <c r="J323" s="467"/>
      <c r="K323" s="1671">
        <f t="shared" si="24"/>
        <v>55000</v>
      </c>
      <c r="L323" s="467">
        <v>55280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1881</v>
      </c>
      <c r="F327" s="467"/>
      <c r="G327" s="467"/>
      <c r="H327" s="467"/>
      <c r="I327" s="467"/>
      <c r="J327" s="467"/>
      <c r="K327" s="1671">
        <f t="shared" si="24"/>
        <v>1881</v>
      </c>
      <c r="L327" s="467">
        <v>3000</v>
      </c>
      <c r="M327" s="665"/>
      <c r="N327" s="665"/>
    </row>
    <row r="328" spans="1:14" s="674" customFormat="1" x14ac:dyDescent="0.2">
      <c r="A328" s="1520" t="s">
        <v>472</v>
      </c>
      <c r="B328" s="690" t="s">
        <v>1132</v>
      </c>
      <c r="C328" s="474"/>
      <c r="D328" s="474"/>
      <c r="E328" s="474">
        <v>22556</v>
      </c>
      <c r="F328" s="474"/>
      <c r="G328" s="474"/>
      <c r="H328" s="474"/>
      <c r="I328" s="474"/>
      <c r="J328" s="474"/>
      <c r="K328" s="1699">
        <f>SUM(C328:J328)</f>
        <v>22556</v>
      </c>
      <c r="L328" s="474">
        <v>22556</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55000</v>
      </c>
      <c r="D330" s="1670">
        <f t="shared" ref="D330:J330" si="25">SUM(D319:D329)</f>
        <v>0</v>
      </c>
      <c r="E330" s="1670">
        <f t="shared" si="25"/>
        <v>35500</v>
      </c>
      <c r="F330" s="1670">
        <f t="shared" si="25"/>
        <v>0</v>
      </c>
      <c r="G330" s="1670">
        <f t="shared" si="25"/>
        <v>0</v>
      </c>
      <c r="H330" s="1670">
        <f t="shared" si="25"/>
        <v>0</v>
      </c>
      <c r="I330" s="1670">
        <f t="shared" si="25"/>
        <v>0</v>
      </c>
      <c r="J330" s="1670">
        <f t="shared" si="25"/>
        <v>0</v>
      </c>
      <c r="K330" s="1670">
        <f>SUM(K319:K329)</f>
        <v>90500</v>
      </c>
      <c r="L330" s="1670">
        <f>SUM(L319:L329)</f>
        <v>92121</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55000</v>
      </c>
      <c r="D342" s="1670">
        <f>SUM(D330)</f>
        <v>0</v>
      </c>
      <c r="E342" s="1670">
        <f>SUM(E330)</f>
        <v>35500</v>
      </c>
      <c r="F342" s="1670">
        <f>SUM(F330)</f>
        <v>0</v>
      </c>
      <c r="G342" s="1670">
        <f>SUM(G330)</f>
        <v>0</v>
      </c>
      <c r="H342" s="1670">
        <f>SUM(H330,H334,H340)</f>
        <v>0</v>
      </c>
      <c r="I342" s="1670">
        <f>SUM(I330)</f>
        <v>0</v>
      </c>
      <c r="J342" s="1670">
        <f>SUM(J330)</f>
        <v>0</v>
      </c>
      <c r="K342" s="1670">
        <f>SUM(K330,K334,K340)</f>
        <v>90500</v>
      </c>
      <c r="L342" s="1677">
        <f>SUM(L330,L334,L340,L341)</f>
        <v>92121</v>
      </c>
    </row>
    <row r="343" spans="1:14" ht="12.75" customHeight="1" thickTop="1" x14ac:dyDescent="0.2">
      <c r="A343" s="2171" t="s">
        <v>996</v>
      </c>
      <c r="B343" s="2172"/>
      <c r="C343" s="616"/>
      <c r="D343" s="616"/>
      <c r="E343" s="616"/>
      <c r="F343" s="616"/>
      <c r="G343" s="616"/>
      <c r="H343" s="616"/>
      <c r="I343" s="616"/>
      <c r="J343" s="616"/>
      <c r="K343" s="1684">
        <f>'Revenues 9-14'!J268-'Expenditures 15-22'!K342</f>
        <v>-9481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2355</v>
      </c>
      <c r="F348" s="466">
        <v>381</v>
      </c>
      <c r="G348" s="466"/>
      <c r="H348" s="466"/>
      <c r="I348" s="467"/>
      <c r="J348" s="467"/>
      <c r="K348" s="1671">
        <f>SUM(C348:J348)</f>
        <v>2736</v>
      </c>
      <c r="L348" s="466">
        <v>12000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2355</v>
      </c>
      <c r="F350" s="1670">
        <f t="shared" si="26"/>
        <v>381</v>
      </c>
      <c r="G350" s="1670">
        <f t="shared" si="26"/>
        <v>0</v>
      </c>
      <c r="H350" s="1670">
        <f t="shared" si="26"/>
        <v>0</v>
      </c>
      <c r="I350" s="1670">
        <f t="shared" si="26"/>
        <v>0</v>
      </c>
      <c r="J350" s="1670">
        <f t="shared" si="26"/>
        <v>0</v>
      </c>
      <c r="K350" s="1670">
        <f t="shared" si="26"/>
        <v>2736</v>
      </c>
      <c r="L350" s="1670">
        <f t="shared" si="26"/>
        <v>12000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2355</v>
      </c>
      <c r="F352" s="1670">
        <f t="shared" si="27"/>
        <v>381</v>
      </c>
      <c r="G352" s="1670">
        <f t="shared" si="27"/>
        <v>0</v>
      </c>
      <c r="H352" s="1670">
        <f t="shared" si="27"/>
        <v>0</v>
      </c>
      <c r="I352" s="1670">
        <f t="shared" si="27"/>
        <v>0</v>
      </c>
      <c r="J352" s="1670">
        <f t="shared" si="27"/>
        <v>0</v>
      </c>
      <c r="K352" s="1670">
        <f t="shared" si="27"/>
        <v>2736</v>
      </c>
      <c r="L352" s="1670">
        <f t="shared" si="27"/>
        <v>12000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2355</v>
      </c>
      <c r="F367" s="1670">
        <f t="shared" si="28"/>
        <v>381</v>
      </c>
      <c r="G367" s="1670">
        <f t="shared" si="28"/>
        <v>0</v>
      </c>
      <c r="H367" s="1670">
        <f t="shared" si="28"/>
        <v>0</v>
      </c>
      <c r="I367" s="1670">
        <f t="shared" si="28"/>
        <v>0</v>
      </c>
      <c r="J367" s="1670">
        <f t="shared" si="28"/>
        <v>0</v>
      </c>
      <c r="K367" s="1670">
        <f t="shared" si="28"/>
        <v>2736</v>
      </c>
      <c r="L367" s="1670">
        <f t="shared" si="28"/>
        <v>12000</v>
      </c>
    </row>
    <row r="368" spans="1:14" ht="13.5" thickTop="1" x14ac:dyDescent="0.2">
      <c r="A368" s="2158" t="s">
        <v>996</v>
      </c>
      <c r="B368" s="2159"/>
      <c r="C368" s="654"/>
      <c r="D368" s="654"/>
      <c r="E368" s="626"/>
      <c r="F368" s="626"/>
      <c r="G368" s="626"/>
      <c r="H368" s="626"/>
      <c r="I368" s="626"/>
      <c r="J368" s="623"/>
      <c r="K368" s="1671">
        <f>'Revenues 9-14'!K268-'Expenditures 15-22'!K367</f>
        <v>7435</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J37" sqref="J3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186661</v>
      </c>
      <c r="C4" s="1524"/>
      <c r="D4" s="1752">
        <f>B4-C4</f>
        <v>186661</v>
      </c>
      <c r="E4" s="1524"/>
      <c r="F4" s="1752">
        <f>E4-C4</f>
        <v>0</v>
      </c>
    </row>
    <row r="5" spans="1:6" ht="13.7" customHeight="1" x14ac:dyDescent="0.2">
      <c r="A5" s="715" t="s">
        <v>870</v>
      </c>
      <c r="B5" s="1750">
        <f>'Revenues 9-14'!D5</f>
        <v>50764</v>
      </c>
      <c r="C5" s="585"/>
      <c r="D5" s="1753">
        <f t="shared" ref="D5:D18" si="0">B5-C5</f>
        <v>50764</v>
      </c>
      <c r="E5" s="585"/>
      <c r="F5" s="1753">
        <f>E5-C5</f>
        <v>0</v>
      </c>
    </row>
    <row r="6" spans="1:6" ht="13.7" customHeight="1" x14ac:dyDescent="0.2">
      <c r="A6" s="715" t="s">
        <v>411</v>
      </c>
      <c r="B6" s="1750">
        <f>'Revenues 9-14'!E5</f>
        <v>101036</v>
      </c>
      <c r="C6" s="585"/>
      <c r="D6" s="1753">
        <f t="shared" si="0"/>
        <v>101036</v>
      </c>
      <c r="E6" s="585"/>
      <c r="F6" s="1753">
        <f t="shared" ref="F6:F18" si="1">E6-C6</f>
        <v>0</v>
      </c>
    </row>
    <row r="7" spans="1:6" ht="13.7" customHeight="1" x14ac:dyDescent="0.2">
      <c r="A7" s="715" t="s">
        <v>155</v>
      </c>
      <c r="B7" s="1750">
        <f>'Revenues 9-14'!F5</f>
        <v>24400</v>
      </c>
      <c r="C7" s="585"/>
      <c r="D7" s="1753">
        <f t="shared" si="0"/>
        <v>24400</v>
      </c>
      <c r="E7" s="585"/>
      <c r="F7" s="1753">
        <f t="shared" si="1"/>
        <v>0</v>
      </c>
    </row>
    <row r="8" spans="1:6" ht="13.7" customHeight="1" x14ac:dyDescent="0.2">
      <c r="A8" s="715" t="s">
        <v>1179</v>
      </c>
      <c r="B8" s="1750">
        <f>'Revenues 9-14'!G5</f>
        <v>45678</v>
      </c>
      <c r="C8" s="585"/>
      <c r="D8" s="1753">
        <f t="shared" si="0"/>
        <v>45678</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10167</v>
      </c>
      <c r="C10" s="585"/>
      <c r="D10" s="1753">
        <f t="shared" si="0"/>
        <v>10167</v>
      </c>
      <c r="E10" s="585"/>
      <c r="F10" s="1753">
        <f t="shared" si="1"/>
        <v>0</v>
      </c>
    </row>
    <row r="11" spans="1:6" x14ac:dyDescent="0.2">
      <c r="A11" s="715" t="s">
        <v>409</v>
      </c>
      <c r="B11" s="1750">
        <f>'Revenues 9-14'!J5</f>
        <v>80985</v>
      </c>
      <c r="C11" s="585"/>
      <c r="D11" s="1753">
        <f t="shared" si="0"/>
        <v>80985</v>
      </c>
      <c r="E11" s="585"/>
      <c r="F11" s="1753">
        <f t="shared" si="1"/>
        <v>0</v>
      </c>
    </row>
    <row r="12" spans="1:6" ht="13.7" customHeight="1" x14ac:dyDescent="0.2">
      <c r="A12" s="715" t="s">
        <v>157</v>
      </c>
      <c r="B12" s="1750">
        <f>'Revenues 9-14'!K5</f>
        <v>10167</v>
      </c>
      <c r="C12" s="585"/>
      <c r="D12" s="1753">
        <f t="shared" si="0"/>
        <v>10167</v>
      </c>
      <c r="E12" s="585"/>
      <c r="F12" s="1753">
        <f t="shared" si="1"/>
        <v>0</v>
      </c>
    </row>
    <row r="13" spans="1:6" ht="13.7" customHeight="1" x14ac:dyDescent="0.2">
      <c r="A13" s="715" t="s">
        <v>936</v>
      </c>
      <c r="B13" s="1750">
        <f>SUM('Revenues 9-14'!C6:D6)</f>
        <v>10167</v>
      </c>
      <c r="C13" s="585"/>
      <c r="D13" s="1753">
        <f t="shared" si="0"/>
        <v>10167</v>
      </c>
      <c r="E13" s="585"/>
      <c r="F13" s="1753">
        <f t="shared" si="1"/>
        <v>0</v>
      </c>
    </row>
    <row r="14" spans="1:6" ht="13.7" customHeight="1" x14ac:dyDescent="0.2">
      <c r="A14" s="715" t="s">
        <v>410</v>
      </c>
      <c r="B14" s="1750">
        <f>SUM('Revenues 9-14'!C7:D7,'Revenues 9-14'!F7:H7)</f>
        <v>4068</v>
      </c>
      <c r="C14" s="585"/>
      <c r="D14" s="1753">
        <f t="shared" si="0"/>
        <v>4068</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45644</v>
      </c>
      <c r="C16" s="585"/>
      <c r="D16" s="1753">
        <f t="shared" si="0"/>
        <v>45644</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569737</v>
      </c>
      <c r="C19" s="1751">
        <f>SUM(C4:C18)</f>
        <v>0</v>
      </c>
      <c r="D19" s="1751">
        <f>SUM(D4:D18)</f>
        <v>569737</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J37" sqref="J3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5"/>
      <c r="C1" s="721"/>
    </row>
    <row r="2" spans="1:7" ht="33.75" x14ac:dyDescent="0.2">
      <c r="A2" s="2212" t="s">
        <v>1802</v>
      </c>
      <c r="B2" s="2213"/>
      <c r="C2" s="1884" t="s">
        <v>1954</v>
      </c>
      <c r="D2" s="723" t="s">
        <v>1955</v>
      </c>
      <c r="E2" s="723" t="s">
        <v>1956</v>
      </c>
      <c r="F2" s="1884" t="s">
        <v>1957</v>
      </c>
    </row>
    <row r="3" spans="1:7" ht="15.75" customHeight="1" x14ac:dyDescent="0.2">
      <c r="A3" s="2214" t="s">
        <v>1114</v>
      </c>
      <c r="B3" s="2215"/>
      <c r="C3" s="2208"/>
      <c r="D3" s="2209"/>
      <c r="E3" s="2209"/>
      <c r="F3" s="2210"/>
    </row>
    <row r="4" spans="1:7" ht="12.75" customHeight="1" thickBot="1" x14ac:dyDescent="0.25">
      <c r="A4" s="2202" t="s">
        <v>630</v>
      </c>
      <c r="B4" s="2203"/>
      <c r="C4" s="581"/>
      <c r="D4" s="581"/>
      <c r="E4" s="581"/>
      <c r="F4" s="1755">
        <f>SUM(C4+D4)-E4</f>
        <v>0</v>
      </c>
    </row>
    <row r="5" spans="1:7" ht="15.75" customHeight="1" thickTop="1" x14ac:dyDescent="0.2">
      <c r="A5" s="2206" t="s">
        <v>1110</v>
      </c>
      <c r="B5" s="2201"/>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8" t="s">
        <v>631</v>
      </c>
      <c r="B15" s="2199"/>
      <c r="C15" s="1755">
        <f>SUM(C6:C14)</f>
        <v>0</v>
      </c>
      <c r="D15" s="1755">
        <f>SUM(D6:D14)</f>
        <v>0</v>
      </c>
      <c r="E15" s="1755">
        <f>SUM(E6:E14)</f>
        <v>0</v>
      </c>
      <c r="F15" s="1755">
        <f>SUM(F6:F14)</f>
        <v>0</v>
      </c>
      <c r="G15" s="552"/>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6"/>
      <c r="D17" s="585"/>
      <c r="E17" s="726"/>
      <c r="F17" s="1755">
        <f>SUM(C17+D17)-E17</f>
        <v>0</v>
      </c>
    </row>
    <row r="18" spans="1:11" ht="12.75" customHeight="1" thickTop="1" thickBot="1" x14ac:dyDescent="0.25">
      <c r="A18" s="2193" t="s">
        <v>6</v>
      </c>
      <c r="B18" s="2194"/>
      <c r="C18" s="726"/>
      <c r="D18" s="585"/>
      <c r="E18" s="726"/>
      <c r="F18" s="1755">
        <f>SUM(C18+D18)-E18</f>
        <v>0</v>
      </c>
    </row>
    <row r="19" spans="1:11" ht="12.75" customHeight="1" thickTop="1" thickBot="1" x14ac:dyDescent="0.25">
      <c r="A19" s="2193" t="s">
        <v>388</v>
      </c>
      <c r="B19" s="2194"/>
      <c r="C19" s="726"/>
      <c r="D19" s="585"/>
      <c r="E19" s="726"/>
      <c r="F19" s="1755">
        <f>SUM(C19+D19)-E19</f>
        <v>0</v>
      </c>
    </row>
    <row r="20" spans="1:11" ht="12.75" customHeight="1" thickTop="1" thickBot="1" x14ac:dyDescent="0.25">
      <c r="A20" s="2193" t="s">
        <v>448</v>
      </c>
      <c r="B20" s="2194"/>
      <c r="C20" s="726"/>
      <c r="D20" s="585"/>
      <c r="E20" s="726"/>
      <c r="F20" s="1755">
        <f>SUM(C20+D20)-E20</f>
        <v>0</v>
      </c>
    </row>
    <row r="21" spans="1:11" ht="14.25" thickTop="1" thickBot="1" x14ac:dyDescent="0.25">
      <c r="A21" s="2198" t="s">
        <v>632</v>
      </c>
      <c r="B21" s="2199"/>
      <c r="C21" s="1755">
        <f>SUM(C17:C20)</f>
        <v>0</v>
      </c>
      <c r="D21" s="1755">
        <f>SUM(D17:D20)</f>
        <v>0</v>
      </c>
      <c r="E21" s="1755">
        <f>SUM(E17:E20)</f>
        <v>0</v>
      </c>
      <c r="F21" s="1755">
        <f>SUM(F17:F20)</f>
        <v>0</v>
      </c>
      <c r="G21" s="552"/>
    </row>
    <row r="22" spans="1:11" ht="15.75" customHeight="1" thickTop="1" x14ac:dyDescent="0.2">
      <c r="A22" s="2200" t="s">
        <v>1112</v>
      </c>
      <c r="B22" s="2201"/>
      <c r="C22" s="2195"/>
      <c r="D22" s="2196"/>
      <c r="E22" s="2196"/>
      <c r="F22" s="2197"/>
    </row>
    <row r="23" spans="1:11" ht="13.5" thickBot="1" x14ac:dyDescent="0.25">
      <c r="A23" s="2202" t="s">
        <v>633</v>
      </c>
      <c r="B23" s="2203"/>
      <c r="C23" s="581"/>
      <c r="D23" s="581"/>
      <c r="E23" s="581"/>
      <c r="F23" s="1755">
        <f>SUM(C23+D23)-E23</f>
        <v>0</v>
      </c>
      <c r="G23" s="552"/>
    </row>
    <row r="24" spans="1:11" ht="15.75" customHeight="1" thickTop="1" x14ac:dyDescent="0.2">
      <c r="A24" s="2200" t="s">
        <v>1113</v>
      </c>
      <c r="B24" s="2201"/>
      <c r="C24" s="2195"/>
      <c r="D24" s="2196"/>
      <c r="E24" s="2196"/>
      <c r="F24" s="2197"/>
    </row>
    <row r="25" spans="1:11" ht="13.5" thickBot="1" x14ac:dyDescent="0.25">
      <c r="A25" s="2202" t="s">
        <v>634</v>
      </c>
      <c r="B25" s="2203"/>
      <c r="C25" s="581"/>
      <c r="D25" s="581"/>
      <c r="E25" s="581"/>
      <c r="F25" s="1755">
        <f>SUM(C25+D25)-E25</f>
        <v>0</v>
      </c>
      <c r="G25" s="552"/>
    </row>
    <row r="26" spans="1:11" ht="15.75" customHeight="1" thickTop="1" x14ac:dyDescent="0.2">
      <c r="A26" s="2206" t="s">
        <v>657</v>
      </c>
      <c r="B26" s="2201"/>
      <c r="C26" s="727"/>
      <c r="D26" s="727"/>
      <c r="E26" s="727"/>
      <c r="F26" s="728"/>
    </row>
    <row r="27" spans="1:11" ht="13.5" thickBot="1" x14ac:dyDescent="0.25">
      <c r="A27" s="2198" t="s">
        <v>1070</v>
      </c>
      <c r="B27" s="2199"/>
      <c r="C27" s="585"/>
      <c r="D27" s="585"/>
      <c r="E27" s="585"/>
      <c r="F27" s="1755">
        <f>SUM(C27+D27)-E27</f>
        <v>0</v>
      </c>
      <c r="G27" s="552"/>
    </row>
    <row r="28" spans="1:11" ht="7.5" customHeight="1" thickTop="1" x14ac:dyDescent="0.2">
      <c r="A28" s="593"/>
    </row>
    <row r="29" spans="1:11" ht="23.25" customHeight="1" x14ac:dyDescent="0.2">
      <c r="A29" s="2204" t="s">
        <v>582</v>
      </c>
      <c r="B29" s="2205"/>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2080</v>
      </c>
      <c r="B31" s="733">
        <v>42615</v>
      </c>
      <c r="C31" s="734">
        <v>345000</v>
      </c>
      <c r="D31" s="735">
        <v>3</v>
      </c>
      <c r="E31" s="734">
        <v>255000</v>
      </c>
      <c r="F31" s="734"/>
      <c r="G31" s="734"/>
      <c r="H31" s="734">
        <v>95000</v>
      </c>
      <c r="I31" s="1756">
        <f>((E31+F31)-H31)+G31</f>
        <v>160000</v>
      </c>
      <c r="J31" s="734">
        <v>133511</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345000</v>
      </c>
      <c r="D49" s="745"/>
      <c r="E49" s="1756">
        <f t="shared" ref="E49:J49" si="2">SUM(E31:E48)</f>
        <v>255000</v>
      </c>
      <c r="F49" s="1756">
        <f t="shared" si="2"/>
        <v>0</v>
      </c>
      <c r="G49" s="1756">
        <f t="shared" si="2"/>
        <v>0</v>
      </c>
      <c r="H49" s="1756">
        <f t="shared" si="2"/>
        <v>95000</v>
      </c>
      <c r="I49" s="1756">
        <f t="shared" si="2"/>
        <v>160000</v>
      </c>
      <c r="J49" s="1756">
        <f t="shared" si="2"/>
        <v>133511</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7" t="s">
        <v>584</v>
      </c>
      <c r="C52" s="2188"/>
      <c r="D52" s="2188"/>
      <c r="E52" s="749" t="s">
        <v>845</v>
      </c>
      <c r="F52" s="2189"/>
      <c r="G52" s="2190"/>
      <c r="H52" s="736"/>
      <c r="I52" s="736"/>
      <c r="J52" s="746"/>
    </row>
    <row r="53" spans="1:11" ht="11.25" customHeight="1" x14ac:dyDescent="0.2">
      <c r="A53" s="750" t="s">
        <v>913</v>
      </c>
      <c r="B53" s="751" t="s">
        <v>951</v>
      </c>
      <c r="C53" s="746"/>
      <c r="D53" s="737"/>
      <c r="E53" s="749" t="s">
        <v>497</v>
      </c>
      <c r="F53" s="2191"/>
      <c r="G53" s="2192"/>
      <c r="H53" s="736"/>
      <c r="I53" s="736"/>
      <c r="J53" s="746"/>
    </row>
    <row r="54" spans="1:11" ht="11.25" customHeight="1" x14ac:dyDescent="0.2">
      <c r="A54" s="752" t="s">
        <v>914</v>
      </c>
      <c r="B54" s="747" t="s">
        <v>952</v>
      </c>
      <c r="C54" s="746"/>
      <c r="D54" s="737"/>
      <c r="E54" s="749" t="s">
        <v>498</v>
      </c>
      <c r="F54" s="2191"/>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J37" sqref="J3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856</v>
      </c>
      <c r="B1" s="2217"/>
      <c r="C1" s="2217"/>
      <c r="D1" s="2217"/>
      <c r="E1" s="2217"/>
      <c r="F1" s="2217"/>
      <c r="G1" s="2218"/>
      <c r="H1" s="1530"/>
      <c r="I1" s="760"/>
      <c r="J1" s="433"/>
    </row>
    <row r="2" spans="1:11" ht="26.25" x14ac:dyDescent="0.2">
      <c r="A2" s="2235" t="s">
        <v>1677</v>
      </c>
      <c r="B2" s="2236"/>
      <c r="C2" s="2236"/>
      <c r="D2" s="2236"/>
      <c r="E2" s="2237"/>
      <c r="F2" s="761" t="s">
        <v>904</v>
      </c>
      <c r="G2" s="762" t="s">
        <v>1674</v>
      </c>
      <c r="H2" s="762" t="s">
        <v>410</v>
      </c>
      <c r="I2" s="762" t="s">
        <v>1158</v>
      </c>
      <c r="J2" s="762" t="s">
        <v>1812</v>
      </c>
      <c r="K2" s="762" t="s">
        <v>138</v>
      </c>
    </row>
    <row r="3" spans="1:11" x14ac:dyDescent="0.2">
      <c r="A3" s="2238" t="s">
        <v>1962</v>
      </c>
      <c r="B3" s="2239"/>
      <c r="C3" s="2239"/>
      <c r="D3" s="2239"/>
      <c r="E3" s="2240"/>
      <c r="F3" s="763"/>
      <c r="G3" s="764"/>
      <c r="H3" s="764"/>
      <c r="I3" s="764"/>
      <c r="J3" s="765"/>
      <c r="K3" s="765"/>
    </row>
    <row r="4" spans="1:11" x14ac:dyDescent="0.2">
      <c r="A4" s="2241" t="s">
        <v>369</v>
      </c>
      <c r="B4" s="2242"/>
      <c r="C4" s="2242"/>
      <c r="D4" s="2242"/>
      <c r="E4" s="2188"/>
      <c r="F4" s="766"/>
      <c r="G4" s="767"/>
      <c r="H4" s="768"/>
      <c r="I4" s="767"/>
      <c r="J4" s="769"/>
      <c r="K4" s="769"/>
    </row>
    <row r="5" spans="1:11" x14ac:dyDescent="0.2">
      <c r="A5" s="2219" t="s">
        <v>1069</v>
      </c>
      <c r="B5" s="2220"/>
      <c r="C5" s="2220"/>
      <c r="D5" s="2220"/>
      <c r="E5" s="2221"/>
      <c r="F5" s="770" t="s">
        <v>848</v>
      </c>
      <c r="G5" s="771"/>
      <c r="H5" s="764">
        <v>4068</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529</v>
      </c>
      <c r="K8" s="769"/>
    </row>
    <row r="9" spans="1:11" x14ac:dyDescent="0.2">
      <c r="A9" s="778" t="s">
        <v>138</v>
      </c>
      <c r="B9" s="779"/>
      <c r="C9" s="779"/>
      <c r="D9" s="779"/>
      <c r="E9" s="780"/>
      <c r="F9" s="777" t="s">
        <v>853</v>
      </c>
      <c r="G9" s="782"/>
      <c r="H9" s="771"/>
      <c r="I9" s="771"/>
      <c r="J9" s="781"/>
      <c r="K9" s="765"/>
    </row>
    <row r="10" spans="1:11" x14ac:dyDescent="0.2">
      <c r="A10" s="2219" t="s">
        <v>1813</v>
      </c>
      <c r="B10" s="2220"/>
      <c r="C10" s="2220"/>
      <c r="D10" s="2220"/>
      <c r="E10" s="2222"/>
      <c r="F10" s="783" t="s">
        <v>862</v>
      </c>
      <c r="G10" s="782"/>
      <c r="H10" s="784"/>
      <c r="I10" s="764"/>
      <c r="J10" s="765"/>
      <c r="K10" s="765"/>
    </row>
    <row r="11" spans="1:11" x14ac:dyDescent="0.2">
      <c r="A11" s="2219" t="s">
        <v>160</v>
      </c>
      <c r="B11" s="2220"/>
      <c r="C11" s="2220"/>
      <c r="D11" s="2220"/>
      <c r="E11" s="2221"/>
      <c r="F11" s="770" t="s">
        <v>852</v>
      </c>
      <c r="G11" s="771"/>
      <c r="H11" s="764"/>
      <c r="I11" s="764"/>
      <c r="J11" s="765"/>
      <c r="K11" s="773"/>
    </row>
    <row r="12" spans="1:11" ht="13.5" thickBot="1" x14ac:dyDescent="0.25">
      <c r="A12" s="2246" t="s">
        <v>905</v>
      </c>
      <c r="B12" s="2247"/>
      <c r="C12" s="2247"/>
      <c r="D12" s="2247"/>
      <c r="E12" s="2248"/>
      <c r="F12" s="1757"/>
      <c r="G12" s="1758">
        <f>SUM(G5:G11)</f>
        <v>0</v>
      </c>
      <c r="H12" s="1758">
        <f>SUM(H5:H11)</f>
        <v>4068</v>
      </c>
      <c r="I12" s="1758">
        <f>SUM(I5:I11)</f>
        <v>0</v>
      </c>
      <c r="J12" s="1758">
        <f>SUM(J5:J11)</f>
        <v>529</v>
      </c>
      <c r="K12" s="1758">
        <f>SUM(K5:K11)</f>
        <v>0</v>
      </c>
    </row>
    <row r="13" spans="1:11" ht="13.5" thickTop="1" x14ac:dyDescent="0.2">
      <c r="A13" s="2243" t="s">
        <v>370</v>
      </c>
      <c r="B13" s="2244"/>
      <c r="C13" s="2244"/>
      <c r="D13" s="2244"/>
      <c r="E13" s="2245"/>
      <c r="F13" s="785"/>
      <c r="G13" s="786"/>
      <c r="H13" s="787"/>
      <c r="I13" s="788"/>
      <c r="J13" s="788"/>
      <c r="K13" s="788"/>
    </row>
    <row r="14" spans="1:11" x14ac:dyDescent="0.2">
      <c r="A14" s="2226" t="s">
        <v>456</v>
      </c>
      <c r="B14" s="2226"/>
      <c r="C14" s="2226"/>
      <c r="D14" s="2226"/>
      <c r="E14" s="2227"/>
      <c r="F14" s="789" t="s">
        <v>854</v>
      </c>
      <c r="G14" s="782"/>
      <c r="H14" s="764"/>
      <c r="I14" s="771"/>
      <c r="J14" s="773"/>
      <c r="K14" s="765"/>
    </row>
    <row r="15" spans="1:11" x14ac:dyDescent="0.2">
      <c r="A15" s="2220" t="s">
        <v>4</v>
      </c>
      <c r="B15" s="2220"/>
      <c r="C15" s="2220"/>
      <c r="D15" s="2220"/>
      <c r="E15" s="2221"/>
      <c r="F15" s="789" t="s">
        <v>855</v>
      </c>
      <c r="G15" s="771"/>
      <c r="H15" s="764"/>
      <c r="I15" s="764"/>
      <c r="J15" s="765"/>
      <c r="K15" s="765"/>
    </row>
    <row r="16" spans="1:11" x14ac:dyDescent="0.2">
      <c r="A16" s="2220" t="s">
        <v>298</v>
      </c>
      <c r="B16" s="2220"/>
      <c r="C16" s="2220"/>
      <c r="D16" s="2220"/>
      <c r="E16" s="2221"/>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28" t="s">
        <v>1809</v>
      </c>
      <c r="B19" s="2228"/>
      <c r="C19" s="2228"/>
      <c r="D19" s="2228"/>
      <c r="E19" s="2229"/>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49" t="s">
        <v>638</v>
      </c>
      <c r="B21" s="2249"/>
      <c r="C21" s="2249"/>
      <c r="D21" s="2249"/>
      <c r="E21" s="2249"/>
      <c r="F21" s="1759"/>
      <c r="G21" s="792"/>
      <c r="H21" s="796"/>
      <c r="I21" s="796"/>
      <c r="J21" s="1760">
        <f>SUM(J18:J20)</f>
        <v>0</v>
      </c>
      <c r="K21" s="793"/>
    </row>
    <row r="22" spans="1:11" ht="13.5" thickTop="1" x14ac:dyDescent="0.2">
      <c r="A22" s="2220" t="s">
        <v>1815</v>
      </c>
      <c r="B22" s="2220"/>
      <c r="C22" s="2220"/>
      <c r="D22" s="2220"/>
      <c r="E22" s="2221"/>
      <c r="F22" s="789" t="s">
        <v>862</v>
      </c>
      <c r="G22" s="782"/>
      <c r="H22" s="764">
        <v>4068</v>
      </c>
      <c r="I22" s="764"/>
      <c r="J22" s="797">
        <v>529</v>
      </c>
      <c r="K22" s="765"/>
    </row>
    <row r="23" spans="1:11" ht="13.5" thickBot="1" x14ac:dyDescent="0.25">
      <c r="A23" s="2250" t="s">
        <v>906</v>
      </c>
      <c r="B23" s="2249"/>
      <c r="C23" s="2249"/>
      <c r="D23" s="2249"/>
      <c r="E23" s="2249"/>
      <c r="F23" s="1761"/>
      <c r="G23" s="1758">
        <f>SUM(G14:G16,G21,G22)</f>
        <v>0</v>
      </c>
      <c r="H23" s="1758">
        <f>SUM(H14:H16,H21,H22)</f>
        <v>4068</v>
      </c>
      <c r="I23" s="1758">
        <f>SUM(I14:I16,I21,I22)</f>
        <v>0</v>
      </c>
      <c r="J23" s="1758">
        <f>SUM(J14:J16,J21,J22)</f>
        <v>529</v>
      </c>
      <c r="K23" s="1758">
        <f>SUM(K14:K16,K21,K22)</f>
        <v>0</v>
      </c>
    </row>
    <row r="24" spans="1:11" ht="14.25" thickTop="1" thickBot="1" x14ac:dyDescent="0.25">
      <c r="A24" s="2250" t="s">
        <v>1963</v>
      </c>
      <c r="B24" s="2249"/>
      <c r="C24" s="2249"/>
      <c r="D24" s="2249"/>
      <c r="E24" s="2249"/>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3"/>
      <c r="I31" s="2224"/>
      <c r="J31" s="2224"/>
      <c r="K31" s="2224"/>
    </row>
    <row r="32" spans="1:11" x14ac:dyDescent="0.2">
      <c r="A32" s="809"/>
      <c r="B32" s="237"/>
      <c r="C32" s="237"/>
      <c r="D32" s="237"/>
      <c r="E32" s="805"/>
      <c r="F32" s="811" t="s">
        <v>540</v>
      </c>
      <c r="G32" s="764"/>
      <c r="H32" s="2225"/>
      <c r="I32" s="2224"/>
      <c r="J32" s="2224"/>
      <c r="K32" s="2224"/>
    </row>
    <row r="33" spans="1:11" ht="1.5" customHeight="1" x14ac:dyDescent="0.2">
      <c r="A33" s="812" t="s">
        <v>1169</v>
      </c>
      <c r="B33" s="364"/>
      <c r="C33" s="364"/>
      <c r="D33" s="364"/>
      <c r="E33" s="364"/>
      <c r="F33" s="364"/>
      <c r="G33" s="813"/>
      <c r="H33" s="2225"/>
      <c r="I33" s="2224"/>
      <c r="J33" s="2224"/>
      <c r="K33" s="222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0" t="s">
        <v>541</v>
      </c>
      <c r="B41" s="2233"/>
      <c r="C41" s="2233"/>
      <c r="D41" s="2233"/>
      <c r="E41" s="2233"/>
      <c r="F41" s="223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37" sqref="J37"/>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7000</v>
      </c>
      <c r="D5" s="841"/>
      <c r="E5" s="841"/>
      <c r="F5" s="1760">
        <f>(C5+D5)-E5</f>
        <v>7000</v>
      </c>
      <c r="G5" s="837"/>
      <c r="H5" s="842"/>
      <c r="I5" s="842"/>
      <c r="J5" s="842"/>
      <c r="K5" s="793"/>
      <c r="L5" s="1769">
        <f>F5-K5</f>
        <v>7000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3948516</v>
      </c>
      <c r="D8" s="844"/>
      <c r="E8" s="844"/>
      <c r="F8" s="1760">
        <f>(C8+D8)-E8</f>
        <v>3948516</v>
      </c>
      <c r="G8" s="843">
        <v>50</v>
      </c>
      <c r="H8" s="765">
        <v>1482600</v>
      </c>
      <c r="I8" s="765">
        <v>79586</v>
      </c>
      <c r="J8" s="765"/>
      <c r="K8" s="1769">
        <f>(H8+I8)-J8</f>
        <v>1562186</v>
      </c>
      <c r="L8" s="1769">
        <f>F8-K8</f>
        <v>2386330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248248</v>
      </c>
      <c r="D10" s="846"/>
      <c r="E10" s="846"/>
      <c r="F10" s="1764">
        <f>(C10+D10)-E10</f>
        <v>248248</v>
      </c>
      <c r="G10" s="843">
        <v>20</v>
      </c>
      <c r="H10" s="847">
        <v>219520</v>
      </c>
      <c r="I10" s="847">
        <v>9828</v>
      </c>
      <c r="J10" s="847"/>
      <c r="K10" s="1769">
        <f>(H10+I10)-J10</f>
        <v>229348</v>
      </c>
      <c r="L10" s="1769">
        <f>F10-K10</f>
        <v>18900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600097</v>
      </c>
      <c r="D12" s="844">
        <v>11668</v>
      </c>
      <c r="E12" s="844"/>
      <c r="F12" s="1760">
        <f>(C12+D12)-E12</f>
        <v>611765</v>
      </c>
      <c r="G12" s="843">
        <v>10</v>
      </c>
      <c r="H12" s="765">
        <v>538980</v>
      </c>
      <c r="I12" s="765">
        <v>21073</v>
      </c>
      <c r="J12" s="765"/>
      <c r="K12" s="1769">
        <f>(H12+I12)-J12</f>
        <v>560053</v>
      </c>
      <c r="L12" s="1769">
        <f>F12-K12</f>
        <v>51712</v>
      </c>
    </row>
    <row r="13" spans="1:14" ht="14.25" thickTop="1" thickBot="1" x14ac:dyDescent="0.25">
      <c r="A13" s="848" t="s">
        <v>1122</v>
      </c>
      <c r="B13" s="840">
        <v>252</v>
      </c>
      <c r="C13" s="844">
        <v>522797</v>
      </c>
      <c r="D13" s="844"/>
      <c r="E13" s="844"/>
      <c r="F13" s="1760">
        <f>(C13+D13)-E13</f>
        <v>522797</v>
      </c>
      <c r="G13" s="843">
        <v>5</v>
      </c>
      <c r="H13" s="765">
        <v>420884</v>
      </c>
      <c r="I13" s="765">
        <v>40612</v>
      </c>
      <c r="J13" s="765"/>
      <c r="K13" s="1769">
        <f>(H13+I13)-J13</f>
        <v>461496</v>
      </c>
      <c r="L13" s="1769">
        <f>F13-K13</f>
        <v>61301</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5326658</v>
      </c>
      <c r="D16" s="1760">
        <f>SUM(D3,D5:D6,D8:D10,D12:D15)</f>
        <v>11668</v>
      </c>
      <c r="E16" s="1760">
        <f>SUM(E3,E5:E6,E8:E10,E12:E15)</f>
        <v>0</v>
      </c>
      <c r="F16" s="1760">
        <f>SUM(F3,F5:F6,F8:F10,F12:F15)</f>
        <v>5338326</v>
      </c>
      <c r="G16" s="843"/>
      <c r="H16" s="1760">
        <f>SUM(H3,H6,H8:H10,H12:H14,)</f>
        <v>2661984</v>
      </c>
      <c r="I16" s="1760">
        <f>SUM(I3,I6,I8:I10,I12:I14,)</f>
        <v>151099</v>
      </c>
      <c r="J16" s="1760">
        <f>SUM(J3,J6,J8:J10,J12:J14,)</f>
        <v>0</v>
      </c>
      <c r="K16" s="1760">
        <f>(H16+I16)-J16</f>
        <v>2813083</v>
      </c>
      <c r="L16" s="1760">
        <f>F16-K16</f>
        <v>2525243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151099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3" activePane="bottomLeft" state="frozen"/>
      <selection activeCell="J37" sqref="J37"/>
      <selection pane="bottomLeft" activeCell="J37" sqref="J3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1897081</v>
      </c>
      <c r="G8" s="865"/>
    </row>
    <row r="9" spans="1:7" x14ac:dyDescent="0.2">
      <c r="A9" s="869" t="s">
        <v>460</v>
      </c>
      <c r="B9" s="870" t="s">
        <v>1876</v>
      </c>
      <c r="C9" s="871"/>
      <c r="D9" s="869" t="s">
        <v>501</v>
      </c>
      <c r="E9" s="868"/>
      <c r="F9" s="1909">
        <f>'Expenditures 15-22'!K151</f>
        <v>89860</v>
      </c>
      <c r="G9" s="872"/>
    </row>
    <row r="10" spans="1:7" x14ac:dyDescent="0.2">
      <c r="A10" s="869" t="s">
        <v>499</v>
      </c>
      <c r="B10" s="870" t="s">
        <v>1877</v>
      </c>
      <c r="C10" s="871"/>
      <c r="D10" s="869" t="s">
        <v>501</v>
      </c>
      <c r="E10" s="868"/>
      <c r="F10" s="1909">
        <f>'Expenditures 15-22'!K174</f>
        <v>102763</v>
      </c>
      <c r="G10" s="872"/>
    </row>
    <row r="11" spans="1:7" x14ac:dyDescent="0.2">
      <c r="A11" s="869" t="s">
        <v>461</v>
      </c>
      <c r="B11" s="870" t="s">
        <v>1878</v>
      </c>
      <c r="C11" s="871"/>
      <c r="D11" s="869" t="s">
        <v>501</v>
      </c>
      <c r="E11" s="868"/>
      <c r="F11" s="1909">
        <f>'Expenditures 15-22'!K210</f>
        <v>140245</v>
      </c>
      <c r="G11" s="872"/>
    </row>
    <row r="12" spans="1:7" x14ac:dyDescent="0.2">
      <c r="A12" s="869" t="s">
        <v>462</v>
      </c>
      <c r="B12" s="870" t="s">
        <v>1879</v>
      </c>
      <c r="C12" s="871"/>
      <c r="D12" s="869" t="s">
        <v>501</v>
      </c>
      <c r="E12" s="868"/>
      <c r="F12" s="1909">
        <f>'Expenditures 15-22'!K295</f>
        <v>88498</v>
      </c>
      <c r="G12" s="872"/>
    </row>
    <row r="13" spans="1:7" x14ac:dyDescent="0.2">
      <c r="A13" s="869" t="s">
        <v>106</v>
      </c>
      <c r="B13" s="870" t="s">
        <v>1880</v>
      </c>
      <c r="C13" s="871"/>
      <c r="D13" s="869" t="s">
        <v>501</v>
      </c>
      <c r="E13" s="868"/>
      <c r="F13" s="1909">
        <f>'Expenditures 15-22'!K342</f>
        <v>90500</v>
      </c>
      <c r="G13" s="873"/>
    </row>
    <row r="14" spans="1:7" ht="12" customHeight="1" thickBot="1" x14ac:dyDescent="0.25">
      <c r="A14" s="1770"/>
      <c r="B14" s="1771"/>
      <c r="C14" s="1772"/>
      <c r="D14" s="1773" t="s">
        <v>501</v>
      </c>
      <c r="E14" s="1774" t="s">
        <v>958</v>
      </c>
      <c r="F14" s="1775">
        <f>SUM(F8:F13)</f>
        <v>2408947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88676</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20428</v>
      </c>
      <c r="G53" s="865"/>
    </row>
    <row r="54" spans="1:7" x14ac:dyDescent="0.2">
      <c r="A54" s="869" t="s">
        <v>459</v>
      </c>
      <c r="B54" s="869" t="s">
        <v>1476</v>
      </c>
      <c r="C54" s="889" t="s">
        <v>982</v>
      </c>
      <c r="D54" s="885" t="s">
        <v>1095</v>
      </c>
      <c r="E54" s="868"/>
      <c r="F54" s="1913">
        <f>'Expenditures 15-22'!G114</f>
        <v>9723</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95000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4624</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218451</v>
      </c>
      <c r="G76" s="865"/>
    </row>
    <row r="77" spans="1:8" s="893" customFormat="1" ht="12" customHeight="1" thickTop="1" thickBot="1" x14ac:dyDescent="0.25">
      <c r="A77" s="1779"/>
      <c r="B77" s="1776"/>
      <c r="C77" s="1772"/>
      <c r="D77" s="1777" t="s">
        <v>1899</v>
      </c>
      <c r="E77" s="1774"/>
      <c r="F77" s="1780">
        <f>(F14-F76)</f>
        <v>2190496</v>
      </c>
      <c r="G77" s="869"/>
    </row>
    <row r="78" spans="1:8" s="893" customFormat="1" ht="12" customHeight="1" thickTop="1" x14ac:dyDescent="0.2">
      <c r="A78" s="1781"/>
      <c r="B78" s="1776"/>
      <c r="C78" s="1772"/>
      <c r="D78" s="1777" t="s">
        <v>2060</v>
      </c>
      <c r="E78" s="1774"/>
      <c r="F78" s="898">
        <v>199</v>
      </c>
      <c r="G78" s="899"/>
      <c r="H78" s="869"/>
    </row>
    <row r="79" spans="1:8" s="893" customFormat="1" ht="12" customHeight="1" thickBot="1" x14ac:dyDescent="0.25">
      <c r="A79" s="1782"/>
      <c r="B79" s="1776"/>
      <c r="C79" s="1772"/>
      <c r="D79" s="1777" t="s">
        <v>1900</v>
      </c>
      <c r="E79" s="1774" t="s">
        <v>958</v>
      </c>
      <c r="F79" s="1783">
        <f>IF(F78&gt;0,F77/F78," Complete Line 78")</f>
        <v>11007.517587939699</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17508</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2730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59084</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1207</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138141</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1025</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71941</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127919</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4476</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15936</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42688</v>
      </c>
      <c r="G170" s="927"/>
    </row>
    <row r="171" spans="1:7" x14ac:dyDescent="0.2">
      <c r="A171" s="1918" t="s">
        <v>5</v>
      </c>
      <c r="B171" s="1919" t="s">
        <v>1919</v>
      </c>
      <c r="C171" s="1920">
        <v>3100</v>
      </c>
      <c r="D171" s="1921" t="s">
        <v>1921</v>
      </c>
      <c r="E171" s="906"/>
      <c r="F171" s="1906">
        <v>72647</v>
      </c>
      <c r="G171" s="927"/>
    </row>
    <row r="172" spans="1:7" x14ac:dyDescent="0.2">
      <c r="A172" s="1918" t="s">
        <v>664</v>
      </c>
      <c r="B172" s="1919" t="s">
        <v>1919</v>
      </c>
      <c r="C172" s="1920">
        <v>3300</v>
      </c>
      <c r="D172" s="1921" t="s">
        <v>1922</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555302</v>
      </c>
    </row>
    <row r="175" spans="1:7" ht="12" customHeight="1" x14ac:dyDescent="0.2">
      <c r="A175" s="1770"/>
      <c r="B175" s="1784"/>
      <c r="C175" s="1785"/>
      <c r="D175" s="1786" t="s">
        <v>2055</v>
      </c>
      <c r="E175" s="1787"/>
      <c r="F175" s="1789">
        <f>'PCTC-OEPP 27-28'!F77-F174</f>
        <v>1635194</v>
      </c>
    </row>
    <row r="176" spans="1:7" ht="12" customHeight="1" x14ac:dyDescent="0.2">
      <c r="A176" s="1770"/>
      <c r="B176" s="1784"/>
      <c r="C176" s="1785"/>
      <c r="D176" s="1786" t="s">
        <v>1817</v>
      </c>
      <c r="E176" s="1787"/>
      <c r="F176" s="1789">
        <f>'Cap Outlay Deprec 26'!I18</f>
        <v>151099</v>
      </c>
    </row>
    <row r="177" spans="1:7" ht="12" customHeight="1" x14ac:dyDescent="0.2">
      <c r="A177" s="1770"/>
      <c r="B177" s="1784"/>
      <c r="C177" s="1785"/>
      <c r="D177" s="1786" t="s">
        <v>2056</v>
      </c>
      <c r="E177" s="1787"/>
      <c r="F177" s="1789">
        <f>F175+F176</f>
        <v>1786293</v>
      </c>
    </row>
    <row r="178" spans="1:7" ht="12" customHeight="1" x14ac:dyDescent="0.2">
      <c r="A178" s="1770"/>
      <c r="B178" s="1790"/>
      <c r="C178" s="1785"/>
      <c r="D178" s="1786" t="str">
        <f>D78</f>
        <v>9 Month ADA from District Average Daily Attendance/Prior General State Aid Inquiry 2018-2019</v>
      </c>
      <c r="E178" s="1787"/>
      <c r="F178" s="1791">
        <f>'PCTC-OEPP 27-28'!F78</f>
        <v>199</v>
      </c>
      <c r="G178" s="930"/>
    </row>
    <row r="179" spans="1:7" ht="12" customHeight="1" thickBot="1" x14ac:dyDescent="0.25">
      <c r="A179" s="1770"/>
      <c r="B179" s="1790"/>
      <c r="C179" s="1785"/>
      <c r="D179" s="1786" t="s">
        <v>2057</v>
      </c>
      <c r="E179" s="1787" t="s">
        <v>1545</v>
      </c>
      <c r="F179" s="1792">
        <f>F177/F178</f>
        <v>8976.3467336683425</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10" zoomScaleNormal="100" workbookViewId="0">
      <selection activeCell="J37" sqref="J3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2" t="s">
        <v>2081</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40" colorId="8" zoomScale="110" zoomScaleNormal="110" workbookViewId="0">
      <selection activeCell="J37" sqref="J3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9" t="s">
        <v>1975</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1200644</v>
      </c>
      <c r="F19" s="1799"/>
      <c r="G19" s="1801">
        <f>'Expenditures 15-22'!K33-SUM('Expenditures 15-22'!G33,'Expenditures 15-22'!I33)+'Expenditures 15-22'!D229</f>
        <v>1200644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161115</v>
      </c>
      <c r="F21" s="1802"/>
      <c r="G21" s="1805">
        <f>'Expenditures 15-22'!K42-SUM('Expenditures 15-22'!G42,'Expenditures 15-22'!I42)+'Expenditures 15-22'!K120-SUM('Expenditures 15-22'!G120,'Expenditures 15-22'!I120)+'Expenditures 15-22'!K180-SUM('Expenditures 15-22'!G180,'Expenditures 15-22'!I180)+'Expenditures 15-22'!D238</f>
        <v>161115</v>
      </c>
      <c r="H21" s="987"/>
      <c r="I21" s="162"/>
    </row>
    <row r="22" spans="1:9" s="668" customFormat="1" ht="12" customHeight="1" x14ac:dyDescent="0.2">
      <c r="A22" s="994" t="s">
        <v>564</v>
      </c>
      <c r="B22" s="995"/>
      <c r="C22" s="993">
        <v>2200</v>
      </c>
      <c r="D22" s="1802"/>
      <c r="E22" s="1804">
        <f>'Expenditures 15-22'!K47-SUM('Expenditures 15-22'!G47,'Expenditures 15-22'!I47)+'Expenditures 15-22'!D243</f>
        <v>13445</v>
      </c>
      <c r="F22" s="1802"/>
      <c r="G22" s="1805">
        <f>'Expenditures 15-22'!K47-SUM('Expenditures 15-22'!G47,'Expenditures 15-22'!I47)+'Expenditures 15-22'!D243</f>
        <v>13445</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199899</v>
      </c>
      <c r="F23" s="1802"/>
      <c r="G23" s="1804">
        <f>'Expenditures 15-22'!K53-SUM('Expenditures 15-22'!G53,'Expenditures 15-22'!I53)+'Expenditures 15-22'!D257+'Expenditures 15-22'!K330-SUM('Expenditures 15-22'!G330,'Expenditures 15-22'!I330)</f>
        <v>199899</v>
      </c>
      <c r="H23" s="987"/>
      <c r="I23" s="162"/>
    </row>
    <row r="24" spans="1:9" s="668" customFormat="1" ht="12" customHeight="1" x14ac:dyDescent="0.2">
      <c r="A24" s="994" t="s">
        <v>566</v>
      </c>
      <c r="B24" s="995"/>
      <c r="C24" s="993">
        <v>2400</v>
      </c>
      <c r="D24" s="1802"/>
      <c r="E24" s="1804">
        <f>'Expenditures 15-22'!K57-SUM('Expenditures 15-22'!G57,'Expenditures 15-22'!I57)+'Expenditures 15-22'!D261</f>
        <v>73277</v>
      </c>
      <c r="F24" s="1802"/>
      <c r="G24" s="1805">
        <f>'Expenditures 15-22'!K57-SUM('Expenditures 15-22'!G57,'Expenditures 15-22'!I57)+'Expenditures 15-22'!D261</f>
        <v>73277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56119</v>
      </c>
      <c r="E27" s="1804">
        <f>E8</f>
        <v>0</v>
      </c>
      <c r="F27" s="1804">
        <f>'Expenditures 15-22'!K60-SUM('Expenditures 15-22'!G60,'Expenditures 15-22'!I60)+'Expenditures 15-22'!D264-E8</f>
        <v>56119</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257899</v>
      </c>
      <c r="F28" s="1806">
        <f>'Expenditures 15-22'!K61-SUM('Expenditures 15-22'!G61,'Expenditures 15-22'!I61)+'Expenditures 15-22'!K124-SUM('Expenditures 15-22'!G124,'Expenditures 15-22'!I124)+'Expenditures 15-22'!D266-E9</f>
        <v>257899</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151863</v>
      </c>
      <c r="F29" s="1802"/>
      <c r="G29" s="1805">
        <f>'Expenditures 15-22'!K62-SUM('Expenditures 15-22'!G62,'Expenditures 15-22'!I62)+'Expenditures 15-22'!K125-SUM('Expenditures 15-22'!G125,'Expenditures 15-22'!I125)+'Expenditures 15-22'!K182-SUM('Expenditures 15-22'!G182,'Expenditures 15-22'!I182)+'Expenditures 15-22'!D267</f>
        <v>151863</v>
      </c>
      <c r="H29" s="985"/>
    </row>
    <row r="30" spans="1:9" ht="12" customHeight="1" x14ac:dyDescent="0.2">
      <c r="A30" s="994" t="s">
        <v>100</v>
      </c>
      <c r="B30" s="997"/>
      <c r="C30" s="993">
        <v>2560</v>
      </c>
      <c r="D30" s="1802"/>
      <c r="E30" s="1804">
        <f>'Expenditures 15-22'!K63-SUM('Expenditures 15-22'!G63,'Expenditures 15-22'!I63)+'Expenditures 15-22'!D268-E10</f>
        <v>110030</v>
      </c>
      <c r="F30" s="1802"/>
      <c r="G30" s="1804">
        <f>'Expenditures 15-22'!K63-SUM('Expenditures 15-22'!G63,'Expenditures 15-22'!I63)+'Expenditures 15-22'!D268-E10</f>
        <v>110030</v>
      </c>
    </row>
    <row r="31" spans="1:9" ht="12" customHeight="1" x14ac:dyDescent="0.2">
      <c r="A31" s="994" t="s">
        <v>101</v>
      </c>
      <c r="B31" s="997"/>
      <c r="C31" s="993">
        <v>2570</v>
      </c>
      <c r="D31" s="1804">
        <f>'Expenditures 15-22'!K64-SUM('Expenditures 15-22'!G64,'Expenditures 15-22'!I64)+'Expenditures 15-22'!D269-E12</f>
        <v>51742</v>
      </c>
      <c r="E31" s="1804">
        <f>E12</f>
        <v>0</v>
      </c>
      <c r="F31" s="1804">
        <f>'Expenditures 15-22'!K64-SUM('Expenditures 15-22'!G64,'Expenditures 15-22'!I64)+'Expenditures 15-22'!D269-E12</f>
        <v>51742</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107861</v>
      </c>
      <c r="E41" s="1806">
        <f>SUM(E19:E40)</f>
        <v>2168172</v>
      </c>
      <c r="F41" s="1806">
        <f>SUM(F19:F39)</f>
        <v>365760</v>
      </c>
      <c r="G41" s="1806">
        <f>SUM(G19:G40)</f>
        <v>1910273</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107861</v>
      </c>
      <c r="F43" s="1807" t="s">
        <v>473</v>
      </c>
      <c r="G43" s="1808">
        <f>F41</f>
        <v>365760</v>
      </c>
    </row>
    <row r="44" spans="1:7" ht="12" customHeight="1" x14ac:dyDescent="0.2">
      <c r="A44" s="987"/>
      <c r="B44" s="162"/>
      <c r="C44" s="1001"/>
      <c r="D44" s="1807" t="s">
        <v>474</v>
      </c>
      <c r="E44" s="1808">
        <f>E41</f>
        <v>2168172</v>
      </c>
      <c r="F44" s="1807" t="s">
        <v>474</v>
      </c>
      <c r="G44" s="1808">
        <f>G41</f>
        <v>1910273</v>
      </c>
    </row>
    <row r="45" spans="1:7" ht="12" customHeight="1" x14ac:dyDescent="0.2">
      <c r="A45" s="987"/>
      <c r="B45" s="162"/>
      <c r="C45" s="162"/>
      <c r="D45" s="1809" t="s">
        <v>1006</v>
      </c>
      <c r="E45" s="1810">
        <f>(E43/E44)</f>
        <v>4.9747437011454808E-2</v>
      </c>
      <c r="F45" s="1809" t="s">
        <v>1006</v>
      </c>
      <c r="G45" s="1810">
        <f>(G43/G44)</f>
        <v>0.19147001501879574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J37" sqref="J37"/>
      <selection pane="bottomLeft" activeCell="J37" sqref="J37"/>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6" t="s">
        <v>1379</v>
      </c>
      <c r="B1" s="2306"/>
      <c r="C1" s="2306"/>
      <c r="D1" s="2306"/>
      <c r="E1" s="2306"/>
      <c r="F1" s="230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7" t="s">
        <v>1546</v>
      </c>
      <c r="B5" s="2308"/>
      <c r="C5" s="2309"/>
      <c r="D5" s="2309"/>
      <c r="E5" s="2309"/>
      <c r="F5" s="2309"/>
    </row>
    <row r="6" spans="1:10" ht="12" customHeight="1" x14ac:dyDescent="0.25">
      <c r="A6" s="1850"/>
      <c r="B6" s="1851"/>
      <c r="C6" s="2310" t="str">
        <f>COVER!A17</f>
        <v>New Simpson Hill SD 32</v>
      </c>
      <c r="D6" s="2310"/>
      <c r="E6" s="2310"/>
      <c r="F6" s="1852"/>
    </row>
    <row r="7" spans="1:10" ht="11.25" customHeight="1" thickBot="1" x14ac:dyDescent="0.3">
      <c r="A7" s="1850"/>
      <c r="B7" s="1851"/>
      <c r="C7" s="2311">
        <f>COVER!A13</f>
        <v>21044032003</v>
      </c>
      <c r="D7" s="2311"/>
      <c r="E7" s="231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2065</v>
      </c>
      <c r="D25" s="1865" t="s">
        <v>2065</v>
      </c>
      <c r="E25" s="1868" t="s">
        <v>2065</v>
      </c>
      <c r="F25" s="1867" t="s">
        <v>2082</v>
      </c>
      <c r="H25" s="1878">
        <f t="shared" si="0"/>
        <v>5</v>
      </c>
      <c r="I25" s="1878">
        <f t="shared" si="1"/>
        <v>5</v>
      </c>
      <c r="J25" s="1878">
        <f t="shared" si="2"/>
        <v>5</v>
      </c>
    </row>
    <row r="26" spans="1:12" ht="12" customHeight="1" x14ac:dyDescent="0.2">
      <c r="A26" s="1863" t="s">
        <v>1534</v>
      </c>
      <c r="B26" s="1864"/>
      <c r="C26" s="1865" t="s">
        <v>2065</v>
      </c>
      <c r="D26" s="1865" t="s">
        <v>2065</v>
      </c>
      <c r="E26" s="1868" t="s">
        <v>2065</v>
      </c>
      <c r="F26" s="1867" t="s">
        <v>2083</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3"/>
      <c r="B39" s="1873"/>
      <c r="C39" s="1873"/>
      <c r="D39" s="1873"/>
      <c r="E39" s="1873"/>
      <c r="F39" s="1873"/>
    </row>
    <row r="40" spans="1:11" s="1870" customFormat="1" ht="12" customHeight="1" x14ac:dyDescent="0.25">
      <c r="A40" s="1874" t="s">
        <v>1391</v>
      </c>
      <c r="B40" s="1875"/>
      <c r="C40" s="2301"/>
      <c r="D40" s="2301"/>
      <c r="E40" s="2301"/>
      <c r="F40" s="2302"/>
      <c r="H40" s="1879"/>
      <c r="I40" s="1879"/>
      <c r="J40" s="1879"/>
      <c r="K40" s="1879"/>
    </row>
    <row r="41" spans="1:11" s="1870" customFormat="1" ht="12" customHeight="1" x14ac:dyDescent="0.25">
      <c r="A41" s="2303"/>
      <c r="B41" s="2304"/>
      <c r="C41" s="2304"/>
      <c r="D41" s="2304"/>
      <c r="E41" s="2304"/>
      <c r="F41" s="2305"/>
      <c r="H41" s="1879"/>
      <c r="I41" s="1879"/>
      <c r="J41" s="1879"/>
      <c r="K41" s="1879"/>
    </row>
    <row r="42" spans="1:11" s="1870" customFormat="1" ht="12" customHeight="1" x14ac:dyDescent="0.25">
      <c r="A42" s="2303"/>
      <c r="B42" s="2304"/>
      <c r="C42" s="2304"/>
      <c r="D42" s="2304"/>
      <c r="E42" s="2304"/>
      <c r="F42" s="2305"/>
      <c r="H42" s="1879"/>
      <c r="I42" s="1879"/>
      <c r="J42" s="1879"/>
      <c r="K42" s="1879"/>
    </row>
    <row r="43" spans="1:11" s="1870" customFormat="1" ht="15" x14ac:dyDescent="0.25">
      <c r="A43" s="2292"/>
      <c r="B43" s="2293"/>
      <c r="C43" s="2293"/>
      <c r="D43" s="2293"/>
      <c r="E43" s="2293"/>
      <c r="F43" s="2294"/>
      <c r="H43" s="1879"/>
      <c r="I43" s="1879"/>
      <c r="J43" s="1879"/>
      <c r="K43" s="1879"/>
    </row>
    <row r="44" spans="1:11" s="1870" customFormat="1" ht="12" hidden="1" customHeight="1" x14ac:dyDescent="0.25">
      <c r="A44" s="2292"/>
      <c r="B44" s="2293"/>
      <c r="C44" s="2293"/>
      <c r="D44" s="2293"/>
      <c r="E44" s="2293"/>
      <c r="F44" s="229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J37" sqref="J3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New Simpson Hill SD 32</v>
      </c>
      <c r="J6" s="2320"/>
      <c r="Q6" s="1664"/>
    </row>
    <row r="7" spans="1:17" x14ac:dyDescent="0.2">
      <c r="A7" s="2321" t="s">
        <v>869</v>
      </c>
      <c r="B7" s="2322"/>
      <c r="C7" s="2322"/>
      <c r="D7" s="2322"/>
      <c r="E7" s="2323"/>
      <c r="F7" s="1017"/>
      <c r="G7" s="1009"/>
      <c r="H7" s="1016" t="s">
        <v>372</v>
      </c>
      <c r="I7" s="2324">
        <f>COVER!A13</f>
        <v>21044032003</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102441</v>
      </c>
      <c r="F12" s="1039"/>
      <c r="G12" s="1811">
        <f t="shared" ref="G12:G18" si="0">SUM(E12:F12)</f>
        <v>102441</v>
      </c>
      <c r="H12" s="1040">
        <v>107561</v>
      </c>
      <c r="I12" s="1039"/>
      <c r="J12" s="1811">
        <f t="shared" ref="J12:J18" si="1">SUM(H12:I12)</f>
        <v>107561</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46284</v>
      </c>
      <c r="F16" s="1039"/>
      <c r="G16" s="1811">
        <f t="shared" si="0"/>
        <v>46284</v>
      </c>
      <c r="H16" s="1040">
        <v>48598</v>
      </c>
      <c r="I16" s="1039"/>
      <c r="J16" s="1811">
        <f t="shared" si="1"/>
        <v>48598</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148725</v>
      </c>
      <c r="F19" s="1813">
        <f t="shared" si="2"/>
        <v>0</v>
      </c>
      <c r="G19" s="1813">
        <f t="shared" si="2"/>
        <v>148725</v>
      </c>
      <c r="H19" s="1813">
        <f t="shared" si="2"/>
        <v>156159</v>
      </c>
      <c r="I19" s="1813">
        <f t="shared" si="2"/>
        <v>0</v>
      </c>
      <c r="J19" s="1813">
        <f t="shared" si="2"/>
        <v>156159</v>
      </c>
    </row>
    <row r="20" spans="1:10" ht="13.5" thickTop="1" x14ac:dyDescent="0.2">
      <c r="A20" s="1035">
        <v>9</v>
      </c>
      <c r="B20" s="2331" t="s">
        <v>1979</v>
      </c>
      <c r="C20" s="2331"/>
      <c r="D20" s="2332"/>
      <c r="E20" s="1046"/>
      <c r="F20" s="1046"/>
      <c r="G20" s="1046"/>
      <c r="H20" s="1046"/>
      <c r="I20" s="1046"/>
      <c r="J20" s="1814">
        <f>IF(AND(G19&gt;0,J19&gt;0),(((J19-G19)/G19)),"Enter Budget Data")</f>
        <v>4.9984871406959154E-2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J37" sqref="J3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2084</v>
      </c>
    </row>
    <row r="6" spans="1:2" x14ac:dyDescent="0.2">
      <c r="A6" s="1068">
        <v>2</v>
      </c>
      <c r="B6" s="329" t="s">
        <v>2085</v>
      </c>
    </row>
    <row r="7" spans="1:2" x14ac:dyDescent="0.2">
      <c r="A7" s="1068">
        <v>3</v>
      </c>
      <c r="B7" s="329" t="s">
        <v>2086</v>
      </c>
    </row>
    <row r="8" spans="1:2" x14ac:dyDescent="0.2">
      <c r="A8" s="1068">
        <v>4</v>
      </c>
      <c r="B8" s="329" t="s">
        <v>2089</v>
      </c>
    </row>
    <row r="9" spans="1:2" x14ac:dyDescent="0.2">
      <c r="A9" s="1069">
        <v>5</v>
      </c>
      <c r="B9" s="329" t="s">
        <v>2088</v>
      </c>
    </row>
    <row r="10" spans="1:2" x14ac:dyDescent="0.2">
      <c r="A10" s="1069">
        <v>6</v>
      </c>
      <c r="B10" s="329" t="s">
        <v>2087</v>
      </c>
    </row>
    <row r="11" spans="1:2" x14ac:dyDescent="0.2">
      <c r="A11" s="1069">
        <v>7</v>
      </c>
      <c r="B11" s="329" t="s">
        <v>2090</v>
      </c>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New Simpson Hill SD 32</v>
      </c>
    </row>
    <row r="65" spans="2:2" x14ac:dyDescent="0.2">
      <c r="B65" s="1070">
        <f>COVER!A13</f>
        <v>21044032003</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J37" sqref="J3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7"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686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J37" sqref="J3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1892890</v>
      </c>
      <c r="C8" s="1815">
        <f>'Acct Summary 7-8'!D8</f>
        <v>80366</v>
      </c>
      <c r="D8" s="1815">
        <f>'Acct Summary 7-8'!F8</f>
        <v>162551</v>
      </c>
      <c r="E8" s="1815">
        <f>'Acct Summary 7-8'!I8</f>
        <v>10171</v>
      </c>
      <c r="F8" s="1815">
        <f>SUM(B8:E8)</f>
        <v>2145978</v>
      </c>
    </row>
    <row r="9" spans="1:8" s="1079" customFormat="1" ht="14.25" customHeight="1" thickBot="1" x14ac:dyDescent="0.25">
      <c r="A9" s="1078" t="s">
        <v>1369</v>
      </c>
      <c r="B9" s="1816">
        <f>'Acct Summary 7-8'!C17</f>
        <v>1897081</v>
      </c>
      <c r="C9" s="1816">
        <f>'Acct Summary 7-8'!D17</f>
        <v>89860</v>
      </c>
      <c r="D9" s="1816">
        <f>'Acct Summary 7-8'!F17</f>
        <v>140245</v>
      </c>
      <c r="E9" s="1815"/>
      <c r="F9" s="1815">
        <f>SUM(B9:E9)</f>
        <v>2127186</v>
      </c>
    </row>
    <row r="10" spans="1:8" s="1079" customFormat="1" ht="14.25" thickTop="1" thickBot="1" x14ac:dyDescent="0.25">
      <c r="A10" s="1080" t="s">
        <v>1370</v>
      </c>
      <c r="B10" s="1817">
        <f>(B8-B9)</f>
        <v>-4191</v>
      </c>
      <c r="C10" s="1817">
        <f>(C8-C9)</f>
        <v>-9494</v>
      </c>
      <c r="D10" s="1817">
        <f>(D8-D9)</f>
        <v>22306</v>
      </c>
      <c r="E10" s="1816">
        <f>(E8-E9)</f>
        <v>10171</v>
      </c>
      <c r="F10" s="1818">
        <f>SUM(F8-F9)</f>
        <v>18792</v>
      </c>
    </row>
    <row r="11" spans="1:8" s="1079" customFormat="1" ht="14.25" thickTop="1" thickBot="1" x14ac:dyDescent="0.25">
      <c r="A11" s="1081" t="s">
        <v>1983</v>
      </c>
      <c r="B11" s="1819">
        <f>'Acct Summary 7-8'!C81</f>
        <v>159026</v>
      </c>
      <c r="C11" s="1819">
        <f>'Acct Summary 7-8'!D81</f>
        <v>196387</v>
      </c>
      <c r="D11" s="1819">
        <f>'Acct Summary 7-8'!F81</f>
        <v>255729</v>
      </c>
      <c r="E11" s="1819">
        <f>'Acct Summary 7-8'!I81</f>
        <v>249012</v>
      </c>
      <c r="F11" s="1820">
        <f>SUM(B11:E11)</f>
        <v>860154</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0" colorId="8" zoomScale="110" zoomScaleNormal="110" workbookViewId="0">
      <selection activeCell="J37" sqref="J3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21044032003</v>
      </c>
    </row>
    <row r="3" spans="1:2" x14ac:dyDescent="0.2">
      <c r="A3" t="s">
        <v>956</v>
      </c>
      <c r="B3" s="138" t="str">
        <f>COVER!A15</f>
        <v>Johnson</v>
      </c>
    </row>
    <row r="4" spans="1:2" x14ac:dyDescent="0.2">
      <c r="A4" t="s">
        <v>1007</v>
      </c>
      <c r="B4" s="138" t="str">
        <f>COVER!A17</f>
        <v>New Simpson Hill SD 32</v>
      </c>
    </row>
    <row r="5" spans="1:2" x14ac:dyDescent="0.2">
      <c r="A5" t="s">
        <v>704</v>
      </c>
      <c r="B5" s="138" t="str">
        <f>COVER!A38</f>
        <v>Joe Nighswander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t="str">
        <f>COVER!T23</f>
        <v>065-022629</v>
      </c>
    </row>
    <row r="16" spans="1:2" x14ac:dyDescent="0.2">
      <c r="A16" t="s">
        <v>422</v>
      </c>
      <c r="B16" s="138" t="str">
        <f>COVER!T13</f>
        <v>Cindy A. Bobell, CPA</v>
      </c>
    </row>
    <row r="17" spans="1:2" x14ac:dyDescent="0.2">
      <c r="A17" t="s">
        <v>884</v>
      </c>
      <c r="B17" s="138" t="str">
        <f>COVER!T15</f>
        <v>Cindy A. Bobell, CPA</v>
      </c>
    </row>
    <row r="18" spans="1:2" x14ac:dyDescent="0.2">
      <c r="A18" t="s">
        <v>1150</v>
      </c>
      <c r="B18" s="138" t="str">
        <f>COVER!T17</f>
        <v>10653 Khoury League Road</v>
      </c>
    </row>
    <row r="19" spans="1:2" x14ac:dyDescent="0.2">
      <c r="A19" t="s">
        <v>886</v>
      </c>
      <c r="B19" s="138" t="str">
        <f>COVER!T25</f>
        <v>cabcpa@frontier.com</v>
      </c>
    </row>
    <row r="20" spans="1:2" x14ac:dyDescent="0.2">
      <c r="A20" t="s">
        <v>887</v>
      </c>
      <c r="B20" s="138" t="str">
        <f>COVER!T19</f>
        <v>Marion</v>
      </c>
    </row>
    <row r="21" spans="1:2" x14ac:dyDescent="0.2">
      <c r="A21" t="s">
        <v>479</v>
      </c>
      <c r="B21" s="138" t="str">
        <f>COVER!X19</f>
        <v>IL</v>
      </c>
    </row>
    <row r="22" spans="1:2" x14ac:dyDescent="0.2">
      <c r="A22" t="s">
        <v>888</v>
      </c>
      <c r="B22" s="138">
        <f>COVER!Z19</f>
        <v>62959</v>
      </c>
    </row>
    <row r="23" spans="1:2" x14ac:dyDescent="0.2">
      <c r="A23" t="s">
        <v>1152</v>
      </c>
      <c r="B23" s="138" t="str">
        <f>COVER!T21</f>
        <v>618-997-9711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159026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159026</v>
      </c>
      <c r="D92" s="2" t="str">
        <f t="shared" si="0"/>
        <v>Error?</v>
      </c>
    </row>
    <row r="93" spans="1:4" x14ac:dyDescent="0.2">
      <c r="A93" s="5">
        <v>32</v>
      </c>
      <c r="B93" s="138">
        <f>'Assets-Liab 5-6'!C41</f>
        <v>159026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196387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196387</v>
      </c>
      <c r="D123" s="2" t="str">
        <f t="shared" si="0"/>
        <v>Error?</v>
      </c>
    </row>
    <row r="124" spans="1:4" x14ac:dyDescent="0.2">
      <c r="A124" s="5">
        <v>63</v>
      </c>
      <c r="B124" s="138">
        <f>'Assets-Liab 5-6'!D41</f>
        <v>196387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26489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26489</v>
      </c>
      <c r="D140" s="2" t="str">
        <f t="shared" si="1"/>
        <v>Error?</v>
      </c>
    </row>
    <row r="141" spans="1:4" x14ac:dyDescent="0.2">
      <c r="A141" s="5">
        <v>80</v>
      </c>
      <c r="B141" s="138">
        <f>'Assets-Liab 5-6'!E41</f>
        <v>26489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255729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255729</v>
      </c>
      <c r="D170" s="2" t="str">
        <f t="shared" si="1"/>
        <v>Error?</v>
      </c>
    </row>
    <row r="171" spans="1:4" x14ac:dyDescent="0.2">
      <c r="A171" s="5">
        <v>110</v>
      </c>
      <c r="B171" s="138">
        <f>'Assets-Liab 5-6'!F41</f>
        <v>255729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102048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102048</v>
      </c>
      <c r="D189" s="2" t="str">
        <f t="shared" si="1"/>
        <v>Error?</v>
      </c>
    </row>
    <row r="190" spans="1:4" x14ac:dyDescent="0.2">
      <c r="A190" s="5">
        <v>129</v>
      </c>
      <c r="B190" s="138">
        <f>'Assets-Liab 5-6'!G41</f>
        <v>102048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7000</v>
      </c>
      <c r="D273" s="2" t="str">
        <f t="shared" si="3"/>
        <v>Error?</v>
      </c>
    </row>
    <row r="274" spans="1:4" x14ac:dyDescent="0.2">
      <c r="A274" s="5">
        <v>213</v>
      </c>
      <c r="B274" s="138">
        <f>'Assets-Liab 5-6'!M17</f>
        <v>4196764</v>
      </c>
      <c r="D274" s="2" t="str">
        <f t="shared" si="3"/>
        <v>Error?</v>
      </c>
    </row>
    <row r="275" spans="1:4" x14ac:dyDescent="0.2">
      <c r="A275" s="5">
        <v>214</v>
      </c>
      <c r="B275" s="138">
        <f>'Assets-Liab 5-6'!M18</f>
        <v>0</v>
      </c>
      <c r="D275" s="2" t="str">
        <f t="shared" si="3"/>
        <v>Error?</v>
      </c>
    </row>
    <row r="276" spans="1:4" x14ac:dyDescent="0.2">
      <c r="A276" s="5">
        <v>215</v>
      </c>
      <c r="B276" s="138">
        <f>'Assets-Liab 5-6'!M19</f>
        <v>1134562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5338326</v>
      </c>
      <c r="C279" s="2" t="s">
        <v>573</v>
      </c>
      <c r="D279" s="2" t="str">
        <f t="shared" si="3"/>
        <v>Error?</v>
      </c>
    </row>
    <row r="280" spans="1:4" x14ac:dyDescent="0.2">
      <c r="A280" s="5">
        <v>219</v>
      </c>
      <c r="B280" s="138">
        <f>'Assets-Liab 5-6'!M40</f>
        <v>5338326</v>
      </c>
      <c r="D280" s="2" t="str">
        <f t="shared" si="3"/>
        <v>Error?</v>
      </c>
    </row>
    <row r="281" spans="1:4" x14ac:dyDescent="0.2">
      <c r="A281" s="5">
        <v>220</v>
      </c>
      <c r="B281" s="138">
        <f>'Assets-Liab 5-6'!M41</f>
        <v>5338326</v>
      </c>
      <c r="C281" s="2" t="s">
        <v>573</v>
      </c>
      <c r="D281" s="2" t="str">
        <f t="shared" si="3"/>
        <v>Error?</v>
      </c>
    </row>
    <row r="282" spans="1:4" x14ac:dyDescent="0.2">
      <c r="A282" s="5">
        <v>221</v>
      </c>
      <c r="B282" s="138">
        <f>'Assets-Liab 5-6'!N21</f>
        <v>26489</v>
      </c>
      <c r="D282" s="2" t="str">
        <f t="shared" si="3"/>
        <v>Error?</v>
      </c>
    </row>
    <row r="283" spans="1:4" x14ac:dyDescent="0.2">
      <c r="A283" s="5">
        <v>222</v>
      </c>
      <c r="B283" s="138">
        <f>'Assets-Liab 5-6'!N22</f>
        <v>133511</v>
      </c>
      <c r="D283" s="2" t="str">
        <f t="shared" si="3"/>
        <v>Error?</v>
      </c>
    </row>
    <row r="284" spans="1:4" x14ac:dyDescent="0.2">
      <c r="A284" s="5">
        <v>223</v>
      </c>
      <c r="B284" s="138">
        <f>'Assets-Liab 5-6'!N23</f>
        <v>160000</v>
      </c>
      <c r="C284" s="2" t="s">
        <v>573</v>
      </c>
      <c r="D284" s="2" t="str">
        <f t="shared" si="3"/>
        <v>Error?</v>
      </c>
    </row>
    <row r="285" spans="1:4" x14ac:dyDescent="0.2">
      <c r="A285" s="5">
        <v>224</v>
      </c>
      <c r="B285" s="138">
        <f>'Assets-Liab 5-6'!N36</f>
        <v>160000</v>
      </c>
      <c r="D285" s="2" t="str">
        <f t="shared" si="3"/>
        <v>Error?</v>
      </c>
    </row>
    <row r="286" spans="1:4" x14ac:dyDescent="0.2">
      <c r="A286" s="10">
        <v>225</v>
      </c>
      <c r="D286" s="2" t="str">
        <f t="shared" si="3"/>
        <v>OK</v>
      </c>
    </row>
    <row r="287" spans="1:4" x14ac:dyDescent="0.2">
      <c r="A287" s="5">
        <v>226</v>
      </c>
      <c r="B287" s="138">
        <f>'Assets-Liab 5-6'!N37</f>
        <v>160000</v>
      </c>
      <c r="C287" s="2" t="s">
        <v>573</v>
      </c>
      <c r="D287" s="2" t="str">
        <f t="shared" si="3"/>
        <v>Error?</v>
      </c>
    </row>
    <row r="288" spans="1:4" x14ac:dyDescent="0.2">
      <c r="A288" s="5">
        <v>227</v>
      </c>
      <c r="B288" s="138">
        <f>'Assets-Liab 5-6'!N41</f>
        <v>160000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553111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68287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826521</v>
      </c>
      <c r="C720" s="2" t="s">
        <v>573</v>
      </c>
      <c r="D720" s="2" t="str">
        <f t="shared" si="10"/>
        <v>Error?</v>
      </c>
    </row>
    <row r="721" spans="1:4" x14ac:dyDescent="0.2">
      <c r="A721" s="5">
        <v>660</v>
      </c>
      <c r="B721" s="138">
        <f>'Expenditures 15-22'!C36</f>
        <v>46285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18685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56785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121755</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78403</v>
      </c>
      <c r="D733" s="2" t="str">
        <f t="shared" si="10"/>
        <v>Error?</v>
      </c>
    </row>
    <row r="734" spans="1:4" x14ac:dyDescent="0.2">
      <c r="A734" s="5">
        <v>673</v>
      </c>
      <c r="B734" s="138">
        <f>'Expenditures 15-22'!C53</f>
        <v>78403</v>
      </c>
      <c r="C734" s="2" t="s">
        <v>573</v>
      </c>
      <c r="D734" s="2" t="str">
        <f t="shared" si="10"/>
        <v>Error?</v>
      </c>
    </row>
    <row r="735" spans="1:4" x14ac:dyDescent="0.2">
      <c r="A735" s="5">
        <v>674</v>
      </c>
      <c r="B735" s="138">
        <f>'Expenditures 15-22'!C55</f>
        <v>57350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57350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37700</v>
      </c>
      <c r="D739" s="2" t="str">
        <f t="shared" si="10"/>
        <v>Error?</v>
      </c>
    </row>
    <row r="740" spans="1:4" x14ac:dyDescent="0.2">
      <c r="A740" s="5">
        <v>679</v>
      </c>
      <c r="B740" s="138">
        <f>'Expenditures 15-22'!C61</f>
        <v>49085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46690</v>
      </c>
      <c r="D742" s="2" t="str">
        <f t="shared" si="10"/>
        <v>Error?</v>
      </c>
    </row>
    <row r="743" spans="1:4" x14ac:dyDescent="0.2">
      <c r="A743" s="5">
        <v>682</v>
      </c>
      <c r="B743" s="138">
        <f>'Expenditures 15-22'!C64</f>
        <v>27050</v>
      </c>
      <c r="D743" s="2" t="str">
        <f t="shared" si="10"/>
        <v>Error?</v>
      </c>
    </row>
    <row r="744" spans="1:4" x14ac:dyDescent="0.2">
      <c r="A744" s="10">
        <v>683</v>
      </c>
      <c r="D744" s="2" t="str">
        <f t="shared" si="10"/>
        <v>OK</v>
      </c>
    </row>
    <row r="745" spans="1:4" x14ac:dyDescent="0.2">
      <c r="A745" s="5">
        <v>684</v>
      </c>
      <c r="B745" s="138">
        <f>'Expenditures 15-22'!C65</f>
        <v>160525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418033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1244554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131708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14885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211530</v>
      </c>
      <c r="C778" s="2" t="s">
        <v>573</v>
      </c>
      <c r="D778" s="2" t="str">
        <f t="shared" si="11"/>
        <v>Error?</v>
      </c>
    </row>
    <row r="779" spans="1:4" x14ac:dyDescent="0.2">
      <c r="A779" s="5">
        <v>718</v>
      </c>
      <c r="B779" s="138">
        <f>'Expenditures 15-22'!D36</f>
        <v>13357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4364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14702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32423</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17500</v>
      </c>
      <c r="D791" s="2" t="str">
        <f t="shared" si="11"/>
        <v>Error?</v>
      </c>
    </row>
    <row r="792" spans="1:4" x14ac:dyDescent="0.2">
      <c r="A792" s="5">
        <v>731</v>
      </c>
      <c r="B792" s="138">
        <f>'Expenditures 15-22'!D53</f>
        <v>17500</v>
      </c>
      <c r="C792" s="2" t="s">
        <v>573</v>
      </c>
      <c r="D792" s="2" t="str">
        <f t="shared" si="11"/>
        <v>Error?</v>
      </c>
    </row>
    <row r="793" spans="1:4" x14ac:dyDescent="0.2">
      <c r="A793" s="5">
        <v>732</v>
      </c>
      <c r="B793" s="138">
        <f>'Expenditures 15-22'!D55</f>
        <v>14179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14179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7385</v>
      </c>
      <c r="D797" s="2" t="str">
        <f t="shared" si="11"/>
        <v>Error?</v>
      </c>
    </row>
    <row r="798" spans="1:4" x14ac:dyDescent="0.2">
      <c r="A798" s="5">
        <v>737</v>
      </c>
      <c r="B798" s="138">
        <f>'Expenditures 15-22'!D61</f>
        <v>14769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14769</v>
      </c>
      <c r="D800" s="2" t="str">
        <f t="shared" si="11"/>
        <v>Error?</v>
      </c>
    </row>
    <row r="801" spans="1:4" x14ac:dyDescent="0.2">
      <c r="A801" s="5">
        <v>740</v>
      </c>
      <c r="B801" s="138">
        <f>'Expenditures 15-22'!D64</f>
        <v>7385</v>
      </c>
      <c r="D801" s="2" t="str">
        <f t="shared" si="11"/>
        <v>Error?</v>
      </c>
    </row>
    <row r="802" spans="1:4" x14ac:dyDescent="0.2">
      <c r="A802" s="10">
        <v>741</v>
      </c>
      <c r="D802" s="2" t="str">
        <f t="shared" si="11"/>
        <v>OK</v>
      </c>
    </row>
    <row r="803" spans="1:4" x14ac:dyDescent="0.2">
      <c r="A803" s="5">
        <v>742</v>
      </c>
      <c r="B803" s="138">
        <f>'Expenditures 15-22'!D65</f>
        <v>44308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108410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319940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7422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1200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51311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1300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1300</v>
      </c>
      <c r="C843" s="2" t="s">
        <v>573</v>
      </c>
      <c r="D843" s="2" t="str">
        <f t="shared" si="12"/>
        <v>Error?</v>
      </c>
    </row>
    <row r="844" spans="1:4" x14ac:dyDescent="0.2">
      <c r="A844" s="5">
        <v>783</v>
      </c>
      <c r="B844" s="138">
        <f>'Expenditures 15-22'!E44</f>
        <v>12554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12554</v>
      </c>
      <c r="C847" s="2" t="s">
        <v>573</v>
      </c>
      <c r="D847" s="2" t="str">
        <f t="shared" si="12"/>
        <v>Error?</v>
      </c>
    </row>
    <row r="848" spans="1:4" x14ac:dyDescent="0.2">
      <c r="A848" s="5">
        <v>787</v>
      </c>
      <c r="B848" s="138">
        <f>'Expenditures 15-22'!E49</f>
        <v>2202</v>
      </c>
      <c r="D848" s="2" t="str">
        <f t="shared" si="12"/>
        <v>Error?</v>
      </c>
    </row>
    <row r="849" spans="1:4" x14ac:dyDescent="0.2">
      <c r="A849" s="5">
        <v>788</v>
      </c>
      <c r="B849" s="138">
        <f>'Expenditures 15-22'!E50</f>
        <v>2376</v>
      </c>
      <c r="D849" s="2" t="str">
        <f t="shared" si="12"/>
        <v>Error?</v>
      </c>
    </row>
    <row r="850" spans="1:4" x14ac:dyDescent="0.2">
      <c r="A850" s="5">
        <v>789</v>
      </c>
      <c r="B850" s="138">
        <f>'Expenditures 15-22'!E53</f>
        <v>4578</v>
      </c>
      <c r="C850" s="2" t="s">
        <v>573</v>
      </c>
      <c r="D850" s="2" t="str">
        <f t="shared" si="12"/>
        <v>Error?</v>
      </c>
    </row>
    <row r="851" spans="1:4" x14ac:dyDescent="0.2">
      <c r="A851" s="5">
        <v>790</v>
      </c>
      <c r="B851" s="138">
        <f>'Expenditures 15-22'!E55</f>
        <v>791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791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3335</v>
      </c>
      <c r="D855" s="2" t="str">
        <f t="shared" si="12"/>
        <v>Error?</v>
      </c>
    </row>
    <row r="856" spans="1:4" x14ac:dyDescent="0.2">
      <c r="A856" s="5">
        <v>795</v>
      </c>
      <c r="B856" s="138">
        <f>'Expenditures 15-22'!E61</f>
        <v>18917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494</v>
      </c>
      <c r="D858" s="2" t="str">
        <f t="shared" si="12"/>
        <v>Error?</v>
      </c>
    </row>
    <row r="859" spans="1:4" x14ac:dyDescent="0.2">
      <c r="A859" s="5">
        <v>798</v>
      </c>
      <c r="B859" s="138">
        <f>'Expenditures 15-22'!E64</f>
        <v>4045</v>
      </c>
      <c r="D859" s="2" t="str">
        <f t="shared" si="12"/>
        <v>Error?</v>
      </c>
    </row>
    <row r="860" spans="1:4" x14ac:dyDescent="0.2">
      <c r="A860" s="10">
        <v>799</v>
      </c>
      <c r="D860" s="2" t="str">
        <f t="shared" si="12"/>
        <v>OK</v>
      </c>
    </row>
    <row r="861" spans="1:4" x14ac:dyDescent="0.2">
      <c r="A861" s="5">
        <v>800</v>
      </c>
      <c r="B861" s="138">
        <f>'Expenditures 15-22'!E65</f>
        <v>26791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46014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117753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9660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393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72936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419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419</v>
      </c>
      <c r="C901" s="2" t="s">
        <v>573</v>
      </c>
      <c r="D901" s="2" t="str">
        <f t="shared" si="13"/>
        <v>Error?</v>
      </c>
    </row>
    <row r="902" spans="1:4" x14ac:dyDescent="0.2">
      <c r="A902" s="5">
        <v>841</v>
      </c>
      <c r="B902" s="138">
        <f>'Expenditures 15-22'!F44</f>
        <v>891</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891</v>
      </c>
      <c r="C905" s="2" t="s">
        <v>573</v>
      </c>
      <c r="D905" s="2" t="str">
        <f t="shared" si="13"/>
        <v>Error?</v>
      </c>
    </row>
    <row r="906" spans="1:4" x14ac:dyDescent="0.2">
      <c r="A906" s="5">
        <v>845</v>
      </c>
      <c r="B906" s="138">
        <f>'Expenditures 15-22'!F49</f>
        <v>2233</v>
      </c>
      <c r="D906" s="2" t="str">
        <f t="shared" si="13"/>
        <v>Error?</v>
      </c>
    </row>
    <row r="907" spans="1:4" x14ac:dyDescent="0.2">
      <c r="A907" s="5">
        <v>846</v>
      </c>
      <c r="B907" s="138">
        <f>'Expenditures 15-22'!F50</f>
        <v>3408</v>
      </c>
      <c r="D907" s="2" t="str">
        <f t="shared" si="13"/>
        <v>Error?</v>
      </c>
    </row>
    <row r="908" spans="1:4" x14ac:dyDescent="0.2">
      <c r="A908" s="5">
        <v>847</v>
      </c>
      <c r="B908" s="138">
        <f>'Expenditures 15-22'!F53</f>
        <v>5641</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636</v>
      </c>
      <c r="D913" s="2" t="str">
        <f t="shared" si="13"/>
        <v>Error?</v>
      </c>
    </row>
    <row r="914" spans="1:4" x14ac:dyDescent="0.2">
      <c r="A914" s="5">
        <v>853</v>
      </c>
      <c r="B914" s="138">
        <f>'Expenditures 15-22'!F61</f>
        <v>75248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38761</v>
      </c>
      <c r="D916" s="2" t="str">
        <f t="shared" si="13"/>
        <v>Error?</v>
      </c>
    </row>
    <row r="917" spans="1:4" x14ac:dyDescent="0.2">
      <c r="A917" s="5">
        <v>856</v>
      </c>
      <c r="B917" s="138">
        <f>'Expenditures 15-22'!F64</f>
        <v>7804</v>
      </c>
      <c r="D917" s="2" t="str">
        <f t="shared" si="13"/>
        <v>Error?</v>
      </c>
    </row>
    <row r="918" spans="1:4" x14ac:dyDescent="0.2">
      <c r="A918" s="10">
        <v>857</v>
      </c>
      <c r="D918" s="2" t="str">
        <f t="shared" si="13"/>
        <v>OK</v>
      </c>
    </row>
    <row r="919" spans="1:4" x14ac:dyDescent="0.2">
      <c r="A919" s="5">
        <v>858</v>
      </c>
      <c r="B919" s="138">
        <f>'Expenditures 15-22'!F65</f>
        <v>122449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129400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202336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9723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9723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510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510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1386</v>
      </c>
      <c r="D1022" s="2" t="str">
        <f t="shared" si="14"/>
        <v>Error?</v>
      </c>
    </row>
    <row r="1023" spans="1:4" x14ac:dyDescent="0.2">
      <c r="A1023" s="5">
        <v>962</v>
      </c>
      <c r="B1023" s="138">
        <f>'Expenditures 15-22'!H50</f>
        <v>754</v>
      </c>
      <c r="D1023" s="2" t="str">
        <f t="shared" ref="D1023:D1086" si="15">IF(ISBLANK(B1023),"OK",IF(A1023-B1023=0,"OK","Error?"))</f>
        <v>Error?</v>
      </c>
    </row>
    <row r="1024" spans="1:4" x14ac:dyDescent="0.2">
      <c r="A1024" s="5">
        <v>963</v>
      </c>
      <c r="B1024" s="138">
        <f>'Expenditures 15-22'!H53</f>
        <v>2140</v>
      </c>
      <c r="C1024" s="2" t="s">
        <v>573</v>
      </c>
      <c r="D1024" s="2" t="str">
        <f t="shared" si="15"/>
        <v>Error?</v>
      </c>
    </row>
    <row r="1025" spans="1:4" x14ac:dyDescent="0.2">
      <c r="A1025" s="5">
        <v>964</v>
      </c>
      <c r="B1025" s="138">
        <f>'Expenditures 15-22'!H55</f>
        <v>125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125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2265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2775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702411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84765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1172531</v>
      </c>
      <c r="C1108" s="2" t="s">
        <v>573</v>
      </c>
      <c r="D1108" s="2" t="str">
        <f t="shared" si="16"/>
        <v>Error?</v>
      </c>
    </row>
    <row r="1109" spans="1:4" x14ac:dyDescent="0.2">
      <c r="A1109" s="5">
        <v>1048</v>
      </c>
      <c r="B1109" s="138">
        <f>'Expenditures 15-22'!K36</f>
        <v>59642</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24768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71487</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155897</v>
      </c>
      <c r="C1115" s="2" t="s">
        <v>573</v>
      </c>
      <c r="D1115" s="2" t="str">
        <f t="shared" si="16"/>
        <v>Error?</v>
      </c>
    </row>
    <row r="1116" spans="1:4" x14ac:dyDescent="0.2">
      <c r="A1116" s="5">
        <v>1055</v>
      </c>
      <c r="B1116" s="138">
        <f>'Expenditures 15-22'!K44</f>
        <v>13445</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13445</v>
      </c>
      <c r="C1119" s="2" t="s">
        <v>573</v>
      </c>
      <c r="D1119" s="2" t="str">
        <f t="shared" si="16"/>
        <v>Error?</v>
      </c>
    </row>
    <row r="1120" spans="1:4" x14ac:dyDescent="0.2">
      <c r="A1120" s="5">
        <v>1059</v>
      </c>
      <c r="B1120" s="138">
        <f>'Expenditures 15-22'!K49</f>
        <v>5821</v>
      </c>
      <c r="C1120" s="2" t="s">
        <v>573</v>
      </c>
      <c r="D1120" s="2" t="str">
        <f t="shared" si="16"/>
        <v>Error?</v>
      </c>
    </row>
    <row r="1121" spans="1:4" x14ac:dyDescent="0.2">
      <c r="A1121" s="5">
        <v>1060</v>
      </c>
      <c r="B1121" s="138">
        <f>'Expenditures 15-22'!K50</f>
        <v>102441</v>
      </c>
      <c r="C1121" s="2" t="s">
        <v>573</v>
      </c>
      <c r="D1121" s="2" t="str">
        <f t="shared" si="16"/>
        <v>Error?</v>
      </c>
    </row>
    <row r="1122" spans="1:4" x14ac:dyDescent="0.2">
      <c r="A1122" s="5">
        <v>1061</v>
      </c>
      <c r="B1122" s="138">
        <f>'Expenditures 15-22'!K53</f>
        <v>108262</v>
      </c>
      <c r="C1122" s="2" t="s">
        <v>573</v>
      </c>
      <c r="D1122" s="2" t="str">
        <f t="shared" si="16"/>
        <v>Error?</v>
      </c>
    </row>
    <row r="1123" spans="1:4" x14ac:dyDescent="0.2">
      <c r="A1123" s="5">
        <v>1062</v>
      </c>
      <c r="B1123" s="138">
        <f>'Expenditures 15-22'!K55</f>
        <v>72445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72445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49056</v>
      </c>
      <c r="C1127" s="2" t="s">
        <v>573</v>
      </c>
      <c r="D1127" s="2" t="str">
        <f t="shared" si="16"/>
        <v>Error?</v>
      </c>
    </row>
    <row r="1128" spans="1:4" x14ac:dyDescent="0.2">
      <c r="A1128" s="5">
        <v>1067</v>
      </c>
      <c r="B1128" s="138">
        <f>'Expenditures 15-22'!K61</f>
        <v>158019</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100714</v>
      </c>
      <c r="C1130" s="2" t="s">
        <v>573</v>
      </c>
      <c r="D1130" s="2" t="str">
        <f t="shared" si="16"/>
        <v>Error?</v>
      </c>
    </row>
    <row r="1131" spans="1:4" x14ac:dyDescent="0.2">
      <c r="A1131" s="5">
        <v>1070</v>
      </c>
      <c r="B1131" s="138">
        <f>'Expenditures 15-22'!K64</f>
        <v>46284</v>
      </c>
      <c r="C1131" s="2" t="s">
        <v>573</v>
      </c>
      <c r="D1131" s="2" t="str">
        <f t="shared" si="16"/>
        <v>Error?</v>
      </c>
    </row>
    <row r="1132" spans="1:4" x14ac:dyDescent="0.2">
      <c r="A1132" s="10">
        <v>1071</v>
      </c>
      <c r="D1132" s="2" t="str">
        <f t="shared" si="16"/>
        <v>OK</v>
      </c>
    </row>
    <row r="1133" spans="1:4" x14ac:dyDescent="0.2">
      <c r="A1133" s="5">
        <v>1072</v>
      </c>
      <c r="B1133" s="138">
        <f>'Expenditures 15-22'!K65</f>
        <v>354073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704122</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20428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1897081</v>
      </c>
      <c r="C1152" s="2" t="s">
        <v>573</v>
      </c>
      <c r="D1152" s="2" t="str">
        <f t="shared" si="17"/>
        <v>Error?</v>
      </c>
    </row>
    <row r="1153" spans="1:4" x14ac:dyDescent="0.2">
      <c r="A1153" s="5">
        <v>1092</v>
      </c>
      <c r="B1153" s="138">
        <f>'Expenditures 15-22'!K115</f>
        <v>-4191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72059</v>
      </c>
      <c r="D1237" s="2" t="str">
        <f t="shared" si="18"/>
        <v>Error?</v>
      </c>
    </row>
    <row r="1238" spans="1:4" x14ac:dyDescent="0.2">
      <c r="A1238" s="10">
        <v>1177</v>
      </c>
      <c r="D1238" s="2" t="str">
        <f t="shared" si="18"/>
        <v>OK</v>
      </c>
    </row>
    <row r="1239" spans="1:4" x14ac:dyDescent="0.2">
      <c r="A1239" s="5">
        <v>1178</v>
      </c>
      <c r="B1239" s="138">
        <f>'Expenditures 15-22'!E127</f>
        <v>72059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72059</v>
      </c>
      <c r="C1241" s="2" t="s">
        <v>573</v>
      </c>
      <c r="D1241" s="2" t="str">
        <f t="shared" si="18"/>
        <v>Error?</v>
      </c>
    </row>
    <row r="1242" spans="1:4" x14ac:dyDescent="0.2">
      <c r="A1242" s="5">
        <v>1181</v>
      </c>
      <c r="B1242" s="138">
        <f>'Expenditures 15-22'!E151</f>
        <v>72059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17801</v>
      </c>
      <c r="D1245" s="2" t="str">
        <f t="shared" si="18"/>
        <v>Error?</v>
      </c>
    </row>
    <row r="1246" spans="1:4" x14ac:dyDescent="0.2">
      <c r="A1246" s="10">
        <v>1185</v>
      </c>
      <c r="D1246" s="2" t="str">
        <f t="shared" si="18"/>
        <v>OK</v>
      </c>
    </row>
    <row r="1247" spans="1:4" x14ac:dyDescent="0.2">
      <c r="A1247" s="5">
        <v>1186</v>
      </c>
      <c r="B1247" s="138">
        <f>'Expenditures 15-22'!F127</f>
        <v>17801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17801</v>
      </c>
      <c r="C1249" s="2" t="s">
        <v>573</v>
      </c>
      <c r="D1249" s="2" t="str">
        <f t="shared" si="18"/>
        <v>Error?</v>
      </c>
    </row>
    <row r="1250" spans="1:4" x14ac:dyDescent="0.2">
      <c r="A1250" s="5">
        <v>1189</v>
      </c>
      <c r="B1250" s="138">
        <f>'Expenditures 15-22'!F151</f>
        <v>17801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89860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89860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89860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89860</v>
      </c>
      <c r="C1288" s="2" t="s">
        <v>573</v>
      </c>
      <c r="D1288" s="2" t="str">
        <f t="shared" si="19"/>
        <v>Error?</v>
      </c>
    </row>
    <row r="1289" spans="1:4" x14ac:dyDescent="0.2">
      <c r="A1289" s="5">
        <v>1228</v>
      </c>
      <c r="B1289" s="138">
        <f>'Expenditures 15-22'!K152</f>
        <v>-9494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7263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95000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102763</v>
      </c>
      <c r="C1317" s="2" t="s">
        <v>573</v>
      </c>
      <c r="D1317" s="2" t="str">
        <f t="shared" si="19"/>
        <v>Error?</v>
      </c>
    </row>
    <row r="1318" spans="1:4" x14ac:dyDescent="0.2">
      <c r="A1318" s="5">
        <v>1257</v>
      </c>
      <c r="B1318" s="138">
        <f>'Expenditures 15-22'!H174</f>
        <v>102763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7263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95000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102763</v>
      </c>
      <c r="C1331" s="2" t="s">
        <v>573</v>
      </c>
      <c r="D1331" s="2" t="str">
        <f t="shared" si="19"/>
        <v>Error?</v>
      </c>
    </row>
    <row r="1332" spans="1:4" x14ac:dyDescent="0.2">
      <c r="A1332" s="5">
        <v>1271</v>
      </c>
      <c r="B1332" s="138">
        <f>'Expenditures 15-22'!K174</f>
        <v>102763</v>
      </c>
      <c r="C1332" s="2" t="s">
        <v>573</v>
      </c>
      <c r="D1332" s="2" t="str">
        <f t="shared" si="19"/>
        <v>Error?</v>
      </c>
    </row>
    <row r="1333" spans="1:4" x14ac:dyDescent="0.2">
      <c r="A1333" s="5">
        <v>1272</v>
      </c>
      <c r="B1333" s="138">
        <f>'Expenditures 15-22'!K175</f>
        <v>-1684</v>
      </c>
      <c r="C1333" s="2" t="s">
        <v>573</v>
      </c>
      <c r="D1333" s="2" t="str">
        <f t="shared" si="19"/>
        <v>Error?</v>
      </c>
    </row>
    <row r="1334" spans="1:4" x14ac:dyDescent="0.2">
      <c r="A1334" s="10">
        <v>1273</v>
      </c>
      <c r="D1334" s="2" t="str">
        <f t="shared" si="19"/>
        <v>OK</v>
      </c>
    </row>
    <row r="1335" spans="1:4" x14ac:dyDescent="0.2">
      <c r="A1335" s="5">
        <v>1274</v>
      </c>
      <c r="B1335" s="138">
        <f>'Expenditures 15-22'!C182</f>
        <v>75618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75618</v>
      </c>
      <c r="C1339" s="2" t="s">
        <v>573</v>
      </c>
      <c r="D1339" s="2" t="str">
        <f t="shared" si="19"/>
        <v>Error?</v>
      </c>
    </row>
    <row r="1340" spans="1:4" x14ac:dyDescent="0.2">
      <c r="A1340" s="5">
        <v>1279</v>
      </c>
      <c r="B1340" s="138">
        <f>'Expenditures 15-22'!C210</f>
        <v>75618</v>
      </c>
      <c r="C1340" s="2" t="s">
        <v>573</v>
      </c>
      <c r="D1340" s="2" t="str">
        <f t="shared" si="19"/>
        <v>Error?</v>
      </c>
    </row>
    <row r="1341" spans="1:4" x14ac:dyDescent="0.2">
      <c r="A1341" s="5">
        <v>1280</v>
      </c>
      <c r="B1341" s="138">
        <f>'Expenditures 15-22'!D182</f>
        <v>18754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18754</v>
      </c>
      <c r="C1345" s="2" t="s">
        <v>573</v>
      </c>
      <c r="D1345" s="2" t="str">
        <f t="shared" si="20"/>
        <v>Error?</v>
      </c>
    </row>
    <row r="1346" spans="1:4" x14ac:dyDescent="0.2">
      <c r="A1346" s="5">
        <v>1285</v>
      </c>
      <c r="B1346" s="138">
        <f>'Expenditures 15-22'!D210</f>
        <v>18754</v>
      </c>
      <c r="C1346" s="2" t="s">
        <v>573</v>
      </c>
      <c r="D1346" s="2" t="str">
        <f t="shared" si="20"/>
        <v>Error?</v>
      </c>
    </row>
    <row r="1347" spans="1:4" x14ac:dyDescent="0.2">
      <c r="A1347" s="5">
        <v>1286</v>
      </c>
      <c r="B1347" s="138">
        <f>'Expenditures 15-22'!E182</f>
        <v>21785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21785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21785</v>
      </c>
      <c r="C1353" s="2" t="s">
        <v>573</v>
      </c>
      <c r="D1353" s="2" t="str">
        <f t="shared" si="20"/>
        <v>Error?</v>
      </c>
    </row>
    <row r="1354" spans="1:4" x14ac:dyDescent="0.2">
      <c r="A1354" s="5">
        <v>1293</v>
      </c>
      <c r="B1354" s="138">
        <f>'Expenditures 15-22'!F182</f>
        <v>24088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24088</v>
      </c>
      <c r="C1358" s="2" t="s">
        <v>573</v>
      </c>
      <c r="D1358" s="2" t="str">
        <f t="shared" si="20"/>
        <v>Error?</v>
      </c>
    </row>
    <row r="1359" spans="1:4" x14ac:dyDescent="0.2">
      <c r="A1359" s="5">
        <v>1298</v>
      </c>
      <c r="B1359" s="138">
        <f>'Expenditures 15-22'!F210</f>
        <v>24088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140245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140245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140245</v>
      </c>
      <c r="C1388" s="2" t="s">
        <v>573</v>
      </c>
      <c r="D1388" s="2" t="str">
        <f t="shared" si="20"/>
        <v>Error?</v>
      </c>
    </row>
    <row r="1389" spans="1:4" x14ac:dyDescent="0.2">
      <c r="A1389" s="5">
        <v>1328</v>
      </c>
      <c r="B1389" s="138">
        <f>'Expenditures 15-22'!K211</f>
        <v>22306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1864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37836</v>
      </c>
      <c r="C1410" s="2" t="s">
        <v>573</v>
      </c>
      <c r="D1410" s="2" t="str">
        <f t="shared" si="21"/>
        <v>Error?</v>
      </c>
    </row>
    <row r="1411" spans="1:4" x14ac:dyDescent="0.2">
      <c r="A1411" s="5">
        <v>1350</v>
      </c>
      <c r="B1411" s="138">
        <f>'Expenditures 15-22'!D232</f>
        <v>671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3724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823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5218</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1137</v>
      </c>
      <c r="D1423" s="2" t="str">
        <f t="shared" si="21"/>
        <v>Error?</v>
      </c>
    </row>
    <row r="1424" spans="1:4" x14ac:dyDescent="0.2">
      <c r="A1424" s="5">
        <v>1363</v>
      </c>
      <c r="B1424" s="138">
        <f>'Expenditures 15-22'!D257</f>
        <v>1137</v>
      </c>
      <c r="C1424" s="2" t="s">
        <v>573</v>
      </c>
      <c r="D1424" s="2" t="str">
        <f t="shared" si="21"/>
        <v>Error?</v>
      </c>
    </row>
    <row r="1425" spans="1:4" x14ac:dyDescent="0.2">
      <c r="A1425" s="5">
        <v>1364</v>
      </c>
      <c r="B1425" s="138">
        <f>'Expenditures 15-22'!D259</f>
        <v>832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832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7063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10020</v>
      </c>
      <c r="D1431" s="2" t="str">
        <f t="shared" si="21"/>
        <v>Error?</v>
      </c>
    </row>
    <row r="1432" spans="1:4" x14ac:dyDescent="0.2">
      <c r="A1432" s="5">
        <v>1371</v>
      </c>
      <c r="B1432" s="138">
        <f>'Expenditures 15-22'!D267</f>
        <v>11618</v>
      </c>
      <c r="D1432" s="2" t="str">
        <f t="shared" si="21"/>
        <v>Error?</v>
      </c>
    </row>
    <row r="1433" spans="1:4" x14ac:dyDescent="0.2">
      <c r="A1433" s="5">
        <v>1372</v>
      </c>
      <c r="B1433" s="138">
        <f>'Expenditures 15-22'!D268</f>
        <v>9316</v>
      </c>
      <c r="D1433" s="2" t="str">
        <f t="shared" si="21"/>
        <v>Error?</v>
      </c>
    </row>
    <row r="1434" spans="1:4" x14ac:dyDescent="0.2">
      <c r="A1434" s="5">
        <v>1373</v>
      </c>
      <c r="B1434" s="138">
        <f>'Expenditures 15-22'!D269</f>
        <v>5458</v>
      </c>
      <c r="D1434" s="2" t="str">
        <f t="shared" si="21"/>
        <v>Error?</v>
      </c>
    </row>
    <row r="1435" spans="1:4" x14ac:dyDescent="0.2">
      <c r="A1435" s="10">
        <v>1374</v>
      </c>
      <c r="D1435" s="2" t="str">
        <f t="shared" si="21"/>
        <v>OK</v>
      </c>
    </row>
    <row r="1436" spans="1:4" x14ac:dyDescent="0.2">
      <c r="A1436" s="5">
        <v>1375</v>
      </c>
      <c r="B1436" s="138">
        <f>'Expenditures 15-22'!D270</f>
        <v>43475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50662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88498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1864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37836</v>
      </c>
      <c r="C1474" s="2" t="s">
        <v>573</v>
      </c>
      <c r="D1474" s="2" t="str">
        <f t="shared" si="22"/>
        <v>Error?</v>
      </c>
    </row>
    <row r="1475" spans="1:4" x14ac:dyDescent="0.2">
      <c r="A1475" s="5">
        <v>1414</v>
      </c>
      <c r="B1475" s="138">
        <f>'Expenditures 15-22'!K232</f>
        <v>671</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3724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823</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5218</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1137</v>
      </c>
      <c r="C1487" s="2" t="s">
        <v>573</v>
      </c>
      <c r="D1487" s="2" t="str">
        <f t="shared" si="22"/>
        <v>Error?</v>
      </c>
    </row>
    <row r="1488" spans="1:4" x14ac:dyDescent="0.2">
      <c r="A1488" s="5">
        <v>1427</v>
      </c>
      <c r="B1488" s="138">
        <f>'Expenditures 15-22'!K257</f>
        <v>1137</v>
      </c>
      <c r="C1488" s="2" t="s">
        <v>573</v>
      </c>
      <c r="D1488" s="2" t="str">
        <f t="shared" si="22"/>
        <v>Error?</v>
      </c>
    </row>
    <row r="1489" spans="1:4" x14ac:dyDescent="0.2">
      <c r="A1489" s="5">
        <v>1428</v>
      </c>
      <c r="B1489" s="138">
        <f>'Expenditures 15-22'!K259</f>
        <v>832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832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7063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10020</v>
      </c>
      <c r="C1495" s="2" t="s">
        <v>573</v>
      </c>
      <c r="D1495" s="2" t="str">
        <f t="shared" si="22"/>
        <v>Error?</v>
      </c>
    </row>
    <row r="1496" spans="1:4" x14ac:dyDescent="0.2">
      <c r="A1496" s="5">
        <v>1435</v>
      </c>
      <c r="B1496" s="138">
        <f>'Expenditures 15-22'!K267</f>
        <v>11618</v>
      </c>
      <c r="C1496" s="2" t="s">
        <v>573</v>
      </c>
      <c r="D1496" s="2" t="str">
        <f t="shared" si="22"/>
        <v>Error?</v>
      </c>
    </row>
    <row r="1497" spans="1:4" x14ac:dyDescent="0.2">
      <c r="A1497" s="5">
        <v>1436</v>
      </c>
      <c r="B1497" s="138">
        <f>'Expenditures 15-22'!K268</f>
        <v>9316</v>
      </c>
      <c r="C1497" s="2" t="s">
        <v>573</v>
      </c>
      <c r="D1497" s="2" t="str">
        <f t="shared" si="22"/>
        <v>Error?</v>
      </c>
    </row>
    <row r="1498" spans="1:4" x14ac:dyDescent="0.2">
      <c r="A1498" s="5">
        <v>1437</v>
      </c>
      <c r="B1498" s="138">
        <f>'Expenditures 15-22'!K269</f>
        <v>5458</v>
      </c>
      <c r="C1498" s="2" t="s">
        <v>573</v>
      </c>
      <c r="D1498" s="2" t="str">
        <f t="shared" si="22"/>
        <v>Error?</v>
      </c>
    </row>
    <row r="1499" spans="1:4" x14ac:dyDescent="0.2">
      <c r="A1499" s="10">
        <v>1438</v>
      </c>
      <c r="D1499" s="2" t="str">
        <f t="shared" si="22"/>
        <v>OK</v>
      </c>
    </row>
    <row r="1500" spans="1:4" x14ac:dyDescent="0.2">
      <c r="A1500" s="5">
        <v>1439</v>
      </c>
      <c r="B1500" s="138">
        <f>'Expenditures 15-22'!K270</f>
        <v>43475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50662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88498</v>
      </c>
      <c r="C1517" s="2" t="s">
        <v>573</v>
      </c>
      <c r="D1517" s="2" t="str">
        <f t="shared" si="22"/>
        <v>Error?</v>
      </c>
    </row>
    <row r="1518" spans="1:4" x14ac:dyDescent="0.2">
      <c r="A1518" s="5">
        <v>1457</v>
      </c>
      <c r="B1518" s="138">
        <f>'Expenditures 15-22'!K296</f>
        <v>11754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163217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159026</v>
      </c>
      <c r="C1630" s="2" t="s">
        <v>573</v>
      </c>
      <c r="D1630" s="2" t="str">
        <f t="shared" si="24"/>
        <v>Error?</v>
      </c>
    </row>
    <row r="1631" spans="1:4" x14ac:dyDescent="0.2">
      <c r="A1631" s="5">
        <v>1570</v>
      </c>
      <c r="B1631" s="138">
        <f>'Acct Summary 7-8'!D79</f>
        <v>205881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196387</v>
      </c>
      <c r="C1644" s="2" t="s">
        <v>573</v>
      </c>
      <c r="D1644" s="2" t="str">
        <f t="shared" si="24"/>
        <v>Error?</v>
      </c>
    </row>
    <row r="1645" spans="1:4" x14ac:dyDescent="0.2">
      <c r="A1645" s="5">
        <v>1584</v>
      </c>
      <c r="B1645" s="138">
        <f>'Acct Summary 7-8'!E79</f>
        <v>28173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26489</v>
      </c>
      <c r="C1658" s="2" t="s">
        <v>573</v>
      </c>
      <c r="D1658" s="2" t="str">
        <f t="shared" si="24"/>
        <v>Error?</v>
      </c>
    </row>
    <row r="1659" spans="1:4" x14ac:dyDescent="0.2">
      <c r="A1659" s="5">
        <v>1598</v>
      </c>
      <c r="B1659" s="138">
        <f>'Acct Summary 7-8'!F79</f>
        <v>233423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255729</v>
      </c>
      <c r="C1672" s="2" t="s">
        <v>573</v>
      </c>
      <c r="D1672" s="2" t="str">
        <f t="shared" si="25"/>
        <v>Error?</v>
      </c>
    </row>
    <row r="1673" spans="1:4" x14ac:dyDescent="0.2">
      <c r="A1673" s="5">
        <v>1612</v>
      </c>
      <c r="B1673" s="138">
        <f>'Acct Summary 7-8'!G79</f>
        <v>90294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102048</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186661</v>
      </c>
      <c r="C1744" s="2" t="s">
        <v>573</v>
      </c>
      <c r="D1744" s="2" t="str">
        <f t="shared" si="26"/>
        <v>Error?</v>
      </c>
    </row>
    <row r="1745" spans="1:5" x14ac:dyDescent="0.2">
      <c r="A1745" s="5">
        <v>1684</v>
      </c>
      <c r="B1745" s="138">
        <f>'Tax Sched 23'!B5</f>
        <v>50764</v>
      </c>
      <c r="C1745" s="2" t="s">
        <v>573</v>
      </c>
      <c r="D1745" s="2" t="str">
        <f t="shared" si="26"/>
        <v>Error?</v>
      </c>
    </row>
    <row r="1746" spans="1:5" x14ac:dyDescent="0.2">
      <c r="A1746" s="5">
        <v>1685</v>
      </c>
      <c r="B1746" s="138">
        <f>'Tax Sched 23'!B6</f>
        <v>101036</v>
      </c>
      <c r="C1746" s="2" t="s">
        <v>573</v>
      </c>
      <c r="D1746" s="2" t="str">
        <f t="shared" si="26"/>
        <v>Error?</v>
      </c>
    </row>
    <row r="1747" spans="1:5" x14ac:dyDescent="0.2">
      <c r="A1747" s="5">
        <v>1686</v>
      </c>
      <c r="B1747" s="138">
        <f>'Tax Sched 23'!B7</f>
        <v>24400</v>
      </c>
      <c r="C1747" s="2" t="s">
        <v>573</v>
      </c>
      <c r="D1747" s="2" t="str">
        <f t="shared" si="26"/>
        <v>Error?</v>
      </c>
    </row>
    <row r="1748" spans="1:5" x14ac:dyDescent="0.2">
      <c r="A1748" s="5">
        <v>1687</v>
      </c>
      <c r="B1748" s="138">
        <f>'Tax Sched 23'!B8</f>
        <v>45678</v>
      </c>
      <c r="C1748" s="2" t="s">
        <v>573</v>
      </c>
      <c r="D1748" s="2" t="str">
        <f t="shared" si="26"/>
        <v>Error?</v>
      </c>
    </row>
    <row r="1749" spans="1:5" x14ac:dyDescent="0.2">
      <c r="A1749" s="5">
        <v>1688</v>
      </c>
      <c r="B1749" s="138">
        <f>'Tax Sched 23'!B10</f>
        <v>10167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80985</v>
      </c>
      <c r="C1752" s="2" t="s">
        <v>573</v>
      </c>
      <c r="D1752" s="2" t="str">
        <f t="shared" si="26"/>
        <v>Error?</v>
      </c>
    </row>
    <row r="1753" spans="1:5" x14ac:dyDescent="0.2">
      <c r="A1753" s="5">
        <v>1692</v>
      </c>
      <c r="B1753" s="138">
        <f>'Tax Sched 23'!B12</f>
        <v>10167</v>
      </c>
      <c r="C1753" s="2" t="s">
        <v>573</v>
      </c>
      <c r="D1753" s="2" t="str">
        <f t="shared" si="26"/>
        <v>Error?</v>
      </c>
    </row>
    <row r="1754" spans="1:5" x14ac:dyDescent="0.2">
      <c r="A1754" s="5">
        <v>1693</v>
      </c>
      <c r="B1754" s="138">
        <f>'Tax Sched 23'!B14</f>
        <v>4068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569737</v>
      </c>
      <c r="C1759" s="2" t="s">
        <v>573</v>
      </c>
      <c r="D1759" s="2" t="str">
        <f t="shared" si="26"/>
        <v>Error?</v>
      </c>
    </row>
    <row r="1760" spans="1:5" x14ac:dyDescent="0.2">
      <c r="A1760" s="5">
        <v>1699</v>
      </c>
      <c r="B1760" s="138">
        <f>'Tax Sched 23'!D4</f>
        <v>186661</v>
      </c>
      <c r="C1760" s="2" t="s">
        <v>573</v>
      </c>
      <c r="D1760" s="2" t="str">
        <f t="shared" si="26"/>
        <v>Error?</v>
      </c>
    </row>
    <row r="1761" spans="1:5" x14ac:dyDescent="0.2">
      <c r="A1761" s="5">
        <v>1700</v>
      </c>
      <c r="B1761" s="138">
        <f>'Tax Sched 23'!D5</f>
        <v>50764</v>
      </c>
      <c r="C1761" s="2" t="s">
        <v>573</v>
      </c>
      <c r="D1761" s="2" t="str">
        <f t="shared" si="26"/>
        <v>Error?</v>
      </c>
    </row>
    <row r="1762" spans="1:5" s="8" customFormat="1" x14ac:dyDescent="0.2">
      <c r="A1762" s="5">
        <v>1701</v>
      </c>
      <c r="B1762" s="138">
        <f>'Tax Sched 23'!D6</f>
        <v>101036</v>
      </c>
      <c r="C1762" s="2" t="s">
        <v>573</v>
      </c>
      <c r="D1762" s="2" t="str">
        <f t="shared" si="26"/>
        <v>Error?</v>
      </c>
      <c r="E1762" s="9"/>
    </row>
    <row r="1763" spans="1:5" x14ac:dyDescent="0.2">
      <c r="A1763" s="5">
        <v>1702</v>
      </c>
      <c r="B1763" s="138">
        <f>'Tax Sched 23'!D7</f>
        <v>24400</v>
      </c>
      <c r="C1763" s="2" t="s">
        <v>573</v>
      </c>
      <c r="D1763" s="2" t="str">
        <f t="shared" si="26"/>
        <v>Error?</v>
      </c>
    </row>
    <row r="1764" spans="1:5" x14ac:dyDescent="0.2">
      <c r="A1764" s="5">
        <v>1703</v>
      </c>
      <c r="B1764" s="138">
        <f>'Tax Sched 23'!D8</f>
        <v>45678</v>
      </c>
      <c r="C1764" s="2" t="s">
        <v>573</v>
      </c>
      <c r="D1764" s="2" t="str">
        <f t="shared" si="26"/>
        <v>Error?</v>
      </c>
    </row>
    <row r="1765" spans="1:5" x14ac:dyDescent="0.2">
      <c r="A1765" s="5">
        <v>1704</v>
      </c>
      <c r="B1765" s="138">
        <f>'Tax Sched 23'!D10</f>
        <v>10167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80985</v>
      </c>
      <c r="C1768" s="2" t="s">
        <v>573</v>
      </c>
      <c r="D1768" s="2" t="str">
        <f t="shared" si="26"/>
        <v>Error?</v>
      </c>
    </row>
    <row r="1769" spans="1:5" x14ac:dyDescent="0.2">
      <c r="A1769" s="5">
        <v>1708</v>
      </c>
      <c r="B1769" s="138">
        <f>'Tax Sched 23'!D12</f>
        <v>10167</v>
      </c>
      <c r="C1769" s="2" t="s">
        <v>573</v>
      </c>
      <c r="D1769" s="2" t="str">
        <f t="shared" si="26"/>
        <v>Error?</v>
      </c>
    </row>
    <row r="1770" spans="1:5" x14ac:dyDescent="0.2">
      <c r="A1770" s="5">
        <v>1709</v>
      </c>
      <c r="B1770" s="138">
        <f>'Tax Sched 23'!D14</f>
        <v>4068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569737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255000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4068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4068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4068</v>
      </c>
      <c r="D1980" s="2" t="str">
        <f t="shared" si="29"/>
        <v>Error?</v>
      </c>
    </row>
    <row r="1981" spans="1:5" x14ac:dyDescent="0.2">
      <c r="A1981" s="10">
        <v>1920</v>
      </c>
      <c r="D1981" s="2" t="str">
        <f t="shared" si="29"/>
        <v>OK</v>
      </c>
      <c r="E1981" s="2" t="s">
        <v>135</v>
      </c>
    </row>
    <row r="1982" spans="1:5" x14ac:dyDescent="0.2">
      <c r="A1982" s="5">
        <v>1921</v>
      </c>
      <c r="B1982" s="138">
        <f>'Rest Tax Levies-Tort Im 25'!H23</f>
        <v>4068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7000</v>
      </c>
      <c r="D2008" s="2" t="str">
        <f t="shared" si="30"/>
        <v>Error?</v>
      </c>
    </row>
    <row r="2009" spans="1:4" x14ac:dyDescent="0.2">
      <c r="A2009" s="5">
        <v>1948</v>
      </c>
      <c r="B2009" s="138">
        <f>'Cap Outlay Deprec 26'!C8</f>
        <v>3948516</v>
      </c>
      <c r="D2009" s="2" t="str">
        <f t="shared" si="30"/>
        <v>Error?</v>
      </c>
    </row>
    <row r="2010" spans="1:4" x14ac:dyDescent="0.2">
      <c r="A2010" s="5">
        <v>1949</v>
      </c>
      <c r="B2010" s="138">
        <f>'Cap Outlay Deprec 26'!C10</f>
        <v>248248</v>
      </c>
      <c r="D2010" s="2" t="str">
        <f t="shared" si="30"/>
        <v>Error?</v>
      </c>
    </row>
    <row r="2011" spans="1:4" x14ac:dyDescent="0.2">
      <c r="A2011" s="5">
        <v>1950</v>
      </c>
      <c r="B2011" s="138">
        <f>'Cap Outlay Deprec 26'!C12</f>
        <v>600097</v>
      </c>
      <c r="D2011" s="2" t="str">
        <f t="shared" si="30"/>
        <v>Error?</v>
      </c>
    </row>
    <row r="2012" spans="1:4" x14ac:dyDescent="0.2">
      <c r="A2012" s="5">
        <v>1951</v>
      </c>
      <c r="B2012" s="138">
        <f>'Cap Outlay Deprec 26'!C13</f>
        <v>522797</v>
      </c>
      <c r="D2012" s="2" t="str">
        <f t="shared" si="30"/>
        <v>Error?</v>
      </c>
    </row>
    <row r="2013" spans="1:4" x14ac:dyDescent="0.2">
      <c r="A2013" s="5">
        <v>1952</v>
      </c>
      <c r="B2013" s="138">
        <f>'Cap Outlay Deprec 26'!C16</f>
        <v>5326658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11668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11668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7000</v>
      </c>
      <c r="C2026" s="2" t="s">
        <v>573</v>
      </c>
      <c r="D2026" s="2" t="str">
        <f t="shared" si="30"/>
        <v>Error?</v>
      </c>
    </row>
    <row r="2027" spans="1:4" x14ac:dyDescent="0.2">
      <c r="A2027" s="5">
        <v>1966</v>
      </c>
      <c r="B2027" s="138">
        <f>'Cap Outlay Deprec 26'!F8</f>
        <v>3948516</v>
      </c>
      <c r="C2027" s="2" t="s">
        <v>573</v>
      </c>
      <c r="D2027" s="2" t="str">
        <f t="shared" si="30"/>
        <v>Error?</v>
      </c>
    </row>
    <row r="2028" spans="1:4" x14ac:dyDescent="0.2">
      <c r="A2028" s="5">
        <v>1967</v>
      </c>
      <c r="B2028" s="138">
        <f>'Cap Outlay Deprec 26'!F10</f>
        <v>248248</v>
      </c>
      <c r="C2028" s="2" t="s">
        <v>573</v>
      </c>
      <c r="D2028" s="2" t="str">
        <f t="shared" si="30"/>
        <v>Error?</v>
      </c>
    </row>
    <row r="2029" spans="1:4" x14ac:dyDescent="0.2">
      <c r="A2029" s="5">
        <v>1968</v>
      </c>
      <c r="B2029" s="138">
        <f>'Cap Outlay Deprec 26'!F12</f>
        <v>611765</v>
      </c>
      <c r="C2029" s="2" t="s">
        <v>573</v>
      </c>
      <c r="D2029" s="2" t="str">
        <f t="shared" si="30"/>
        <v>Error?</v>
      </c>
    </row>
    <row r="2030" spans="1:4" x14ac:dyDescent="0.2">
      <c r="A2030" s="5">
        <v>1969</v>
      </c>
      <c r="B2030" s="138">
        <f>'Cap Outlay Deprec 26'!F13</f>
        <v>522797</v>
      </c>
      <c r="C2030" s="2" t="s">
        <v>573</v>
      </c>
      <c r="D2030" s="2" t="str">
        <f t="shared" si="30"/>
        <v>Error?</v>
      </c>
    </row>
    <row r="2031" spans="1:4" x14ac:dyDescent="0.2">
      <c r="A2031" s="5">
        <v>1970</v>
      </c>
      <c r="B2031" s="138">
        <f>'Cap Outlay Deprec 26'!F16</f>
        <v>5338326</v>
      </c>
      <c r="C2031" s="2" t="s">
        <v>573</v>
      </c>
      <c r="D2031" s="2" t="str">
        <f t="shared" si="30"/>
        <v>Error?</v>
      </c>
    </row>
    <row r="2032" spans="1:4" x14ac:dyDescent="0.2">
      <c r="A2032" s="10">
        <v>1971</v>
      </c>
      <c r="D2032" s="2" t="str">
        <f t="shared" si="30"/>
        <v>OK</v>
      </c>
    </row>
    <row r="2033" spans="1:4" x14ac:dyDescent="0.2">
      <c r="A2033" s="5">
        <v>1972</v>
      </c>
      <c r="B2033" s="138">
        <f>'Cap Outlay Deprec 26'!H8</f>
        <v>1482600</v>
      </c>
      <c r="D2033" s="2" t="str">
        <f t="shared" si="30"/>
        <v>Error?</v>
      </c>
    </row>
    <row r="2034" spans="1:4" x14ac:dyDescent="0.2">
      <c r="A2034" s="5">
        <v>1973</v>
      </c>
      <c r="B2034" s="138">
        <f>'Cap Outlay Deprec 26'!H10</f>
        <v>219520</v>
      </c>
      <c r="D2034" s="2" t="str">
        <f t="shared" si="30"/>
        <v>Error?</v>
      </c>
    </row>
    <row r="2035" spans="1:4" x14ac:dyDescent="0.2">
      <c r="A2035" s="5">
        <v>1974</v>
      </c>
      <c r="B2035" s="138">
        <f>'Cap Outlay Deprec 26'!H12</f>
        <v>538980</v>
      </c>
      <c r="D2035" s="2" t="str">
        <f t="shared" si="30"/>
        <v>Error?</v>
      </c>
    </row>
    <row r="2036" spans="1:4" x14ac:dyDescent="0.2">
      <c r="A2036" s="5">
        <v>1975</v>
      </c>
      <c r="B2036" s="138">
        <f>'Cap Outlay Deprec 26'!H13</f>
        <v>420884</v>
      </c>
      <c r="D2036" s="2" t="str">
        <f t="shared" si="30"/>
        <v>Error?</v>
      </c>
    </row>
    <row r="2037" spans="1:4" x14ac:dyDescent="0.2">
      <c r="A2037" s="5">
        <v>1976</v>
      </c>
      <c r="B2037" s="138">
        <f>'Cap Outlay Deprec 26'!H16</f>
        <v>2661984</v>
      </c>
      <c r="C2037" s="2" t="s">
        <v>573</v>
      </c>
      <c r="D2037" s="2" t="str">
        <f t="shared" si="30"/>
        <v>Error?</v>
      </c>
    </row>
    <row r="2038" spans="1:4" x14ac:dyDescent="0.2">
      <c r="A2038" s="10">
        <v>1977</v>
      </c>
      <c r="D2038" s="2" t="str">
        <f t="shared" si="30"/>
        <v>OK</v>
      </c>
    </row>
    <row r="2039" spans="1:4" x14ac:dyDescent="0.2">
      <c r="A2039" s="5">
        <v>1978</v>
      </c>
      <c r="B2039" s="138">
        <f>'Cap Outlay Deprec 26'!I8</f>
        <v>79586</v>
      </c>
      <c r="D2039" s="2" t="str">
        <f t="shared" si="30"/>
        <v>Error?</v>
      </c>
    </row>
    <row r="2040" spans="1:4" x14ac:dyDescent="0.2">
      <c r="A2040" s="5">
        <v>1979</v>
      </c>
      <c r="B2040" s="138">
        <f>'Cap Outlay Deprec 26'!I10</f>
        <v>9828</v>
      </c>
      <c r="D2040" s="2" t="str">
        <f t="shared" si="30"/>
        <v>Error?</v>
      </c>
    </row>
    <row r="2041" spans="1:4" x14ac:dyDescent="0.2">
      <c r="A2041" s="5">
        <v>1980</v>
      </c>
      <c r="B2041" s="138">
        <f>'Cap Outlay Deprec 26'!I12</f>
        <v>21073</v>
      </c>
      <c r="D2041" s="2" t="str">
        <f t="shared" si="30"/>
        <v>Error?</v>
      </c>
    </row>
    <row r="2042" spans="1:4" x14ac:dyDescent="0.2">
      <c r="A2042" s="5">
        <v>1981</v>
      </c>
      <c r="B2042" s="138">
        <f>'Cap Outlay Deprec 26'!I13</f>
        <v>40612</v>
      </c>
      <c r="D2042" s="2" t="str">
        <f t="shared" si="30"/>
        <v>Error?</v>
      </c>
    </row>
    <row r="2043" spans="1:4" x14ac:dyDescent="0.2">
      <c r="A2043" s="5">
        <v>1982</v>
      </c>
      <c r="B2043" s="138">
        <f>'Cap Outlay Deprec 26'!I16</f>
        <v>151099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1562186</v>
      </c>
      <c r="C2051" s="2" t="s">
        <v>573</v>
      </c>
      <c r="D2051" s="2" t="str">
        <f t="shared" si="31"/>
        <v>Error?</v>
      </c>
    </row>
    <row r="2052" spans="1:4" x14ac:dyDescent="0.2">
      <c r="A2052" s="5">
        <v>1991</v>
      </c>
      <c r="B2052" s="138">
        <f>'Cap Outlay Deprec 26'!K10</f>
        <v>229348</v>
      </c>
      <c r="C2052" s="2" t="s">
        <v>573</v>
      </c>
      <c r="D2052" s="2" t="str">
        <f t="shared" si="31"/>
        <v>Error?</v>
      </c>
    </row>
    <row r="2053" spans="1:4" x14ac:dyDescent="0.2">
      <c r="A2053" s="5">
        <v>1992</v>
      </c>
      <c r="B2053" s="138">
        <f>'Cap Outlay Deprec 26'!K12</f>
        <v>560053</v>
      </c>
      <c r="C2053" s="2" t="s">
        <v>573</v>
      </c>
      <c r="D2053" s="2" t="str">
        <f t="shared" si="31"/>
        <v>Error?</v>
      </c>
    </row>
    <row r="2054" spans="1:4" x14ac:dyDescent="0.2">
      <c r="A2054" s="5">
        <v>1993</v>
      </c>
      <c r="B2054" s="138">
        <f>'Cap Outlay Deprec 26'!K13</f>
        <v>461496</v>
      </c>
      <c r="C2054" s="2" t="s">
        <v>573</v>
      </c>
      <c r="D2054" s="2" t="str">
        <f t="shared" si="31"/>
        <v>Error?</v>
      </c>
    </row>
    <row r="2055" spans="1:4" x14ac:dyDescent="0.2">
      <c r="A2055" s="5">
        <v>1994</v>
      </c>
      <c r="B2055" s="138">
        <f>'Cap Outlay Deprec 26'!K16</f>
        <v>2813083</v>
      </c>
      <c r="C2055" s="2" t="s">
        <v>573</v>
      </c>
      <c r="D2055" s="2" t="str">
        <f t="shared" si="31"/>
        <v>Error?</v>
      </c>
    </row>
    <row r="2056" spans="1:4" x14ac:dyDescent="0.2">
      <c r="A2056" s="5">
        <v>1995</v>
      </c>
      <c r="B2056" s="138">
        <f>'Cap Outlay Deprec 26'!L5</f>
        <v>7000</v>
      </c>
      <c r="C2056" s="2" t="s">
        <v>573</v>
      </c>
      <c r="D2056" s="2" t="str">
        <f t="shared" si="31"/>
        <v>Error?</v>
      </c>
    </row>
    <row r="2057" spans="1:4" x14ac:dyDescent="0.2">
      <c r="A2057" s="5">
        <v>1996</v>
      </c>
      <c r="B2057" s="138">
        <f>'Cap Outlay Deprec 26'!L8</f>
        <v>2386330</v>
      </c>
      <c r="C2057" s="2" t="s">
        <v>573</v>
      </c>
      <c r="D2057" s="2" t="str">
        <f t="shared" si="31"/>
        <v>Error?</v>
      </c>
    </row>
    <row r="2058" spans="1:4" x14ac:dyDescent="0.2">
      <c r="A2058" s="5">
        <v>1997</v>
      </c>
      <c r="B2058" s="138">
        <f>'Cap Outlay Deprec 26'!L10</f>
        <v>18900</v>
      </c>
      <c r="C2058" s="2" t="s">
        <v>573</v>
      </c>
      <c r="D2058" s="2" t="str">
        <f t="shared" si="31"/>
        <v>Error?</v>
      </c>
    </row>
    <row r="2059" spans="1:4" x14ac:dyDescent="0.2">
      <c r="A2059" s="5">
        <v>1998</v>
      </c>
      <c r="B2059" s="138">
        <f>'Cap Outlay Deprec 26'!L12</f>
        <v>51712</v>
      </c>
      <c r="C2059" s="2" t="s">
        <v>573</v>
      </c>
      <c r="D2059" s="2" t="str">
        <f t="shared" si="31"/>
        <v>Error?</v>
      </c>
    </row>
    <row r="2060" spans="1:4" x14ac:dyDescent="0.2">
      <c r="A2060" s="5">
        <v>1999</v>
      </c>
      <c r="B2060" s="138">
        <f>'Cap Outlay Deprec 26'!L13</f>
        <v>61301</v>
      </c>
      <c r="C2060" s="2" t="s">
        <v>573</v>
      </c>
      <c r="D2060" s="2" t="str">
        <f t="shared" si="31"/>
        <v>Error?</v>
      </c>
    </row>
    <row r="2061" spans="1:4" x14ac:dyDescent="0.2">
      <c r="A2061" s="5">
        <v>2000</v>
      </c>
      <c r="B2061" s="138">
        <f>'Cap Outlay Deprec 26'!L16</f>
        <v>2525243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20428</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333951</v>
      </c>
      <c r="C2551" s="2" t="s">
        <v>573</v>
      </c>
      <c r="D2551" s="2" t="str">
        <f t="shared" si="38"/>
        <v>Error?</v>
      </c>
    </row>
    <row r="2552" spans="1:4" x14ac:dyDescent="0.2">
      <c r="A2552" s="10">
        <v>2491</v>
      </c>
      <c r="D2552" s="2" t="str">
        <f t="shared" si="38"/>
        <v>OK</v>
      </c>
    </row>
    <row r="2553" spans="1:4" x14ac:dyDescent="0.2">
      <c r="A2553" s="5">
        <v>2492</v>
      </c>
      <c r="B2553" s="138">
        <f>'Acct Summary 7-8'!C6</f>
        <v>1320961</v>
      </c>
      <c r="C2553" s="2" t="s">
        <v>573</v>
      </c>
      <c r="D2553" s="2" t="str">
        <f t="shared" si="38"/>
        <v>Error?</v>
      </c>
    </row>
    <row r="2554" spans="1:4" x14ac:dyDescent="0.2">
      <c r="A2554" s="5">
        <v>2493</v>
      </c>
      <c r="B2554" s="138">
        <f>'Acct Summary 7-8'!C7</f>
        <v>237978</v>
      </c>
      <c r="C2554" s="2" t="s">
        <v>573</v>
      </c>
      <c r="D2554" s="2" t="str">
        <f t="shared" si="38"/>
        <v>Error?</v>
      </c>
    </row>
    <row r="2555" spans="1:4" x14ac:dyDescent="0.2">
      <c r="A2555" s="5">
        <v>2494</v>
      </c>
      <c r="B2555" s="138">
        <f>'Acct Summary 7-8'!C8</f>
        <v>1892890</v>
      </c>
      <c r="C2555" s="2" t="s">
        <v>573</v>
      </c>
      <c r="D2555" s="2" t="str">
        <f t="shared" si="38"/>
        <v>Error?</v>
      </c>
    </row>
    <row r="2556" spans="1:4" x14ac:dyDescent="0.2">
      <c r="A2556" s="5">
        <v>2495</v>
      </c>
      <c r="B2556" s="138">
        <f>'Acct Summary 7-8'!C12</f>
        <v>1172531</v>
      </c>
      <c r="C2556" s="2" t="s">
        <v>573</v>
      </c>
      <c r="D2556" s="2" t="str">
        <f t="shared" si="38"/>
        <v>Error?</v>
      </c>
    </row>
    <row r="2557" spans="1:4" x14ac:dyDescent="0.2">
      <c r="A2557" s="5">
        <v>2496</v>
      </c>
      <c r="B2557" s="138">
        <f>'Acct Summary 7-8'!C13</f>
        <v>704122</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20428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1897081</v>
      </c>
      <c r="C2561" s="2" t="s">
        <v>573</v>
      </c>
      <c r="D2561" s="2" t="str">
        <f t="shared" si="39"/>
        <v>Error?</v>
      </c>
    </row>
    <row r="2562" spans="1:4" x14ac:dyDescent="0.2">
      <c r="A2562" s="5">
        <v>2501</v>
      </c>
      <c r="B2562" s="138">
        <f>'Acct Summary 7-8'!C20</f>
        <v>-4191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55384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24982</v>
      </c>
      <c r="C2567" s="2" t="s">
        <v>573</v>
      </c>
      <c r="D2567" s="2" t="str">
        <f t="shared" si="39"/>
        <v>Error?</v>
      </c>
    </row>
    <row r="2568" spans="1:4" x14ac:dyDescent="0.2">
      <c r="A2568" s="5">
        <v>2507</v>
      </c>
      <c r="B2568" s="138">
        <f>'Acct Summary 7-8'!D8</f>
        <v>80366</v>
      </c>
      <c r="C2568" s="2" t="s">
        <v>573</v>
      </c>
      <c r="D2568" s="2" t="str">
        <f t="shared" si="39"/>
        <v>Error?</v>
      </c>
    </row>
    <row r="2569" spans="1:4" x14ac:dyDescent="0.2">
      <c r="A2569" s="5">
        <v>2508</v>
      </c>
      <c r="B2569" s="138">
        <f>'Acct Summary 7-8'!D13</f>
        <v>89860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89860</v>
      </c>
      <c r="C2573" s="2" t="s">
        <v>573</v>
      </c>
      <c r="D2573" s="2" t="str">
        <f t="shared" si="39"/>
        <v>Error?</v>
      </c>
    </row>
    <row r="2574" spans="1:4" x14ac:dyDescent="0.2">
      <c r="A2574" s="5">
        <v>2513</v>
      </c>
      <c r="B2574" s="138">
        <f>'Acct Summary 7-8'!D20</f>
        <v>-9494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24410</v>
      </c>
      <c r="C2591" s="2" t="s">
        <v>573</v>
      </c>
      <c r="D2591" s="2" t="str">
        <f t="shared" si="39"/>
        <v>Error?</v>
      </c>
    </row>
    <row r="2592" spans="1:4" x14ac:dyDescent="0.2">
      <c r="A2592" s="10">
        <v>2531</v>
      </c>
      <c r="D2592" s="2" t="str">
        <f t="shared" si="39"/>
        <v>OK</v>
      </c>
    </row>
    <row r="2593" spans="1:4" x14ac:dyDescent="0.2">
      <c r="A2593" s="5">
        <v>2532</v>
      </c>
      <c r="B2593" s="138">
        <f>'Acct Summary 7-8'!F6</f>
        <v>138141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162551</v>
      </c>
      <c r="C2595" s="2" t="s">
        <v>573</v>
      </c>
      <c r="D2595" s="2" t="str">
        <f t="shared" si="39"/>
        <v>Error?</v>
      </c>
    </row>
    <row r="2596" spans="1:4" x14ac:dyDescent="0.2">
      <c r="A2596" s="5">
        <v>2535</v>
      </c>
      <c r="B2596" s="138">
        <f>'Acct Summary 7-8'!F13</f>
        <v>140245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140245</v>
      </c>
      <c r="C2600" s="2" t="s">
        <v>573</v>
      </c>
      <c r="D2600" s="2" t="str">
        <f t="shared" si="39"/>
        <v>Error?</v>
      </c>
    </row>
    <row r="2601" spans="1:4" x14ac:dyDescent="0.2">
      <c r="A2601" s="5">
        <v>2540</v>
      </c>
      <c r="B2601" s="138">
        <f>'Acct Summary 7-8'!F20</f>
        <v>22306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100252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100252</v>
      </c>
      <c r="C2606" s="2" t="s">
        <v>573</v>
      </c>
      <c r="D2606" s="2" t="str">
        <f t="shared" si="39"/>
        <v>Error?</v>
      </c>
    </row>
    <row r="2607" spans="1:4" x14ac:dyDescent="0.2">
      <c r="A2607" s="5">
        <v>2546</v>
      </c>
      <c r="B2607" s="138">
        <f>'Acct Summary 7-8'!G12</f>
        <v>37836</v>
      </c>
      <c r="C2607" s="2" t="s">
        <v>573</v>
      </c>
      <c r="D2607" s="2" t="str">
        <f t="shared" si="39"/>
        <v>Error?</v>
      </c>
    </row>
    <row r="2608" spans="1:4" x14ac:dyDescent="0.2">
      <c r="A2608" s="5">
        <v>2547</v>
      </c>
      <c r="B2608" s="138">
        <f>'Acct Summary 7-8'!G13</f>
        <v>50662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88498</v>
      </c>
      <c r="C2612" s="2" t="s">
        <v>573</v>
      </c>
      <c r="D2612" s="2" t="str">
        <f t="shared" si="39"/>
        <v>Error?</v>
      </c>
    </row>
    <row r="2613" spans="1:4" x14ac:dyDescent="0.2">
      <c r="A2613" s="5">
        <v>2552</v>
      </c>
      <c r="B2613" s="138">
        <f>'Acct Summary 7-8'!G20</f>
        <v>11754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101079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101079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102763</v>
      </c>
      <c r="C2634" s="2" t="s">
        <v>573</v>
      </c>
      <c r="D2634" s="2" t="str">
        <f t="shared" si="40"/>
        <v>Error?</v>
      </c>
    </row>
    <row r="2635" spans="1:4" x14ac:dyDescent="0.2">
      <c r="A2635" s="5">
        <v>2574</v>
      </c>
      <c r="B2635" s="138">
        <f>'Acct Summary 7-8'!E17</f>
        <v>102763</v>
      </c>
      <c r="C2635" s="2" t="s">
        <v>573</v>
      </c>
      <c r="D2635" s="2" t="str">
        <f t="shared" si="40"/>
        <v>Error?</v>
      </c>
    </row>
    <row r="2636" spans="1:4" x14ac:dyDescent="0.2">
      <c r="A2636" s="5">
        <v>2575</v>
      </c>
      <c r="B2636" s="138">
        <f>'Acct Summary 7-8'!E20</f>
        <v>-1684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20428</v>
      </c>
      <c r="C2789" s="2" t="s">
        <v>573</v>
      </c>
      <c r="D2789" s="2" t="str">
        <f t="shared" si="42"/>
        <v>Error?</v>
      </c>
    </row>
    <row r="2790" spans="1:4" x14ac:dyDescent="0.2">
      <c r="A2790" s="5">
        <v>2729</v>
      </c>
      <c r="B2790" s="138">
        <f>'Expenditures 15-22'!E102</f>
        <v>20428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249012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8437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249012</v>
      </c>
      <c r="D2912" s="2" t="str">
        <f t="shared" si="44"/>
        <v>Error?</v>
      </c>
    </row>
    <row r="2913" spans="1:4" x14ac:dyDescent="0.2">
      <c r="A2913" s="5">
        <v>2852</v>
      </c>
      <c r="B2913" s="138">
        <f>'Assets-Liab 5-6'!I41</f>
        <v>249012</v>
      </c>
      <c r="C2913" s="2" t="s">
        <v>573</v>
      </c>
      <c r="D2913" s="2" t="str">
        <f t="shared" si="44"/>
        <v>Error?</v>
      </c>
    </row>
    <row r="2914" spans="1:4" x14ac:dyDescent="0.2">
      <c r="A2914" s="5">
        <v>2853</v>
      </c>
      <c r="B2914" s="138">
        <f>'Assets-Liab 5-6'!L33</f>
        <v>8437</v>
      </c>
      <c r="D2914" s="2" t="str">
        <f t="shared" si="44"/>
        <v>Error?</v>
      </c>
    </row>
    <row r="2915" spans="1:4" x14ac:dyDescent="0.2">
      <c r="A2915" s="10">
        <v>2854</v>
      </c>
      <c r="D2915" s="2" t="str">
        <f t="shared" si="44"/>
        <v>OK</v>
      </c>
    </row>
    <row r="2916" spans="1:4" x14ac:dyDescent="0.2">
      <c r="A2916" s="5">
        <v>2855</v>
      </c>
      <c r="B2916" s="138">
        <f>'Assets-Liab 5-6'!L34</f>
        <v>8437</v>
      </c>
      <c r="C2916" s="2" t="s">
        <v>573</v>
      </c>
      <c r="D2916" s="2" t="str">
        <f t="shared" si="44"/>
        <v>Error?</v>
      </c>
    </row>
    <row r="2917" spans="1:4" x14ac:dyDescent="0.2">
      <c r="A2917" s="5">
        <v>2856</v>
      </c>
      <c r="B2917" s="138">
        <f>'Assets-Liab 5-6'!L41</f>
        <v>8437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20428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20428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12000</v>
      </c>
      <c r="D3055" s="2" t="str">
        <f t="shared" si="46"/>
        <v>Error?</v>
      </c>
    </row>
    <row r="3056" spans="1:4" x14ac:dyDescent="0.2">
      <c r="A3056" s="5">
        <v>2995</v>
      </c>
      <c r="B3056" s="138">
        <f>'Expenditures 15-22'!D10</f>
        <v>10232</v>
      </c>
      <c r="D3056" s="2" t="str">
        <f t="shared" si="46"/>
        <v>Error?</v>
      </c>
    </row>
    <row r="3057" spans="1:4" x14ac:dyDescent="0.2">
      <c r="A3057" s="5">
        <v>2996</v>
      </c>
      <c r="B3057" s="138">
        <f>'Expenditures 15-22'!E10</f>
        <v>42689</v>
      </c>
      <c r="D3057" s="2" t="str">
        <f t="shared" si="46"/>
        <v>Error?</v>
      </c>
    </row>
    <row r="3058" spans="1:4" x14ac:dyDescent="0.2">
      <c r="A3058" s="5">
        <v>2997</v>
      </c>
      <c r="B3058" s="138">
        <f>'Expenditures 15-22'!F10</f>
        <v>59973</v>
      </c>
      <c r="D3058" s="2" t="str">
        <f t="shared" si="46"/>
        <v>Error?</v>
      </c>
    </row>
    <row r="3059" spans="1:4" x14ac:dyDescent="0.2">
      <c r="A3059" s="5">
        <v>2998</v>
      </c>
      <c r="B3059" s="138">
        <f>'Expenditures 15-22'!G10</f>
        <v>9723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134617</v>
      </c>
      <c r="C3062" s="2" t="s">
        <v>573</v>
      </c>
      <c r="D3062" s="2" t="str">
        <f t="shared" si="46"/>
        <v>Error?</v>
      </c>
    </row>
    <row r="3063" spans="1:4" x14ac:dyDescent="0.2">
      <c r="A3063" s="10">
        <v>3002</v>
      </c>
      <c r="D3063" s="2" t="str">
        <f t="shared" si="46"/>
        <v>OK</v>
      </c>
    </row>
    <row r="3064" spans="1:4" x14ac:dyDescent="0.2">
      <c r="A3064" s="5">
        <v>3003</v>
      </c>
      <c r="B3064" s="138">
        <f>'Expenditures 15-22'!D219</f>
        <v>174</v>
      </c>
      <c r="D3064" s="2" t="str">
        <f t="shared" si="46"/>
        <v>Error?</v>
      </c>
    </row>
    <row r="3065" spans="1:4" x14ac:dyDescent="0.2">
      <c r="A3065" s="5">
        <v>3004</v>
      </c>
      <c r="B3065" s="138">
        <f>'Expenditures 15-22'!K219</f>
        <v>174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10171</v>
      </c>
      <c r="C3225" s="2" t="s">
        <v>573</v>
      </c>
      <c r="D3225" s="2" t="str">
        <f t="shared" si="49"/>
        <v>Error?</v>
      </c>
    </row>
    <row r="3226" spans="1:4" x14ac:dyDescent="0.2">
      <c r="A3226" s="5">
        <v>3165</v>
      </c>
      <c r="B3226" s="138">
        <f>'Acct Summary 7-8'!I8</f>
        <v>10171</v>
      </c>
      <c r="C3226" s="2" t="s">
        <v>573</v>
      </c>
      <c r="D3226" s="2" t="str">
        <f t="shared" si="49"/>
        <v>Error?</v>
      </c>
    </row>
    <row r="3227" spans="1:4" x14ac:dyDescent="0.2">
      <c r="A3227" s="5">
        <v>3166</v>
      </c>
      <c r="B3227" s="138">
        <f>'Acct Summary 7-8'!I20</f>
        <v>10171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-4191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-9494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22306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11754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-1684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10171</v>
      </c>
      <c r="C3320" s="2" t="s">
        <v>573</v>
      </c>
      <c r="D3320" s="2" t="str">
        <f t="shared" si="50"/>
        <v>Error?</v>
      </c>
    </row>
    <row r="3321" spans="1:4" x14ac:dyDescent="0.2">
      <c r="A3321" s="5">
        <v>3260</v>
      </c>
      <c r="B3321" s="138">
        <f>'Acct Summary 7-8'!I79</f>
        <v>238841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249012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127435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34627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162062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23651</v>
      </c>
      <c r="D3387" s="2" t="str">
        <f t="shared" si="51"/>
        <v>Error?</v>
      </c>
    </row>
    <row r="3388" spans="1:4" x14ac:dyDescent="0.2">
      <c r="A3388" s="5">
        <v>3327</v>
      </c>
      <c r="B3388" s="138">
        <f>'Expenditures 15-22'!D217</f>
        <v>7523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23651</v>
      </c>
      <c r="C3390" s="2" t="s">
        <v>573</v>
      </c>
      <c r="D3390" s="2" t="str">
        <f t="shared" si="51"/>
        <v>Error?</v>
      </c>
    </row>
    <row r="3391" spans="1:4" x14ac:dyDescent="0.2">
      <c r="A3391" s="5">
        <v>3330</v>
      </c>
      <c r="B3391" s="138">
        <f>'Expenditures 15-22'!K217</f>
        <v>7523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159026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196387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26489</v>
      </c>
      <c r="D3417" s="2" t="str">
        <f t="shared" si="52"/>
        <v>Error?</v>
      </c>
    </row>
    <row r="3418" spans="1:4" x14ac:dyDescent="0.2">
      <c r="A3418" s="10">
        <v>3357</v>
      </c>
      <c r="D3418" s="2" t="str">
        <f t="shared" si="52"/>
        <v>OK</v>
      </c>
    </row>
    <row r="3419" spans="1:4" x14ac:dyDescent="0.2">
      <c r="A3419" s="5">
        <v>3358</v>
      </c>
      <c r="B3419" s="138">
        <f>'Assets-Liab 5-6'!F4</f>
        <v>255729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102048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249012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8437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45644</v>
      </c>
      <c r="C3446" s="2" t="s">
        <v>573</v>
      </c>
      <c r="D3446" s="2" t="str">
        <f t="shared" si="52"/>
        <v>Error?</v>
      </c>
    </row>
    <row r="3447" spans="1:4" x14ac:dyDescent="0.2">
      <c r="A3447" s="5">
        <v>3386</v>
      </c>
      <c r="B3447" s="138">
        <f>'Tax Sched 23'!D16</f>
        <v>45644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19908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19908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19908</v>
      </c>
      <c r="D3567" s="2" t="str">
        <f t="shared" si="54"/>
        <v>Error?</v>
      </c>
    </row>
    <row r="3568" spans="1:4" x14ac:dyDescent="0.2">
      <c r="A3568" s="5">
        <v>3507</v>
      </c>
      <c r="B3568" s="138">
        <f>'Assets-Liab 5-6'!K41</f>
        <v>19908</v>
      </c>
      <c r="C3568" s="2" t="s">
        <v>573</v>
      </c>
      <c r="D3568" s="2" t="str">
        <f t="shared" si="54"/>
        <v>Error?</v>
      </c>
    </row>
    <row r="3569" spans="1:4" x14ac:dyDescent="0.2">
      <c r="A3569" s="5">
        <v>3508</v>
      </c>
      <c r="B3569" s="138">
        <f>'Acct Summary 7-8'!K4</f>
        <v>10171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10171</v>
      </c>
      <c r="C3571" s="2" t="s">
        <v>573</v>
      </c>
      <c r="D3571" s="2" t="str">
        <f t="shared" si="54"/>
        <v>Error?</v>
      </c>
    </row>
    <row r="3572" spans="1:4" x14ac:dyDescent="0.2">
      <c r="A3572" s="5">
        <v>3511</v>
      </c>
      <c r="B3572" s="138">
        <f>'Acct Summary 7-8'!K13</f>
        <v>2736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2736</v>
      </c>
      <c r="C3575" s="2" t="s">
        <v>573</v>
      </c>
      <c r="D3575" s="2" t="str">
        <f t="shared" si="54"/>
        <v>Error?</v>
      </c>
    </row>
    <row r="3576" spans="1:4" x14ac:dyDescent="0.2">
      <c r="A3576" s="5">
        <v>3515</v>
      </c>
      <c r="B3576" s="138">
        <f>'Acct Summary 7-8'!K20</f>
        <v>7435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7435</v>
      </c>
      <c r="C3588" s="2" t="s">
        <v>573</v>
      </c>
      <c r="D3588" s="2" t="str">
        <f t="shared" si="55"/>
        <v>Error?</v>
      </c>
    </row>
    <row r="3589" spans="1:4" x14ac:dyDescent="0.2">
      <c r="A3589" s="5">
        <v>3528</v>
      </c>
      <c r="B3589" s="138">
        <f>'Acct Summary 7-8'!K79</f>
        <v>12473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19908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2355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2355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2355</v>
      </c>
      <c r="C3636" s="2" t="s">
        <v>573</v>
      </c>
      <c r="D3636" s="2" t="str">
        <f t="shared" si="55"/>
        <v>Error?</v>
      </c>
    </row>
    <row r="3637" spans="1:4" x14ac:dyDescent="0.2">
      <c r="A3637" s="10">
        <v>3576</v>
      </c>
      <c r="D3637" s="2" t="str">
        <f t="shared" si="55"/>
        <v>OK</v>
      </c>
    </row>
    <row r="3638" spans="1:4" x14ac:dyDescent="0.2">
      <c r="A3638" s="5">
        <v>3577</v>
      </c>
      <c r="B3638" s="138">
        <f>'Expenditures 15-22'!F348</f>
        <v>381</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381</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381</v>
      </c>
      <c r="C3642" s="2" t="s">
        <v>573</v>
      </c>
      <c r="D3642" s="2" t="str">
        <f t="shared" si="55"/>
        <v>Error?</v>
      </c>
    </row>
    <row r="3643" spans="1:4" x14ac:dyDescent="0.2">
      <c r="A3643" s="5">
        <v>3582</v>
      </c>
      <c r="B3643" s="138">
        <f>'Expenditures 15-22'!F367</f>
        <v>381</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2736</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2736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2736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2736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7435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10167</v>
      </c>
      <c r="C3725" s="2" t="s">
        <v>573</v>
      </c>
      <c r="D3725" s="2" t="str">
        <f t="shared" si="57"/>
        <v>Error?</v>
      </c>
    </row>
    <row r="3726" spans="1:4" x14ac:dyDescent="0.2">
      <c r="A3726" s="5">
        <v>3665</v>
      </c>
      <c r="B3726" s="138">
        <f>'Tax Sched 23'!D13</f>
        <v>10167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745144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2638034</v>
      </c>
      <c r="C4122" s="2" t="s">
        <v>573</v>
      </c>
      <c r="D4122" s="2" t="str">
        <f t="shared" si="63"/>
        <v>Error?</v>
      </c>
    </row>
    <row r="4123" spans="1:4" x14ac:dyDescent="0.2">
      <c r="A4123" s="5">
        <v>4062</v>
      </c>
      <c r="B4123" s="138">
        <f>'Acct Summary 7-8'!D10</f>
        <v>80366</v>
      </c>
      <c r="C4123" s="2" t="s">
        <v>573</v>
      </c>
      <c r="D4123" s="2" t="str">
        <f t="shared" si="63"/>
        <v>Error?</v>
      </c>
    </row>
    <row r="4124" spans="1:4" x14ac:dyDescent="0.2">
      <c r="A4124" s="5">
        <v>4063</v>
      </c>
      <c r="B4124" s="138">
        <f>'Acct Summary 7-8'!E10</f>
        <v>101079</v>
      </c>
      <c r="C4124" s="2" t="s">
        <v>573</v>
      </c>
      <c r="D4124" s="2" t="str">
        <f t="shared" si="63"/>
        <v>Error?</v>
      </c>
    </row>
    <row r="4125" spans="1:4" x14ac:dyDescent="0.2">
      <c r="A4125" s="5">
        <v>4064</v>
      </c>
      <c r="B4125" s="138">
        <f>'Acct Summary 7-8'!F10</f>
        <v>162551</v>
      </c>
      <c r="C4125" s="2" t="s">
        <v>573</v>
      </c>
      <c r="D4125" s="2" t="str">
        <f t="shared" si="63"/>
        <v>Error?</v>
      </c>
    </row>
    <row r="4126" spans="1:4" x14ac:dyDescent="0.2">
      <c r="A4126" s="5">
        <v>4065</v>
      </c>
      <c r="B4126" s="138">
        <f>'Acct Summary 7-8'!G10</f>
        <v>100252</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10171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10171</v>
      </c>
      <c r="C4130" s="2" t="s">
        <v>573</v>
      </c>
      <c r="D4130" s="2" t="str">
        <f t="shared" si="63"/>
        <v>Error?</v>
      </c>
    </row>
    <row r="4131" spans="1:4" x14ac:dyDescent="0.2">
      <c r="A4131" s="5">
        <v>4070</v>
      </c>
      <c r="B4131" s="138">
        <f>'Acct Summary 7-8'!C18</f>
        <v>745144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2642225</v>
      </c>
      <c r="C4136" s="2" t="s">
        <v>573</v>
      </c>
      <c r="D4136" s="2" t="str">
        <f t="shared" si="63"/>
        <v>Error?</v>
      </c>
    </row>
    <row r="4137" spans="1:4" x14ac:dyDescent="0.2">
      <c r="A4137" s="5">
        <v>4076</v>
      </c>
      <c r="B4137" s="138">
        <f>'Acct Summary 7-8'!D19</f>
        <v>89860</v>
      </c>
      <c r="C4137" s="2" t="s">
        <v>573</v>
      </c>
      <c r="D4137" s="2" t="str">
        <f t="shared" si="63"/>
        <v>Error?</v>
      </c>
    </row>
    <row r="4138" spans="1:4" x14ac:dyDescent="0.2">
      <c r="A4138" s="5">
        <v>4077</v>
      </c>
      <c r="B4138" s="138">
        <f>'Acct Summary 7-8'!E19</f>
        <v>102763</v>
      </c>
      <c r="C4138" s="2" t="s">
        <v>573</v>
      </c>
      <c r="D4138" s="2" t="str">
        <f t="shared" si="63"/>
        <v>Error?</v>
      </c>
    </row>
    <row r="4139" spans="1:4" x14ac:dyDescent="0.2">
      <c r="A4139" s="5">
        <v>4078</v>
      </c>
      <c r="B4139" s="138">
        <f>'Acct Summary 7-8'!F19</f>
        <v>140245</v>
      </c>
      <c r="C4139" s="2" t="s">
        <v>573</v>
      </c>
      <c r="D4139" s="2" t="str">
        <f t="shared" si="63"/>
        <v>Error?</v>
      </c>
    </row>
    <row r="4140" spans="1:4" x14ac:dyDescent="0.2">
      <c r="A4140" s="5">
        <v>4079</v>
      </c>
      <c r="B4140" s="138">
        <f>'Acct Summary 7-8'!G19</f>
        <v>88498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2736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160000</v>
      </c>
      <c r="C4171" s="2" t="s">
        <v>573</v>
      </c>
      <c r="D4171" s="2" t="str">
        <f t="shared" si="64"/>
        <v>Error?</v>
      </c>
    </row>
    <row r="4172" spans="1:4" x14ac:dyDescent="0.2">
      <c r="A4172" s="5">
        <v>4111</v>
      </c>
      <c r="B4172" s="138">
        <f>'Short-Term Long-Term Debt 24'!J49</f>
        <v>133511</v>
      </c>
      <c r="C4172" s="2" t="s">
        <v>573</v>
      </c>
      <c r="D4172" s="2" t="str">
        <f t="shared" si="64"/>
        <v>Error?</v>
      </c>
    </row>
    <row r="4173" spans="1:4" x14ac:dyDescent="0.2">
      <c r="A4173" s="5">
        <v>4112</v>
      </c>
      <c r="B4173" s="138">
        <f>'Short-Term Long-Term Debt 24'!H49</f>
        <v>95000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1290</v>
      </c>
      <c r="C4268" s="2" t="s">
        <v>573</v>
      </c>
      <c r="D4268" s="2" t="str">
        <f t="shared" si="65"/>
        <v>Error?</v>
      </c>
    </row>
    <row r="4269" spans="1:5" x14ac:dyDescent="0.2">
      <c r="A4269" s="12">
        <v>4208</v>
      </c>
      <c r="B4269" s="138">
        <f>'FP Info 3'!J16</f>
        <v>860154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24352</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4476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15936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1025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17706</v>
      </c>
      <c r="D4852" s="2" t="str">
        <f t="shared" si="74"/>
        <v>Error?</v>
      </c>
    </row>
    <row r="4853" spans="1:4" x14ac:dyDescent="0.2">
      <c r="A4853" s="5">
        <v>4792</v>
      </c>
      <c r="B4853" s="138">
        <f>'Revenues 9-14'!D265</f>
        <v>24982</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20670159</v>
      </c>
      <c r="D4995" s="2" t="str">
        <f t="shared" si="77"/>
        <v>Error?</v>
      </c>
    </row>
    <row r="4996" spans="1:4" x14ac:dyDescent="0.2">
      <c r="A4996" s="12">
        <v>4935</v>
      </c>
      <c r="B4996" s="138">
        <f>'FP Info 3'!H31</f>
        <v>1426240.9710000001</v>
      </c>
      <c r="D4996" s="2" t="str">
        <f t="shared" si="77"/>
        <v>Error?</v>
      </c>
    </row>
    <row r="4997" spans="1:4" x14ac:dyDescent="0.2">
      <c r="A4997" s="12">
        <v>4936</v>
      </c>
      <c r="B4997" s="138">
        <f>'FP Info 3'!H37</f>
        <v>160000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10167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186661</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196828</v>
      </c>
      <c r="C5066" s="2" t="s">
        <v>573</v>
      </c>
      <c r="D5066" s="2" t="str">
        <f t="shared" si="78"/>
        <v>Error?</v>
      </c>
    </row>
    <row r="5067" spans="1:4" x14ac:dyDescent="0.2">
      <c r="A5067" s="5">
        <v>5006</v>
      </c>
      <c r="B5067" s="138">
        <f>'Revenues 9-14'!C14</f>
        <v>84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43410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43494</v>
      </c>
      <c r="C5071" s="2" t="s">
        <v>573</v>
      </c>
      <c r="D5071" s="2" t="str">
        <f t="shared" si="78"/>
        <v>Error?</v>
      </c>
    </row>
    <row r="5072" spans="1:4" x14ac:dyDescent="0.2">
      <c r="A5072" s="5">
        <v>5011</v>
      </c>
      <c r="B5072" s="138">
        <f>'Revenues 9-14'!C20</f>
        <v>2434</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2434</v>
      </c>
      <c r="C5087" s="2" t="s">
        <v>573</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573</v>
      </c>
      <c r="D5090" s="2" t="str">
        <f t="shared" si="78"/>
        <v>Error?</v>
      </c>
    </row>
    <row r="5091" spans="1:4" x14ac:dyDescent="0.2">
      <c r="A5091" s="5">
        <v>5030</v>
      </c>
      <c r="B5091" s="138">
        <f>'Revenues 9-14'!C70</f>
        <v>1097</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1890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17508</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2730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2730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5525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59084</v>
      </c>
      <c r="D5118" s="2" t="str">
        <f t="shared" si="78"/>
        <v>Error?</v>
      </c>
    </row>
    <row r="5119" spans="1:4" x14ac:dyDescent="0.2">
      <c r="A5119" s="5">
        <v>5058</v>
      </c>
      <c r="B5119" s="138">
        <f>'Revenues 9-14'!C107</f>
        <v>6348</v>
      </c>
      <c r="D5119" s="2" t="str">
        <f t="shared" ref="D5119:D5182" si="79">IF(ISBLANK(B5119),"OK",IF(A5119-B5119=0,"OK","Error?"))</f>
        <v>Error?</v>
      </c>
    </row>
    <row r="5120" spans="1:4" x14ac:dyDescent="0.2">
      <c r="A5120" s="5">
        <v>5059</v>
      </c>
      <c r="B5120" s="138">
        <f>'Revenues 9-14'!C108</f>
        <v>70957</v>
      </c>
      <c r="C5120" s="2" t="s">
        <v>573</v>
      </c>
      <c r="D5120" s="2" t="str">
        <f t="shared" si="79"/>
        <v>Error?</v>
      </c>
    </row>
    <row r="5121" spans="1:4" x14ac:dyDescent="0.2">
      <c r="A5121" s="5">
        <v>5060</v>
      </c>
      <c r="B5121" s="138">
        <f>'Revenues 9-14'!C109</f>
        <v>333951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1185476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1185476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1207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133253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135485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1320961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54043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17898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71941</v>
      </c>
      <c r="C5246" s="2" t="s">
        <v>573</v>
      </c>
      <c r="D5246" s="2" t="str">
        <f t="shared" si="80"/>
        <v>Error?</v>
      </c>
    </row>
    <row r="5247" spans="1:4" x14ac:dyDescent="0.2">
      <c r="A5247" s="5">
        <v>5186</v>
      </c>
      <c r="B5247" s="138">
        <f>'Revenues 9-14'!C200</f>
        <v>103567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127919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237978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237978</v>
      </c>
      <c r="C5326" s="2" t="s">
        <v>573</v>
      </c>
      <c r="D5326" s="2" t="str">
        <f t="shared" si="82"/>
        <v>Error?</v>
      </c>
    </row>
    <row r="5327" spans="1:5" x14ac:dyDescent="0.2">
      <c r="A5327" s="5">
        <v>5266</v>
      </c>
      <c r="B5327" s="138">
        <f>'Revenues 9-14'!C268</f>
        <v>1892890</v>
      </c>
      <c r="C5327" s="2" t="s">
        <v>573</v>
      </c>
      <c r="D5327" s="2" t="str">
        <f t="shared" si="82"/>
        <v>Error?</v>
      </c>
    </row>
    <row r="5328" spans="1:5" x14ac:dyDescent="0.2">
      <c r="A5328" s="5">
        <v>5267</v>
      </c>
      <c r="B5328" s="138">
        <f>'Revenues 9-14'!D5</f>
        <v>50764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4068</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54832</v>
      </c>
      <c r="C5334" s="2" t="s">
        <v>573</v>
      </c>
      <c r="D5334" s="2" t="str">
        <f t="shared" si="82"/>
        <v>Error?</v>
      </c>
    </row>
    <row r="5335" spans="1:4" x14ac:dyDescent="0.2">
      <c r="A5335" s="5">
        <v>5274</v>
      </c>
      <c r="B5335" s="138">
        <f>'Revenues 9-14'!D14</f>
        <v>23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23</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529</v>
      </c>
      <c r="D5354" s="2" t="str">
        <f t="shared" si="82"/>
        <v>Error?</v>
      </c>
    </row>
    <row r="5355" spans="1:4" x14ac:dyDescent="0.2">
      <c r="A5355" s="5">
        <v>5294</v>
      </c>
      <c r="B5355" s="138">
        <f>'Revenues 9-14'!D108</f>
        <v>529</v>
      </c>
      <c r="C5355" s="2" t="s">
        <v>573</v>
      </c>
      <c r="D5355" s="2" t="str">
        <f t="shared" si="82"/>
        <v>Error?</v>
      </c>
    </row>
    <row r="5356" spans="1:4" x14ac:dyDescent="0.2">
      <c r="A5356" s="5">
        <v>5295</v>
      </c>
      <c r="B5356" s="138">
        <f>'Revenues 9-14'!D109</f>
        <v>55384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24982</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24982</v>
      </c>
      <c r="C5507" s="2" t="s">
        <v>573</v>
      </c>
      <c r="D5507" s="2" t="str">
        <f t="shared" si="85"/>
        <v>Error?</v>
      </c>
    </row>
    <row r="5508" spans="1:4" x14ac:dyDescent="0.2">
      <c r="A5508" s="5">
        <v>5447</v>
      </c>
      <c r="B5508" s="138">
        <f>'Revenues 9-14'!D268</f>
        <v>80366</v>
      </c>
      <c r="C5508" s="2" t="s">
        <v>573</v>
      </c>
      <c r="D5508" s="2" t="str">
        <f t="shared" si="85"/>
        <v>Error?</v>
      </c>
    </row>
    <row r="5509" spans="1:4" x14ac:dyDescent="0.2">
      <c r="A5509" s="5">
        <v>5448</v>
      </c>
      <c r="B5509" s="138">
        <f>'Revenues 9-14'!E5</f>
        <v>101036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101036</v>
      </c>
      <c r="C5513" s="2" t="s">
        <v>573</v>
      </c>
      <c r="D5513" s="2" t="str">
        <f t="shared" si="85"/>
        <v>Error?</v>
      </c>
    </row>
    <row r="5514" spans="1:4" x14ac:dyDescent="0.2">
      <c r="A5514" s="5">
        <v>5453</v>
      </c>
      <c r="B5514" s="138">
        <f>'Revenues 9-14'!E14</f>
        <v>43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43</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101079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101079</v>
      </c>
      <c r="C5552" s="2" t="s">
        <v>573</v>
      </c>
      <c r="D5552" s="2" t="str">
        <f t="shared" si="85"/>
        <v>Error?</v>
      </c>
    </row>
    <row r="5553" spans="1:4" x14ac:dyDescent="0.2">
      <c r="A5553" s="5">
        <v>5492</v>
      </c>
      <c r="B5553" s="138">
        <f>'Revenues 9-14'!F5</f>
        <v>24400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24400</v>
      </c>
      <c r="C5557" s="2" t="s">
        <v>573</v>
      </c>
      <c r="D5557" s="2" t="str">
        <f t="shared" si="85"/>
        <v>Error?</v>
      </c>
    </row>
    <row r="5558" spans="1:4" x14ac:dyDescent="0.2">
      <c r="A5558" s="5">
        <v>5497</v>
      </c>
      <c r="B5558" s="138">
        <f>'Revenues 9-14'!F14</f>
        <v>10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24410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136738</v>
      </c>
      <c r="D5615" s="2" t="str">
        <f t="shared" si="86"/>
        <v>Error?</v>
      </c>
    </row>
    <row r="5616" spans="1:4" x14ac:dyDescent="0.2">
      <c r="A5616" s="10">
        <v>5555</v>
      </c>
      <c r="D5616" s="2" t="str">
        <f t="shared" si="86"/>
        <v>OK</v>
      </c>
    </row>
    <row r="5617" spans="1:5" x14ac:dyDescent="0.2">
      <c r="A5617" s="5">
        <v>5556</v>
      </c>
      <c r="B5617" s="138">
        <f>'Revenues 9-14'!F153</f>
        <v>1403</v>
      </c>
      <c r="D5617" s="2" t="str">
        <f t="shared" si="86"/>
        <v>Error?</v>
      </c>
    </row>
    <row r="5618" spans="1:5" x14ac:dyDescent="0.2">
      <c r="A5618" s="5">
        <v>5557</v>
      </c>
      <c r="B5618" s="138">
        <f>'Revenues 9-14'!F155</f>
        <v>138141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138141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138141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162551</v>
      </c>
      <c r="C5720" s="2" t="s">
        <v>573</v>
      </c>
      <c r="D5720" s="2" t="str">
        <f t="shared" si="88"/>
        <v>Error?</v>
      </c>
    </row>
    <row r="5721" spans="1:4" x14ac:dyDescent="0.2">
      <c r="A5721" s="5">
        <v>5660</v>
      </c>
      <c r="B5721" s="138">
        <f>'Revenues 9-14'!G5</f>
        <v>45678</v>
      </c>
      <c r="D5721" s="2" t="str">
        <f t="shared" si="88"/>
        <v>Error?</v>
      </c>
    </row>
    <row r="5722" spans="1:4" x14ac:dyDescent="0.2">
      <c r="A5722" s="5">
        <v>5661</v>
      </c>
      <c r="B5722" s="138">
        <f>'Revenues 9-14'!G7</f>
        <v>0</v>
      </c>
      <c r="D5722" s="2" t="str">
        <f t="shared" si="88"/>
        <v>Error?</v>
      </c>
    </row>
    <row r="5723" spans="1:4" x14ac:dyDescent="0.2">
      <c r="A5723" s="5">
        <v>5662</v>
      </c>
      <c r="B5723" s="138">
        <f>'Revenues 9-14'!G8</f>
        <v>45644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91322</v>
      </c>
      <c r="C5725" s="2" t="s">
        <v>573</v>
      </c>
      <c r="D5725" s="2" t="str">
        <f t="shared" si="88"/>
        <v>Error?</v>
      </c>
    </row>
    <row r="5726" spans="1:4" x14ac:dyDescent="0.2">
      <c r="A5726" s="5">
        <v>5665</v>
      </c>
      <c r="B5726" s="138">
        <f>'Revenues 9-14'!G14</f>
        <v>39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8891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8930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100252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10167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10167</v>
      </c>
      <c r="C5918" s="2" t="s">
        <v>573</v>
      </c>
      <c r="D5918" s="2" t="str">
        <f t="shared" si="91"/>
        <v>Error?</v>
      </c>
    </row>
    <row r="5919" spans="1:4" x14ac:dyDescent="0.2">
      <c r="A5919" s="5">
        <v>5858</v>
      </c>
      <c r="B5919" s="138">
        <f>'Revenues 9-14'!I14</f>
        <v>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4</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10171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10167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10167</v>
      </c>
      <c r="C5987" s="2" t="s">
        <v>573</v>
      </c>
      <c r="D5987" s="2" t="str">
        <f t="shared" si="92"/>
        <v>Error?</v>
      </c>
    </row>
    <row r="5988" spans="1:4" x14ac:dyDescent="0.2">
      <c r="A5988" s="5">
        <v>5927</v>
      </c>
      <c r="B5988" s="138">
        <f>'Revenues 9-14'!K14</f>
        <v>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4</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10171</v>
      </c>
      <c r="C6023" s="2" t="s">
        <v>573</v>
      </c>
      <c r="D6023" s="2" t="str">
        <f t="shared" si="93"/>
        <v>Error?</v>
      </c>
    </row>
    <row r="6024" spans="1:5" x14ac:dyDescent="0.2">
      <c r="A6024" s="5">
        <v>5963</v>
      </c>
      <c r="B6024" s="138">
        <f>'Revenues 9-14'!G109</f>
        <v>100252</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10171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10171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14521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199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40595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40595</v>
      </c>
      <c r="D6215" s="2" t="str">
        <f t="shared" si="96"/>
        <v>Error?</v>
      </c>
      <c r="E6215" s="2" t="s">
        <v>190</v>
      </c>
    </row>
    <row r="6216" spans="1:5" x14ac:dyDescent="0.2">
      <c r="A6216">
        <v>6155</v>
      </c>
      <c r="B6216" s="138">
        <f>'Assets-Liab 5-6'!J41</f>
        <v>40595</v>
      </c>
      <c r="D6216" s="2" t="str">
        <f t="shared" si="96"/>
        <v>Error?</v>
      </c>
      <c r="E6216" s="2" t="s">
        <v>190</v>
      </c>
    </row>
    <row r="6217" spans="1:5" x14ac:dyDescent="0.2">
      <c r="A6217">
        <v>6156</v>
      </c>
      <c r="B6217" s="138">
        <f>'Assets-Liab 5-6'!J4</f>
        <v>40595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81019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81019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81019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90500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90500</v>
      </c>
      <c r="D6229" s="2" t="str">
        <f t="shared" si="96"/>
        <v>Error?</v>
      </c>
      <c r="E6229" s="2" t="s">
        <v>190</v>
      </c>
    </row>
    <row r="6230" spans="1:5" x14ac:dyDescent="0.2">
      <c r="A6230">
        <v>6169</v>
      </c>
      <c r="B6230" s="138">
        <f>'Acct Summary 7-8'!J20</f>
        <v>-9481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-9481</v>
      </c>
      <c r="D6263" s="2" t="str">
        <f t="shared" si="96"/>
        <v>Error?</v>
      </c>
      <c r="E6263" s="2" t="s">
        <v>190</v>
      </c>
    </row>
    <row r="6264" spans="1:5" x14ac:dyDescent="0.2">
      <c r="A6264">
        <v>6203</v>
      </c>
      <c r="B6264" s="138">
        <f>'Acct Summary 7-8'!J79</f>
        <v>50076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40595</v>
      </c>
      <c r="D6266" s="2" t="str">
        <f t="shared" si="96"/>
        <v>Error?</v>
      </c>
      <c r="E6266" s="2" t="s">
        <v>190</v>
      </c>
    </row>
    <row r="6267" spans="1:5" x14ac:dyDescent="0.2">
      <c r="A6267">
        <v>6206</v>
      </c>
      <c r="B6267" s="138">
        <f>'Acct Summary 7-8'!C82</f>
        <v>-4191</v>
      </c>
      <c r="D6267" s="2" t="str">
        <f t="shared" si="96"/>
        <v>Error?</v>
      </c>
      <c r="E6267" s="2" t="s">
        <v>190</v>
      </c>
    </row>
    <row r="6268" spans="1:5" x14ac:dyDescent="0.2">
      <c r="A6268">
        <v>6207</v>
      </c>
      <c r="B6268" s="138">
        <f>'Acct Summary 7-8'!D82</f>
        <v>-9494</v>
      </c>
      <c r="D6268" s="2" t="str">
        <f t="shared" si="96"/>
        <v>Error?</v>
      </c>
      <c r="E6268" s="2" t="s">
        <v>190</v>
      </c>
    </row>
    <row r="6269" spans="1:5" x14ac:dyDescent="0.2">
      <c r="A6269">
        <v>6208</v>
      </c>
      <c r="B6269" s="138">
        <f>'Acct Summary 7-8'!E82</f>
        <v>-1684</v>
      </c>
      <c r="D6269" s="2" t="str">
        <f t="shared" si="96"/>
        <v>Error?</v>
      </c>
      <c r="E6269" s="2" t="s">
        <v>190</v>
      </c>
    </row>
    <row r="6270" spans="1:5" x14ac:dyDescent="0.2">
      <c r="A6270">
        <v>6209</v>
      </c>
      <c r="B6270" s="138">
        <f>'Acct Summary 7-8'!F82</f>
        <v>22306</v>
      </c>
      <c r="D6270" s="2" t="str">
        <f t="shared" si="96"/>
        <v>Error?</v>
      </c>
      <c r="E6270" s="2" t="s">
        <v>190</v>
      </c>
    </row>
    <row r="6271" spans="1:5" x14ac:dyDescent="0.2">
      <c r="A6271">
        <v>6210</v>
      </c>
      <c r="B6271" s="138">
        <f>'Acct Summary 7-8'!G82</f>
        <v>11754</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10171</v>
      </c>
      <c r="D6273" s="2" t="str">
        <f t="shared" si="97"/>
        <v>Error?</v>
      </c>
      <c r="E6273" s="2" t="s">
        <v>190</v>
      </c>
    </row>
    <row r="6274" spans="1:5" x14ac:dyDescent="0.2">
      <c r="A6274">
        <v>6213</v>
      </c>
      <c r="B6274" s="138">
        <f>'Acct Summary 7-8'!J82</f>
        <v>-9481</v>
      </c>
      <c r="D6274" s="2" t="str">
        <f t="shared" si="97"/>
        <v>Error?</v>
      </c>
      <c r="E6274" s="2" t="s">
        <v>190</v>
      </c>
    </row>
    <row r="6275" spans="1:5" x14ac:dyDescent="0.2">
      <c r="A6275">
        <v>6214</v>
      </c>
      <c r="B6275" s="138">
        <f>'Acct Summary 7-8'!K82</f>
        <v>7435</v>
      </c>
      <c r="D6275" s="2" t="str">
        <f t="shared" si="97"/>
        <v>Error?</v>
      </c>
      <c r="E6275" s="2" t="s">
        <v>190</v>
      </c>
    </row>
    <row r="6276" spans="1:5" x14ac:dyDescent="0.2">
      <c r="A6276">
        <v>6215</v>
      </c>
      <c r="B6276" s="138">
        <f>'Acct Summary 7-8'!C83</f>
        <v>-2.6354181077308112E-2</v>
      </c>
      <c r="D6276" s="2" t="str">
        <f t="shared" si="97"/>
        <v>Error?</v>
      </c>
      <c r="E6276" s="2" t="s">
        <v>190</v>
      </c>
    </row>
    <row r="6277" spans="1:5" x14ac:dyDescent="0.2">
      <c r="A6277">
        <v>6216</v>
      </c>
      <c r="B6277" s="138">
        <f>'Acct Summary 7-8'!D83</f>
        <v>-4.8343322113989215E-2</v>
      </c>
      <c r="D6277" s="2" t="str">
        <f t="shared" si="97"/>
        <v>Error?</v>
      </c>
      <c r="E6277" s="2" t="s">
        <v>190</v>
      </c>
    </row>
    <row r="6278" spans="1:5" x14ac:dyDescent="0.2">
      <c r="A6278">
        <v>6217</v>
      </c>
      <c r="B6278" s="138">
        <f>'Acct Summary 7-8'!E83</f>
        <v>-6.3573558835743144E-2</v>
      </c>
      <c r="D6278" s="2" t="str">
        <f t="shared" si="97"/>
        <v>Error?</v>
      </c>
      <c r="E6278" s="2" t="s">
        <v>190</v>
      </c>
    </row>
    <row r="6279" spans="1:5" x14ac:dyDescent="0.2">
      <c r="A6279">
        <v>6218</v>
      </c>
      <c r="B6279" s="138">
        <f>'Acct Summary 7-8'!F83</f>
        <v>8.7225148497041785E-2</v>
      </c>
      <c r="D6279" s="2" t="str">
        <f t="shared" si="97"/>
        <v>Error?</v>
      </c>
      <c r="E6279" s="2" t="s">
        <v>190</v>
      </c>
    </row>
    <row r="6280" spans="1:5" x14ac:dyDescent="0.2">
      <c r="A6280">
        <v>6219</v>
      </c>
      <c r="B6280" s="138">
        <f>'Acct Summary 7-8'!G83</f>
        <v>0.11518109125117591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4.0845421104203812E-2</v>
      </c>
      <c r="D6282" s="2" t="str">
        <f t="shared" si="97"/>
        <v>Error?</v>
      </c>
      <c r="E6282" s="2" t="s">
        <v>190</v>
      </c>
    </row>
    <row r="6283" spans="1:5" x14ac:dyDescent="0.2">
      <c r="A6283">
        <v>6222</v>
      </c>
      <c r="B6283" s="138">
        <f>'Acct Summary 7-8'!J83</f>
        <v>-0.23355092991747753</v>
      </c>
      <c r="D6283" s="2" t="str">
        <f t="shared" si="97"/>
        <v>Error?</v>
      </c>
      <c r="E6283" s="2" t="s">
        <v>190</v>
      </c>
    </row>
    <row r="6284" spans="1:5" x14ac:dyDescent="0.2">
      <c r="A6284">
        <v>6223</v>
      </c>
      <c r="B6284" s="138">
        <f>'Acct Summary 7-8'!K83</f>
        <v>0.37346795258187665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80985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80985</v>
      </c>
      <c r="D6301" s="2" t="str">
        <f t="shared" si="97"/>
        <v>Error?</v>
      </c>
      <c r="E6301" s="2" t="s">
        <v>190</v>
      </c>
    </row>
    <row r="6302" spans="1:5" x14ac:dyDescent="0.2">
      <c r="A6302">
        <v>6241</v>
      </c>
      <c r="B6302" s="138">
        <f>'Revenues 9-14'!J14</f>
        <v>34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34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81019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88676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90500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81019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4624</v>
      </c>
      <c r="D7075" s="2" t="str">
        <f t="shared" si="109"/>
        <v>Error?</v>
      </c>
    </row>
    <row r="7076" spans="1:4" x14ac:dyDescent="0.2">
      <c r="A7076">
        <v>7015</v>
      </c>
      <c r="B7076" s="138">
        <f>'Expenditures 15-22'!K218</f>
        <v>4624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10975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10975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55000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55000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1881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1881</v>
      </c>
      <c r="D7198" s="2" t="str">
        <f t="shared" si="111"/>
        <v>Error?</v>
      </c>
    </row>
    <row r="7199" spans="1:4" x14ac:dyDescent="0.2">
      <c r="A7199">
        <v>7138</v>
      </c>
      <c r="B7199" s="138">
        <f>'Expenditures 15-22'!C330</f>
        <v>55000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35500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90500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55000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35500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90500</v>
      </c>
      <c r="D7224" s="2" t="str">
        <f t="shared" si="111"/>
        <v>Error?</v>
      </c>
    </row>
    <row r="7225" spans="1:4" x14ac:dyDescent="0.2">
      <c r="A7225">
        <v>7164</v>
      </c>
      <c r="B7225" s="138">
        <f>'Expenditures 15-22'!K343</f>
        <v>-9481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65688</v>
      </c>
      <c r="D7251" s="2" t="str">
        <f t="shared" si="112"/>
        <v>Error?</v>
      </c>
    </row>
    <row r="7252" spans="1:4" x14ac:dyDescent="0.2">
      <c r="A7252">
        <f t="shared" si="113"/>
        <v>7191</v>
      </c>
      <c r="B7252" s="138">
        <f>'Expenditures 15-22'!D9</f>
        <v>20078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2910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151099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22556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22556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529</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529</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529</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529</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D46" sqref="D46"/>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1987</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6" t="str">
        <f>COVER!A17</f>
        <v>New Simpson Hill SD 32</v>
      </c>
      <c r="B7" s="2387"/>
      <c r="C7" s="2387"/>
      <c r="D7" s="2424"/>
      <c r="E7" s="2425">
        <f>COVER!A13</f>
        <v>21044032003</v>
      </c>
      <c r="F7" s="2426"/>
      <c r="G7" s="2393" t="str">
        <f>COVER!T23</f>
        <v>065-022629</v>
      </c>
      <c r="H7" s="2394"/>
      <c r="I7" s="2394"/>
      <c r="J7" s="2394"/>
      <c r="K7" s="2394"/>
      <c r="L7" s="239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6"/>
      <c r="B9" s="2397"/>
      <c r="C9" s="2397"/>
      <c r="D9" s="2397"/>
      <c r="E9" s="2397"/>
      <c r="F9" s="2398"/>
      <c r="G9" s="2399" t="str">
        <f>COVER!T13</f>
        <v>Cindy A. Bobell, CPA</v>
      </c>
      <c r="H9" s="2400"/>
      <c r="I9" s="2400"/>
      <c r="J9" s="2400"/>
      <c r="K9" s="2400"/>
      <c r="L9" s="2401"/>
    </row>
    <row r="10" spans="1:29" ht="13.5" customHeight="1" x14ac:dyDescent="0.2">
      <c r="A10" s="2383" t="str">
        <f>COVER!A38</f>
        <v>Joe Nighswander</v>
      </c>
      <c r="B10" s="2384"/>
      <c r="C10" s="2384"/>
      <c r="D10" s="2384"/>
      <c r="E10" s="2384"/>
      <c r="F10" s="2385"/>
      <c r="G10" s="2399" t="str">
        <f>COVER!T17</f>
        <v>10653 Khoury League Road</v>
      </c>
      <c r="H10" s="2412"/>
      <c r="I10" s="2412"/>
      <c r="J10" s="2412"/>
      <c r="K10" s="2412"/>
      <c r="L10" s="2413"/>
    </row>
    <row r="11" spans="1:29" ht="13.5" customHeight="1" x14ac:dyDescent="0.2">
      <c r="A11" s="1184" t="s">
        <v>1519</v>
      </c>
      <c r="B11" s="1185"/>
      <c r="C11" s="1186"/>
      <c r="D11" s="1191"/>
      <c r="E11" s="1186"/>
      <c r="F11" s="1190"/>
      <c r="G11" s="2399" t="str">
        <f>COVER!T19</f>
        <v>Marion</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cabcpa@frontier.com</v>
      </c>
      <c r="J13" s="2421"/>
      <c r="K13" s="2421"/>
      <c r="L13" s="2422"/>
    </row>
    <row r="14" spans="1:29" ht="13.5" customHeight="1" x14ac:dyDescent="0.2">
      <c r="A14" s="2399" t="str">
        <f>COVER!A19</f>
        <v>95 Tunnel Hill Road</v>
      </c>
      <c r="B14" s="2412"/>
      <c r="C14" s="2412"/>
      <c r="D14" s="2412"/>
      <c r="E14" s="2412"/>
      <c r="F14" s="2413"/>
      <c r="G14" s="1195" t="s">
        <v>1185</v>
      </c>
      <c r="H14" s="1193"/>
      <c r="I14" s="1193"/>
      <c r="J14" s="1193"/>
      <c r="K14" s="1193"/>
      <c r="L14" s="1194"/>
    </row>
    <row r="15" spans="1:29" ht="13.5" customHeight="1" x14ac:dyDescent="0.2">
      <c r="A15" s="2399" t="str">
        <f>COVER!A21</f>
        <v>Tunnel Hill</v>
      </c>
      <c r="B15" s="2412"/>
      <c r="C15" s="2412"/>
      <c r="D15" s="2412"/>
      <c r="E15" s="2412"/>
      <c r="F15" s="2413"/>
      <c r="G15" s="2409" t="str">
        <f>COVER!T15</f>
        <v>Cindy A. Bobell, CPA</v>
      </c>
      <c r="H15" s="2410"/>
      <c r="I15" s="2410"/>
      <c r="J15" s="2410"/>
      <c r="K15" s="2410"/>
      <c r="L15" s="2411"/>
    </row>
    <row r="16" spans="1:29" ht="12.2" customHeight="1" x14ac:dyDescent="0.2">
      <c r="A16" s="2389">
        <f>COVER!A25</f>
        <v>62972</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1184</v>
      </c>
      <c r="H17" s="1193"/>
      <c r="I17" s="1193"/>
      <c r="J17" s="1193"/>
      <c r="K17" s="1197" t="s">
        <v>1183</v>
      </c>
      <c r="L17" s="1190"/>
      <c r="M17" s="1183"/>
    </row>
    <row r="18" spans="1:13" ht="12.2" customHeight="1" x14ac:dyDescent="0.2">
      <c r="A18" s="2383"/>
      <c r="B18" s="2384"/>
      <c r="C18" s="2384"/>
      <c r="D18" s="2384"/>
      <c r="E18" s="2384"/>
      <c r="F18" s="2385"/>
      <c r="G18" s="2386" t="str">
        <f>COVER!T21</f>
        <v>618-997-9711</v>
      </c>
      <c r="H18" s="2387"/>
      <c r="I18" s="2387"/>
      <c r="J18" s="2387"/>
      <c r="K18" s="2386" t="str">
        <f>COVER!X21</f>
        <v>618-997-8014</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6" sqref="D46"/>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New Simpson Hill SD 32</v>
      </c>
      <c r="B1" s="2423"/>
      <c r="C1" s="2423"/>
      <c r="D1" s="2423"/>
    </row>
    <row r="2" spans="1:11" s="1212" customFormat="1" ht="12.75" x14ac:dyDescent="0.2">
      <c r="A2" s="2428">
        <f>'Single Audit Cover'!E7</f>
        <v>21044032003</v>
      </c>
      <c r="B2" s="2429"/>
      <c r="C2" s="2429"/>
      <c r="D2" s="2429"/>
    </row>
    <row r="3" spans="1:11" s="1212" customFormat="1" ht="12.75" x14ac:dyDescent="0.2">
      <c r="A3" s="2427" t="s">
        <v>1513</v>
      </c>
      <c r="B3" s="2423"/>
      <c r="C3" s="2423"/>
      <c r="D3" s="242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46" sqref="D4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New Simpson Hill SD 32</v>
      </c>
      <c r="B1" s="2431"/>
      <c r="C1" s="2431"/>
      <c r="D1" s="2431"/>
      <c r="E1" s="2431"/>
    </row>
    <row r="2" spans="1:5" x14ac:dyDescent="0.2">
      <c r="A2" s="2432">
        <f>'Single Audit Cover'!E7</f>
        <v>21044032003</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262960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-15936</v>
      </c>
    </row>
    <row r="19" spans="1:4" ht="13.5" thickBot="1" x14ac:dyDescent="0.25">
      <c r="A19" s="1262" t="s">
        <v>1235</v>
      </c>
      <c r="D19" s="1263">
        <f>SUM(D10:D17)</f>
        <v>247024</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247024</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247024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D46" sqref="D4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New Simpson Hill SD 32</v>
      </c>
      <c r="C1" s="2435"/>
      <c r="D1" s="2435"/>
      <c r="E1" s="2435"/>
      <c r="F1" s="2435"/>
      <c r="G1" s="2435"/>
      <c r="H1" s="2435"/>
      <c r="I1" s="2435"/>
      <c r="J1" s="2435"/>
      <c r="K1" s="2435"/>
      <c r="L1" s="2435"/>
      <c r="M1" s="2435"/>
    </row>
    <row r="2" spans="2:14" ht="15" x14ac:dyDescent="0.2">
      <c r="B2" s="2436">
        <f>'Single Audit Cover'!E7</f>
        <v>21044032003</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activeCell="D46" sqref="D4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New Simpson Hill SD 32</v>
      </c>
      <c r="B1" s="2440"/>
      <c r="C1" s="2440"/>
      <c r="D1" s="2440"/>
      <c r="E1" s="2440"/>
      <c r="F1" s="2440"/>
    </row>
    <row r="2" spans="1:7" ht="13.5" customHeight="1" x14ac:dyDescent="0.2">
      <c r="A2" s="2436">
        <f>'Single Audit Cover'!E7</f>
        <v>21044032003</v>
      </c>
      <c r="B2" s="2436"/>
      <c r="C2" s="2436"/>
      <c r="D2" s="2436"/>
      <c r="E2" s="2436"/>
      <c r="F2" s="2436"/>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1729</v>
      </c>
      <c r="B7" s="2439"/>
      <c r="C7" s="2439"/>
      <c r="D7" s="2439"/>
      <c r="E7" s="2439"/>
      <c r="F7" s="243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9" t="s">
        <v>1731</v>
      </c>
      <c r="B13" s="2439"/>
      <c r="C13" s="2439"/>
      <c r="D13" s="2439"/>
      <c r="E13" s="2439"/>
      <c r="F13" s="2439"/>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7" t="s">
        <v>1732</v>
      </c>
      <c r="B32" s="2447"/>
      <c r="C32" s="2447"/>
      <c r="D32" s="2447"/>
      <c r="E32" s="2447"/>
      <c r="F32" s="2447"/>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8">
        <f>+C33+C34</f>
        <v>0</v>
      </c>
      <c r="F34" s="244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1590</v>
      </c>
      <c r="C49" s="2450"/>
      <c r="D49" s="2450"/>
      <c r="E49" s="1396"/>
    </row>
    <row r="50" spans="1:5" s="1297" customFormat="1" ht="3.75" customHeight="1" x14ac:dyDescent="0.2">
      <c r="A50" s="1296"/>
      <c r="B50" s="1845"/>
      <c r="C50" s="1845"/>
      <c r="D50" s="1845"/>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D46" sqref="D46"/>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New Simpson Hill SD 32</v>
      </c>
      <c r="C1" s="2456"/>
      <c r="D1" s="2456"/>
      <c r="E1" s="2456"/>
      <c r="F1" s="2456"/>
      <c r="G1" s="2456"/>
      <c r="H1" s="2456"/>
      <c r="I1" s="2456"/>
      <c r="J1" s="1406"/>
    </row>
    <row r="2" spans="2:10" s="317" customFormat="1" ht="12.75" customHeight="1" x14ac:dyDescent="0.2">
      <c r="B2" s="2457">
        <f>'Single Audit Cover'!E7</f>
        <v>21044032003</v>
      </c>
      <c r="C2" s="2458"/>
      <c r="D2" s="2458"/>
      <c r="E2" s="2458"/>
      <c r="F2" s="2458"/>
      <c r="G2" s="2458"/>
      <c r="H2" s="2458"/>
      <c r="I2" s="2458"/>
      <c r="J2" s="1406"/>
    </row>
    <row r="3" spans="2:10" s="317" customFormat="1" ht="12.75" customHeight="1" x14ac:dyDescent="0.2">
      <c r="B3" s="2459" t="s">
        <v>1285</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1284</v>
      </c>
      <c r="C7" s="2460"/>
      <c r="D7" s="2460"/>
      <c r="E7" s="2460"/>
      <c r="F7" s="2460"/>
      <c r="G7" s="2460"/>
      <c r="H7" s="2460"/>
      <c r="I7" s="246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1"/>
      <c r="D11" s="246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2"/>
      <c r="E29" s="2462"/>
      <c r="F29" s="2462"/>
      <c r="G29" s="2462"/>
      <c r="H29" s="2462"/>
      <c r="I29" s="2462"/>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3" t="s">
        <v>1751</v>
      </c>
      <c r="D37" s="2464"/>
      <c r="E37" s="2464"/>
      <c r="F37" s="2465"/>
      <c r="G37" s="2463" t="s">
        <v>1592</v>
      </c>
      <c r="H37" s="2464"/>
      <c r="I37" s="2465"/>
    </row>
    <row r="38" spans="2:9" ht="16.5" customHeight="1" x14ac:dyDescent="0.2">
      <c r="B38" s="1428"/>
      <c r="C38" s="2451"/>
      <c r="D38" s="2452"/>
      <c r="E38" s="2452"/>
      <c r="F38" s="2453"/>
      <c r="G38" s="2466"/>
      <c r="H38" s="2467"/>
      <c r="I38" s="2468"/>
    </row>
    <row r="39" spans="2:9" ht="16.5" customHeight="1" x14ac:dyDescent="0.2">
      <c r="B39" s="1428"/>
      <c r="C39" s="2451"/>
      <c r="D39" s="2452"/>
      <c r="E39" s="2452"/>
      <c r="F39" s="2453"/>
      <c r="G39" s="2454"/>
      <c r="H39" s="2454"/>
      <c r="I39" s="2454"/>
    </row>
    <row r="40" spans="2:9" ht="16.5" customHeight="1" x14ac:dyDescent="0.2">
      <c r="B40" s="1428"/>
      <c r="C40" s="2451"/>
      <c r="D40" s="2452"/>
      <c r="E40" s="2452"/>
      <c r="F40" s="2453"/>
      <c r="G40" s="2454"/>
      <c r="H40" s="2454"/>
      <c r="I40" s="2454"/>
    </row>
    <row r="41" spans="2:9" ht="16.5" customHeight="1" x14ac:dyDescent="0.2">
      <c r="B41" s="1428"/>
      <c r="C41" s="2451"/>
      <c r="D41" s="2452"/>
      <c r="E41" s="2452"/>
      <c r="F41" s="2453"/>
      <c r="G41" s="2454"/>
      <c r="H41" s="2454"/>
      <c r="I41" s="2454"/>
    </row>
    <row r="42" spans="2:9" ht="16.5" customHeight="1" x14ac:dyDescent="0.2">
      <c r="B42" s="1428"/>
      <c r="C42" s="2451"/>
      <c r="D42" s="2452"/>
      <c r="E42" s="2452"/>
      <c r="F42" s="2453"/>
      <c r="G42" s="2454"/>
      <c r="H42" s="2454"/>
      <c r="I42" s="2454"/>
    </row>
    <row r="43" spans="2:9" ht="16.5" customHeight="1" x14ac:dyDescent="0.2">
      <c r="B43" s="1428"/>
      <c r="C43" s="2469" t="s">
        <v>1593</v>
      </c>
      <c r="D43" s="2470"/>
      <c r="E43" s="2470"/>
      <c r="F43" s="2471"/>
      <c r="G43" s="2472">
        <f>SUM(G38:I42)</f>
        <v>0</v>
      </c>
      <c r="H43" s="2472"/>
      <c r="I43" s="2472"/>
    </row>
    <row r="44" spans="2:9" ht="12.75" customHeight="1" x14ac:dyDescent="0.2"/>
    <row r="45" spans="2:9" ht="12.75" customHeight="1" x14ac:dyDescent="0.2">
      <c r="B45" s="1419" t="s">
        <v>2062</v>
      </c>
      <c r="D45" s="2473">
        <v>0</v>
      </c>
      <c r="E45" s="247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5"/>
      <c r="F49" s="2475"/>
      <c r="G49" s="247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3" zoomScale="110" zoomScaleNormal="110" workbookViewId="0">
      <selection activeCell="D46" sqref="D4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New Simpson Hill SD 32</v>
      </c>
      <c r="C1" s="2455"/>
      <c r="D1" s="2455"/>
      <c r="E1" s="2455"/>
      <c r="F1" s="2455"/>
      <c r="G1" s="2455"/>
      <c r="H1" s="2455"/>
      <c r="I1" s="2455"/>
      <c r="J1" s="2455"/>
      <c r="K1" s="2455"/>
      <c r="L1" s="1371"/>
      <c r="M1" s="1371"/>
    </row>
    <row r="2" spans="1:13" ht="12" customHeight="1" x14ac:dyDescent="0.2">
      <c r="B2" s="2457">
        <f>'Single Audit Cover'!E7</f>
        <v>21044032003</v>
      </c>
      <c r="C2" s="2457"/>
      <c r="D2" s="2457"/>
      <c r="E2" s="2457"/>
      <c r="F2" s="2457"/>
      <c r="G2" s="2457"/>
      <c r="H2" s="2457"/>
      <c r="I2" s="2457"/>
      <c r="J2" s="2457"/>
      <c r="K2" s="2457"/>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1997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t="s">
        <v>2096</v>
      </c>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t="s">
        <v>2096</v>
      </c>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t="s">
        <v>2091</v>
      </c>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t="s">
        <v>2092</v>
      </c>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&amp;R
B-37</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28818-888B-45A4-9B1F-3C6E6A4AB8B9}">
  <dimension ref="A1:M41"/>
  <sheetViews>
    <sheetView showGridLines="0" topLeftCell="A9" zoomScale="110" zoomScaleNormal="110" workbookViewId="0">
      <selection activeCell="D46" sqref="D4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New Simpson Hill SD 32</v>
      </c>
      <c r="C1" s="2455"/>
      <c r="D1" s="2455"/>
      <c r="E1" s="2455"/>
      <c r="F1" s="2455"/>
      <c r="G1" s="2455"/>
      <c r="H1" s="2455"/>
      <c r="I1" s="2455"/>
      <c r="J1" s="2455"/>
      <c r="K1" s="2455"/>
      <c r="L1" s="1371"/>
      <c r="M1" s="1371"/>
    </row>
    <row r="2" spans="1:13" ht="12" customHeight="1" x14ac:dyDescent="0.2">
      <c r="B2" s="2457">
        <f>'Single Audit Cover'!E7</f>
        <v>21044032003</v>
      </c>
      <c r="C2" s="2457"/>
      <c r="D2" s="2457"/>
      <c r="E2" s="2457"/>
      <c r="F2" s="2457"/>
      <c r="G2" s="2457"/>
      <c r="H2" s="2457"/>
      <c r="I2" s="2457"/>
      <c r="J2" s="2457"/>
      <c r="K2" s="2457"/>
      <c r="L2" s="1372"/>
      <c r="M2" s="1373"/>
    </row>
    <row r="3" spans="1:13" ht="10.35" customHeight="1" x14ac:dyDescent="0.2">
      <c r="B3" s="2478" t="s">
        <v>1285</v>
      </c>
      <c r="C3" s="2478"/>
      <c r="D3" s="2478"/>
      <c r="E3" s="2478"/>
      <c r="F3" s="2478"/>
      <c r="G3" s="2478"/>
      <c r="H3" s="2478"/>
      <c r="I3" s="2478"/>
      <c r="J3" s="2478"/>
      <c r="K3" s="2478"/>
      <c r="L3" s="1941"/>
      <c r="M3" s="1941"/>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2</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1997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t="s">
        <v>2093</v>
      </c>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t="s">
        <v>2093</v>
      </c>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t="s">
        <v>2094</v>
      </c>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t="s">
        <v>2095</v>
      </c>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&amp;R
B-38</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New Simpson Hill SD 32</v>
      </c>
      <c r="C1" s="2482"/>
      <c r="D1" s="2482"/>
      <c r="E1" s="2482"/>
      <c r="F1" s="2482"/>
      <c r="G1" s="2482"/>
      <c r="H1" s="2482"/>
      <c r="I1" s="2482"/>
      <c r="J1" s="2482"/>
      <c r="K1" s="2482"/>
      <c r="L1" s="1449"/>
    </row>
    <row r="2" spans="1:12" ht="12.75" customHeight="1" x14ac:dyDescent="0.2">
      <c r="B2" s="2483">
        <f>'Single Audit Cover'!E7</f>
        <v>21044032003</v>
      </c>
      <c r="C2" s="2483"/>
      <c r="D2" s="2483"/>
      <c r="E2" s="2483"/>
      <c r="F2" s="2483"/>
      <c r="G2" s="2483"/>
      <c r="H2" s="2483"/>
      <c r="I2" s="2483"/>
      <c r="J2" s="2483"/>
      <c r="K2" s="2483"/>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New Simpson Hill SD 32</v>
      </c>
      <c r="C1" s="2455"/>
      <c r="D1" s="2455"/>
      <c r="E1" s="1469"/>
    </row>
    <row r="2" spans="2:5" s="1279" customFormat="1" ht="12.75" customHeight="1" x14ac:dyDescent="0.2">
      <c r="B2" s="2457">
        <f>'Single Audit Cover'!E7</f>
        <v>21044032003</v>
      </c>
      <c r="C2" s="2457"/>
      <c r="D2" s="2457"/>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6ce3111e-7420-4802-b50a-75d4e9a0b980"/>
    <ds:schemaRef ds:uri="4d435f69-8686-490b-bd6d-b153bf22ab50"/>
    <ds:schemaRef ds:uri="http://purl.org/dc/elements/1.1/"/>
    <ds:schemaRef ds:uri="http://schemas.microsoft.com/sharepoint/v3"/>
    <ds:schemaRef ds:uri="d21dc803-237d-4c68-8692-8d731fd29118"/>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2019-10-31T12:34:44Z</cp:lastPrinted>
  <dcterms:created xsi:type="dcterms:W3CDTF">2003-10-29T19:06:34Z</dcterms:created>
  <dcterms:modified xsi:type="dcterms:W3CDTF">2019-12-13T21:47:15Z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