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9BEF01A-7B21-4E88-8320-BFAEC8A6F263}" xr6:coauthVersionLast="36" xr6:coauthVersionMax="36" xr10:uidLastSave="{00000000-0000-0000-0000-000000000000}"/>
  <bookViews>
    <workbookView xWindow="3135" yWindow="2505" windowWidth="15330" windowHeight="108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24" i="29" l="1"/>
  <c r="F5" i="29"/>
  <c r="B4" i="183"/>
  <c r="M19" i="3" l="1"/>
  <c r="D12" i="11"/>
  <c r="C17" i="5" l="1"/>
  <c r="C168" i="5" l="1"/>
  <c r="C134" i="5"/>
  <c r="C84" i="5"/>
  <c r="C79" i="5"/>
  <c r="F38" i="181" l="1"/>
  <c r="F37" i="181"/>
  <c r="F36" i="181"/>
  <c r="F35" i="181"/>
  <c r="F34" i="181"/>
  <c r="F33" i="181"/>
  <c r="F32" i="181"/>
  <c r="F31" i="181"/>
  <c r="F3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G35" i="181"/>
  <c r="E35" i="181"/>
  <c r="G34" i="181"/>
  <c r="E34" i="181"/>
  <c r="E33" i="181"/>
  <c r="G33" i="181" s="1"/>
  <c r="G32" i="181"/>
  <c r="E32" i="181"/>
  <c r="G31" i="181"/>
  <c r="E31" i="181"/>
  <c r="G38" i="181"/>
  <c r="E38" i="181"/>
  <c r="E30" i="181"/>
  <c r="E29" i="181"/>
  <c r="F29" i="181" s="1"/>
  <c r="E28" i="181"/>
  <c r="F28" i="181" s="1"/>
  <c r="E27" i="181"/>
  <c r="F27" i="181" s="1"/>
  <c r="G27" i="181" s="1"/>
  <c r="E26" i="181"/>
  <c r="F26" i="181" s="1"/>
  <c r="E25" i="181"/>
  <c r="E24" i="181"/>
  <c r="E23" i="181"/>
  <c r="E22" i="181"/>
  <c r="E21" i="181"/>
  <c r="E20" i="181"/>
  <c r="F20" i="181" s="1"/>
  <c r="E19" i="181"/>
  <c r="F19" i="181" s="1"/>
  <c r="G29" i="181" l="1"/>
  <c r="F25" i="181"/>
  <c r="G25" i="181" s="1"/>
  <c r="F24" i="181"/>
  <c r="G24" i="181" s="1"/>
  <c r="F23" i="181"/>
  <c r="G23" i="181" s="1"/>
  <c r="F22" i="181"/>
  <c r="G22" i="181" s="1"/>
  <c r="F21" i="181"/>
  <c r="G21" i="181" s="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G26" i="108"/>
  <c r="E27" i="108"/>
  <c r="F27" i="108"/>
  <c r="G27" i="108"/>
  <c r="F31" i="108"/>
  <c r="F36" i="108"/>
  <c r="G28" i="108"/>
  <c r="G29" i="108"/>
  <c r="D31" i="108"/>
  <c r="D36" i="108"/>
  <c r="E31" i="108"/>
  <c r="G31" i="108"/>
  <c r="E33" i="108"/>
  <c r="E34"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L5" i="11"/>
  <c r="B2056" i="106" s="1"/>
  <c r="D2056" i="106" s="1"/>
  <c r="B5752" i="106"/>
  <c r="D5752" i="106" s="1"/>
  <c r="L342" i="29" l="1"/>
  <c r="F64" i="34"/>
  <c r="F52" i="34"/>
  <c r="B7047" i="106"/>
  <c r="D7047" i="106" s="1"/>
  <c r="C129" i="29"/>
  <c r="G15" i="145"/>
  <c r="F38" i="34"/>
  <c r="J129" i="29"/>
  <c r="B7038" i="106" s="1"/>
  <c r="D7038" i="106" s="1"/>
  <c r="B3647" i="106"/>
  <c r="D3647" i="106" s="1"/>
  <c r="E35" i="108"/>
  <c r="F28" i="108"/>
  <c r="E26" i="108"/>
  <c r="D69" i="36"/>
  <c r="B6995" i="106"/>
  <c r="D6995" i="106" s="1"/>
  <c r="H365" i="29"/>
  <c r="B7242" i="106" s="1"/>
  <c r="D7242" i="106" s="1"/>
  <c r="C352" i="29"/>
  <c r="B1126" i="106"/>
  <c r="D1126" i="106" s="1"/>
  <c r="I210" i="29"/>
  <c r="B7071" i="106" s="1"/>
  <c r="D7071" i="106" s="1"/>
  <c r="D24" i="37"/>
  <c r="B4270" i="106" s="1"/>
  <c r="D4270" i="106" s="1"/>
  <c r="F19" i="7"/>
  <c r="B1807" i="106" s="1"/>
  <c r="D1807" i="106" s="1"/>
  <c r="F42" i="34"/>
  <c r="G30" i="108"/>
  <c r="D6103" i="106"/>
  <c r="F77" i="4"/>
  <c r="B3255" i="106" s="1"/>
  <c r="D3255" i="106" s="1"/>
  <c r="B1274" i="106"/>
  <c r="D1274" i="106" s="1"/>
  <c r="L367" i="29"/>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J16" i="4"/>
  <c r="B6226" i="106" s="1"/>
  <c r="D6226" i="106" s="1"/>
  <c r="D7251" i="106"/>
  <c r="B7215" i="106"/>
  <c r="D7215" i="106" s="1"/>
  <c r="C114" i="29"/>
  <c r="B757" i="106" s="1"/>
  <c r="D757" i="106" s="1"/>
  <c r="D44" i="36"/>
  <c r="B5770" i="106"/>
  <c r="D5770" i="106" s="1"/>
  <c r="D7256" i="106"/>
  <c r="N23" i="3"/>
  <c r="B284" i="106" s="1"/>
  <c r="D284" i="106" s="1"/>
  <c r="F66" i="34"/>
  <c r="F41" i="108"/>
  <c r="G43" i="108" s="1"/>
  <c r="L114" i="29"/>
  <c r="L16" i="11"/>
  <c r="B2061" i="106" s="1"/>
  <c r="D2061"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B6223" i="106"/>
  <c r="D6223" i="106" s="1"/>
  <c r="J10" i="4"/>
  <c r="B6225" i="106" s="1"/>
  <c r="D6225"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F8" i="146"/>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<sst xmlns="http://schemas.openxmlformats.org/spreadsheetml/2006/main" count="5180" uniqueCount="2149">
  <si>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</si>
  <si>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</si>
  <si>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</si>
  <si>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</si>
  <si>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</si>
  <si>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</si>
  <si>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</si>
  <si>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</si>
  <si>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</si>
  <si>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</si>
  <si>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</si>
  <si>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</si>
  <si>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</si>
  <si>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</si>
  <si>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</si>
  <si>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</si>
  <si>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</si>
  <si>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</si>
  <si>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</si>
  <si>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</si>
  <si>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</si>
  <si>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</si>
  <si>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</si>
  <si>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</si>
  <si>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</si>
  <si>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</si>
  <si>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</si>
  <si>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</si>
  <si>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</si>
  <si>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</si>
  <si>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</si>
  <si>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</si>
  <si>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</si>
  <si>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</si>
  <si>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</si>
  <si>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</si>
  <si>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</si>
  <si>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</si>
  <si>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</si>
  <si>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</si>
  <si>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</si>
  <si>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</si>
  <si>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</si>
  <si>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</si>
  <si>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</si>
  <si>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</si>
  <si>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</si>
  <si>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</si>
  <si>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</si>
  <si>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</si>
  <si>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</si>
  <si>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</si>
  <si>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</si>
  <si>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</si>
  <si>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</si>
  <si>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</si>
  <si>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</si>
  <si>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</si>
  <si>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</si>
  <si>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</si>
  <si>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</si>
  <si>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</si>
  <si>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</si>
  <si>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</si>
  <si>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</si>
  <si>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</si>
  <si>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</si>
  <si>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</si>
  <si>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</si>
  <si>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</si>
  <si>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</si>
  <si>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</si>
  <si>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</si>
  <si>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</si>
  <si>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</si>
  <si>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</si>
  <si>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</si>
  <si>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</si>
  <si>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</si>
  <si>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</si>
  <si>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</si>
  <si>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</si>
  <si>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</si>
  <si>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</si>
  <si>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</si>
  <si>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</si>
  <si>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</si>
  <si>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</si>
  <si>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</si>
  <si>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</si>
  <si>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</si>
  <si>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</si>
  <si>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</si>
  <si>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</si>
  <si>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</si>
  <si>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</si>
  <si>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</si>
  <si>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</si>
  <si>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</si>
  <si>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</si>
  <si>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</si>
  <si>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</si>
  <si>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</si>
  <si>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</si>
  <si>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</si>
  <si>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</si>
  <si>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</si>
  <si>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</si>
  <si>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</si>
  <si>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</si>
  <si>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</si>
  <si>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</si>
  <si>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</si>
  <si>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</si>
  <si>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</si>
  <si>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</si>
  <si>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</si>
  <si>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</si>
  <si>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</si>
  <si>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</si>
  <si>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</si>
  <si>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</si>
  <si>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</si>
  <si>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</si>
  <si>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</si>
  <si>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</si>
  <si>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</si>
  <si>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</si>
  <si>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</si>
  <si>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</si>
  <si>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</si>
  <si>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</si>
  <si>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</si>
  <si>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</si>
  <si>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</si>
  <si>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</si>
  <si>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</si>
  <si>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</si>
  <si>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</si>
  <si>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</si>
  <si>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</si>
  <si>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</si>
  <si>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</si>
  <si>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</si>
  <si>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</si>
  <si>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</si>
  <si>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</si>
  <si>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</si>
  <si>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</si>
  <si>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</si>
  <si>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</si>
  <si>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</si>
  <si>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</si>
  <si>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</si>
  <si>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</si>
  <si>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</si>
  <si>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</si>
  <si>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</si>
  <si>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</si>
  <si>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</si>
  <si>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</si>
  <si>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</si>
  <si>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</si>
  <si>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</si>
  <si>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</si>
  <si>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</si>
  <si>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</si>
  <si>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</si>
  <si>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</si>
  <si>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</si>
  <si>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</si>
  <si>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</si>
  <si>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</si>
  <si>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</si>
  <si>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</si>
  <si>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</si>
  <si>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</si>
  <si>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</si>
  <si>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</si>
  <si>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</si>
  <si>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</si>
  <si>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</si>
  <si>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</si>
  <si>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</si>
  <si>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</si>
  <si>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</si>
  <si>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</si>
  <si>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</si>
  <si>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</si>
  <si>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</si>
  <si>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</si>
  <si>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</si>
  <si>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</si>
  <si>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</si>
  <si>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</si>
  <si>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</si>
  <si>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</si>
  <si>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</si>
  <si>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</si>
  <si>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</si>
  <si>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</si>
  <si>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</si>
  <si>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</si>
  <si>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</si>
  <si>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</si>
  <si>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</si>
  <si>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</si>
  <si>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</si>
  <si>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</si>
  <si>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</si>
  <si>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</si>
  <si>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</si>
  <si>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</si>
  <si>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</si>
  <si>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</si>
  <si>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</si>
  <si>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</si>
  <si>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</si>
  <si>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</si>
  <si>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</si>
  <si>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</si>
  <si>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</si>
  <si>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</si>
  <si>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</si>
  <si>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</si>
  <si>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</si>
  <si>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</si>
  <si>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</si>
  <si>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</si>
  <si>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</si>
  <si>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</si>
  <si>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</si>
  <si>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</si>
  <si>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</si>
  <si>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</si>
  <si>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</si>
  <si>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</si>
  <si>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</si>
  <si>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</si>
  <si>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</si>
  <si>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</si>
  <si>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</si>
  <si>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</si>
  <si>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</si>
  <si>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</si>
  <si>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</si>
  <si>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</si>
  <si>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</si>
  <si>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</si>
  <si>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</si>
  <si>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</si>
  <si>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</si>
  <si>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</si>
  <si>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</si>
  <si>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</si>
  <si>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</si>
  <si>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</si>
  <si>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</si>
  <si>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</si>
  <si>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</si>
  <si>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</si>
  <si>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</si>
  <si>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</si>
  <si>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</si>
  <si>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</si>
  <si>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</si>
  <si>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</si>
  <si>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</si>
  <si>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</si>
  <si>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</si>
  <si>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</si>
  <si>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</si>
  <si>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</si>
  <si>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</si>
  <si>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</si>
  <si>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</si>
  <si>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</si>
  <si>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</si>
  <si>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</si>
  <si>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</si>
  <si>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</si>
  <si>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</si>
  <si>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</si>
  <si>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</si>
  <si>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</si>
  <si>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</si>
  <si>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</si>
  <si>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</si>
  <si>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</si>
  <si>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</si>
  <si>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</si>
  <si>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</si>
  <si>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</si>
  <si>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</si>
  <si>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</si>
  <si>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</si>
  <si>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</si>
  <si>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</si>
  <si>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</si>
  <si>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</si>
  <si>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</si>
  <si>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</si>
  <si>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</si>
  <si>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</si>
  <si>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</si>
  <si>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</si>
  <si>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</si>
  <si>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</si>
  <si>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</si>
  <si>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</si>
  <si>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</si>
  <si>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</si>
  <si>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</si>
  <si>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</si>
  <si>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</si>
  <si>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</si>
  <si>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</si>
  <si>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</si>
  <si>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</si>
  <si>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</si>
  <si>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</si>
  <si>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</si>
  <si>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</si>
  <si>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</si>
  <si>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</si>
  <si>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</si>
  <si>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</si>
  <si>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</si>
  <si>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</si>
  <si>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</si>
  <si>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</si>
  <si>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</si>
  <si>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</si>
  <si>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</si>
  <si>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</si>
  <si>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</si>
  <si>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</si>
  <si>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</si>
  <si>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</si>
  <si>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</si>
  <si>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</si>
  <si>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</si>
  <si>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</si>
  <si>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</si>
  <si>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</si>
  <si>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</si>
  <si>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</si>
  <si>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</si>
  <si>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</si>
  <si>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</si>
  <si>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</si>
  <si>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</si>
  <si>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</si>
  <si>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</si>
  <si>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</si>
  <si>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</si>
  <si>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</si>
  <si>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</si>
  <si>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</si>
  <si>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</si>
  <si>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</si>
  <si>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</si>
  <si>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</si>
  <si>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</si>
  <si>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</si>
  <si>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</si>
  <si>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</si>
  <si>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</si>
  <si>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</si>
  <si>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</si>
  <si>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</si>
  <si>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</si>
  <si>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</si>
  <si>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</si>
  <si>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</si>
  <si>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</si>
  <si>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</si>
  <si>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</si>
  <si>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</si>
  <si>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</si>
  <si>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</si>
  <si>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</si>
  <si>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</si>
  <si>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</si>
  <si>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</si>
  <si>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</si>
  <si>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</si>
  <si>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</si>
  <si>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</si>
  <si>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</si>
  <si>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</si>
  <si>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</si>
  <si>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</si>
  <si>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</si>
  <si>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</si>
  <si>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</si>
  <si>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</si>
  <si>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</si>
  <si>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</si>
  <si>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</si>
  <si>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</si>
  <si>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</si>
  <si>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</si>
  <si>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</si>
  <si>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</si>
  <si>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</si>
  <si>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</si>
  <si>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</si>
  <si>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</si>
  <si>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</si>
  <si>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</si>
  <si>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</si>
  <si>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</si>
  <si>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</si>
  <si>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</si>
  <si>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</si>
  <si>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</si>
  <si>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</si>
  <si>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</si>
  <si>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</si>
  <si>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</si>
  <si>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</si>
  <si>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</si>
  <si>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</si>
  <si>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</si>
  <si>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</si>
  <si>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</si>
  <si>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</si>
  <si>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</si>
  <si>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</si>
  <si>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</si>
  <si>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</si>
  <si>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</si>
  <si>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</si>
  <si>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</si>
  <si>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</si>
  <si>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</si>
  <si>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</si>
  <si>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</si>
  <si>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</si>
  <si>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</si>
  <si>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</si>
  <si>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</si>
  <si>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</si>
  <si>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</si>
  <si>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</si>
  <si>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</si>
  <si>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</si>
  <si>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</si>
  <si>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</si>
  <si>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</si>
  <si>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</si>
  <si>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</si>
  <si>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</si>
  <si>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</si>
  <si>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</si>
  <si>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</si>
  <si>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</si>
  <si>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</si>
  <si>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</si>
  <si>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</si>
  <si>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</si>
  <si>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</si>
  <si>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</si>
  <si>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</si>
  <si>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</si>
  <si>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</si>
  <si>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</si>
  <si>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</si>
  <si>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</si>
  <si>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</si>
  <si>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</si>
  <si>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</si>
  <si>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</si>
  <si>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</si>
  <si>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</si>
  <si>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</si>
  <si>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</si>
  <si>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</si>
  <si>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</si>
  <si>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</si>
  <si>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</si>
  <si>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</si>
  <si>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</si>
  <si>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</si>
  <si>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</si>
  <si>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</si>
  <si>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</si>
  <si>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</si>
  <si>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</si>
  <si>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</si>
  <si>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</si>
  <si>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</si>
  <si>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</si>
  <si>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</si>
  <si>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</si>
  <si>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</si>
  <si>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</si>
  <si>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</si>
  <si>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</si>
  <si>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</si>
  <si>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</si>
  <si>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</si>
  <si>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</si>
  <si>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</si>
  <si>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</si>
  <si>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</si>
  <si>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</si>
  <si>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</si>
  <si>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</si>
  <si>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</si>
  <si>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</si>
  <si>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</si>
  <si>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</si>
  <si>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</si>
  <si>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</si>
  <si>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</si>
  <si>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</si>
  <si>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</si>
  <si>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</si>
  <si>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</si>
  <si>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</si>
  <si>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</si>
  <si>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</si>
  <si>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</si>
  <si>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</si>
  <si>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</si>
  <si>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</si>
  <si>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</si>
  <si>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</si>
  <si>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</si>
  <si>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</si>
  <si>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</si>
  <si>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</si>
  <si>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</si>
  <si>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</si>
  <si>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</si>
  <si>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</si>
  <si>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</si>
  <si>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</si>
  <si>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</si>
  <si>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</si>
  <si>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</si>
  <si>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</si>
  <si>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</si>
  <si>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</si>
  <si>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</si>
  <si>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</si>
  <si>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</si>
  <si>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</si>
  <si>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</si>
  <si>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</si>
  <si>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</si>
  <si>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</si>
  <si>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</si>
  <si>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</si>
  <si>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</si>
  <si>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</si>
  <si>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</si>
  <si>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</si>
  <si>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</si>
  <si>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</si>
  <si>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</si>
  <si>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</si>
  <si>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</si>
  <si>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</si>
  <si>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</si>
  <si>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</si>
  <si>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</si>
  <si>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</si>
  <si>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</si>
  <si>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</si>
  <si>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</si>
  <si>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</si>
  <si>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</si>
  <si>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</si>
  <si>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</si>
  <si>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</si>
  <si>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</si>
  <si>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</si>
  <si>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</si>
  <si>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</si>
  <si>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</si>
  <si>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</si>
  <si>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</si>
  <si>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</si>
  <si>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</si>
  <si>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</si>
  <si>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</si>
  <si>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</si>
  <si>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</si>
  <si>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</si>
  <si>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</si>
  <si>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</si>
  <si>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</si>
  <si>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</si>
  <si>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</si>
  <si>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</si>
  <si>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</si>
  <si>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</si>
  <si>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</si>
  <si>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</si>
  <si>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</si>
  <si>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</si>
  <si>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</si>
  <si>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</si>
  <si>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</si>
  <si>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</si>
  <si>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</si>
  <si>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</si>
  <si>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</si>
  <si>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</si>
  <si>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</si>
  <si>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</si>
  <si>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</si>
  <si>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</si>
  <si>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</si>
  <si>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</si>
  <si>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</si>
  <si>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</si>
  <si>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</si>
  <si>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</si>
  <si>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</si>
  <si>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</si>
  <si>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</si>
  <si>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</si>
  <si>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</si>
  <si>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</si>
  <si>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</si>
  <si>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</si>
  <si>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</si>
  <si>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</si>
  <si>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</si>
  <si>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</si>
  <si>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</si>
  <si>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</si>
  <si>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</si>
  <si>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</si>
  <si>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</si>
  <si>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</si>
  <si>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</si>
  <si>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</si>
  <si>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</si>
  <si>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</si>
  <si>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</si>
  <si>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</si>
  <si>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</si>
  <si>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</si>
  <si>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</si>
  <si>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</si>
  <si>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</si>
  <si>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</si>
  <si>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</si>
  <si>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</si>
  <si>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</si>
  <si>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</si>
  <si>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</si>
  <si>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</si>
  <si>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</si>
  <si>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</si>
  <si>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</si>
  <si>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</si>
  <si>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</si>
  <si>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</si>
  <si>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</si>
  <si>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</si>
  <si>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</si>
  <si>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</si>
  <si>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</si>
  <si>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</si>
  <si>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</si>
  <si>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</si>
  <si>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</si>
  <si>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</si>
  <si>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</si>
  <si>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</si>
  <si>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</si>
  <si>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</si>
  <si>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</si>
  <si>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</si>
  <si>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</si>
  <si>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</si>
  <si>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</si>
  <si>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</si>
  <si>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</si>
  <si>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</si>
  <si>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</si>
  <si>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</si>
  <si>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</si>
  <si>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</si>
  <si>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</si>
  <si>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</si>
  <si>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</si>
  <si>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</si>
  <si>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</si>
  <si>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</si>
  <si>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</si>
  <si>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</si>
  <si>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</si>
  <si>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</si>
  <si>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</si>
  <si>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</si>
  <si>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</si>
  <si>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</si>
  <si>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</si>
  <si>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</si>
  <si>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</si>
  <si>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</si>
  <si>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</si>
  <si>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</si>
  <si>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</si>
  <si>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</si>
  <si>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</si>
  <si>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</si>
  <si>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</si>
  <si>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</si>
  <si>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</si>
  <si>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</si>
  <si>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</si>
  <si>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</si>
  <si>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</si>
  <si>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</si>
  <si>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</si>
  <si>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</si>
  <si>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</si>
  <si>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</si>
  <si>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</si>
  <si>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</si>
  <si>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</si>
  <si>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</si>
  <si>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</si>
  <si>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</si>
  <si>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</si>
  <si>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</si>
  <si>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</si>
  <si>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</si>
  <si>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</si>
  <si>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</si>
  <si>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</si>
  <si>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</si>
  <si>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</si>
  <si>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</si>
  <si>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</si>
  <si>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</si>
  <si>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</si>
  <si>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</si>
  <si>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</si>
  <si>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</si>
  <si>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</si>
  <si>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</si>
  <si>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</si>
  <si>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</si>
  <si>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</si>
  <si>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</si>
  <si>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</si>
  <si>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</si>
  <si>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</si>
  <si>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</si>
  <si>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</si>
  <si>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</si>
  <si>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</si>
  <si>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</si>
  <si>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</si>
  <si>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</si>
  <si>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</si>
  <si>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</si>
  <si>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</si>
  <si>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</si>
  <si>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</si>
  <si>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</si>
  <si>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</si>
  <si>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</si>
  <si>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</si>
  <si>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</si>
  <si>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</si>
  <si>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</si>
  <si>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</si>
  <si>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</si>
  <si>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</si>
  <si>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</si>
  <si>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</si>
  <si>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</si>
  <si>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</si>
  <si>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</si>
  <si>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</si>
  <si>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</si>
  <si>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</si>
  <si>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</si>
  <si>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</si>
  <si>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</si>
  <si>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</si>
  <si>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</si>
  <si>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</si>
  <si>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</si>
  <si>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</si>
  <si>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</si>
  <si>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</si>
  <si>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</si>
  <si>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</si>
  <si>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</si>
  <si>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</si>
  <si>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</si>
  <si>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</si>
  <si>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</si>
  <si>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</si>
  <si>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</si>
  <si>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</si>
  <si>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</si>
  <si>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</si>
  <si>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</si>
  <si>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</si>
  <si>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</si>
  <si>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</si>
  <si>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</si>
  <si>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</si>
  <si>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</si>
  <si>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</si>
  <si>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</si>
  <si>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</si>
  <si>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</si>
  <si>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</si>
  <si>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</si>
  <si>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</si>
  <si>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</si>
  <si>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</si>
  <si>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</si>
  <si>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</si>
  <si>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</si>
  <si>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</si>
  <si>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</si>
  <si>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</si>
  <si>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</si>
  <si>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</si>
  <si>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</si>
  <si>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</si>
  <si>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</si>
  <si>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</si>
  <si>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</si>
  <si>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</si>
  <si>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</si>
  <si>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</si>
  <si>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</si>
  <si>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</si>
  <si>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</si>
  <si>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</si>
  <si>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</si>
  <si>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</si>
  <si>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</si>
  <si>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</si>
  <si>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</si>
  <si>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</si>
  <si>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</si>
  <si>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</si>
  <si>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</si>
  <si>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</si>
  <si>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</si>
  <si>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</si>
  <si>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</si>
  <si>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</si>
  <si>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</si>
  <si>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</si>
  <si>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</si>
  <si>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</si>
  <si>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</si>
  <si>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</si>
  <si>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</si>
  <si>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</si>
  <si>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</si>
  <si>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</si>
  <si>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</si>
  <si>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</si>
  <si>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</si>
  <si>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</si>
  <si>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</si>
  <si>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</si>
  <si>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</si>
  <si>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</si>
  <si>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</si>
  <si>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</si>
  <si>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</si>
  <si>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</si>
  <si>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</si>
  <si>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</si>
  <si>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</si>
  <si>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</si>
  <si>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</si>
  <si>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</si>
  <si>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</si>
  <si>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</si>
  <si>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</si>
  <si>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</si>
  <si>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</si>
  <si>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</si>
  <si>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</si>
  <si>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</si>
  <si>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</si>
  <si>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</si>
  <si>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</si>
  <si>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</si>
  <si>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</si>
  <si>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</si>
  <si>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</si>
  <si>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</si>
  <si>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</si>
  <si>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</si>
  <si>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</si>
  <si>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</si>
  <si>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</si>
  <si>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</si>
  <si>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</si>
  <si>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</si>
  <si>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</si>
  <si>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</si>
  <si>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</si>
  <si>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</si>
  <si>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</si>
  <si>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</si>
  <si>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</si>
  <si>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</si>
  <si>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</si>
  <si>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</si>
  <si>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</si>
  <si>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</si>
  <si>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</si>
  <si>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</si>
  <si>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</si>
  <si>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</si>
  <si>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</si>
  <si>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</si>
  <si>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</si>
  <si>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</si>
  <si>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</si>
  <si>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</si>
  <si>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</si>
  <si>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</si>
  <si>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</si>
  <si>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</si>
  <si>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</si>
  <si>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</si>
  <si>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</si>
  <si>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</si>
  <si>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</si>
  <si>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</si>
  <si>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</si>
  <si>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</si>
  <si>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</si>
  <si>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</si>
  <si>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</si>
  <si>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</si>
  <si>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</si>
  <si>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</si>
  <si>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</si>
  <si>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</si>
  <si>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</si>
  <si>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</si>
  <si>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</si>
  <si>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</si>
  <si>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</si>
  <si>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</si>
  <si>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</si>
  <si>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</si>
  <si>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</si>
  <si>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</si>
  <si>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</si>
  <si>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</si>
  <si>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</si>
  <si>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</si>
  <si>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</si>
  <si>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</si>
  <si>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</si>
  <si>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</si>
  <si>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</si>
  <si>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</si>
  <si>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</si>
  <si>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</si>
  <si>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</si>
  <si>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</si>
  <si>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</si>
  <si>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</si>
  <si>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</si>
  <si>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</si>
  <si>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</si>
  <si>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</si>
  <si>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</si>
  <si>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</si>
  <si>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</si>
  <si>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</si>
  <si>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</si>
  <si>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</si>
  <si>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</si>
  <si>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</si>
  <si>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</si>
  <si>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</si>
  <si>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</si>
  <si>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</si>
  <si>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</si>
  <si>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</si>
  <si>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</si>
  <si>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</si>
  <si>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</si>
  <si>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</si>
  <si>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</si>
  <si>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</si>
  <si>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</si>
  <si>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</si>
  <si>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</si>
  <si>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</si>
  <si>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</si>
  <si>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</si>
  <si>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</si>
  <si>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</si>
  <si>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</si>
  <si>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</si>
  <si>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</si>
  <si>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</si>
  <si>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</si>
  <si>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</si>
  <si>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</si>
  <si>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</si>
  <si>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</si>
  <si>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</si>
  <si>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</si>
  <si>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</si>
  <si>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</si>
  <si>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</si>
  <si>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</si>
  <si>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</si>
  <si>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</si>
  <si>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</si>
  <si>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</si>
  <si>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</si>
  <si>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</si>
  <si>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</si>
  <si>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</si>
  <si>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</si>
  <si>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</si>
  <si>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</si>
  <si>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</si>
  <si>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</si>
  <si>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</si>
  <si>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</si>
  <si>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</si>
  <si>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</si>
  <si>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</si>
  <si>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</si>
  <si>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</si>
  <si>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</si>
  <si>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</si>
  <si>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</si>
  <si>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</si>
  <si>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</si>
  <si>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</si>
  <si>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</si>
  <si>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</si>
  <si>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</si>
  <si>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</si>
  <si>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</si>
  <si>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</si>
  <si>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</si>
  <si>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</si>
  <si>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</si>
  <si>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</si>
  <si>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</si>
  <si>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</si>
  <si>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</si>
  <si>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</si>
  <si>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</si>
  <si>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</si>
  <si>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</si>
  <si>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</si>
  <si>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</si>
  <si>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</si>
  <si>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</si>
  <si>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</si>
  <si>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</si>
  <si>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</si>
  <si>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</si>
  <si>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</si>
  <si>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</si>
  <si>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</si>
  <si>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</si>
  <si>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</si>
  <si>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</si>
  <si>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</si>
  <si>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</si>
  <si>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</si>
  <si>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</si>
  <si>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</si>
  <si>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</si>
  <si>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</si>
  <si>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</si>
  <si>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</si>
  <si>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</si>
  <si>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</si>
  <si>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</si>
  <si>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</si>
  <si>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</si>
  <si>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</si>
  <si>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</si>
  <si>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</si>
  <si>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</si>
  <si>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</si>
  <si>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</si>
  <si>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</si>
  <si>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</si>
  <si>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</si>
  <si>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</si>
  <si>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</si>
  <si>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</si>
  <si>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</si>
  <si>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</si>
  <si>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</si>
  <si>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</si>
  <si>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</si>
  <si>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</si>
  <si>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</si>
  <si>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</si>
  <si>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</si>
  <si>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</si>
  <si>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</si>
  <si>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</si>
  <si>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</si>
  <si>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</si>
  <si>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</si>
  <si>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</si>
  <si>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</si>
  <si>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</si>
  <si>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</si>
  <si>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</si>
  <si>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</si>
  <si>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</si>
  <si>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</si>
  <si>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</si>
  <si>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</si>
  <si>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</si>
  <si>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</si>
  <si>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</si>
  <si>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</si>
  <si>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</si>
  <si>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</si>
  <si>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</si>
  <si>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</si>
  <si>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</si>
  <si>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</si>
  <si>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</si>
  <si>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</si>
  <si>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</si>
  <si>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</si>
  <si>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</si>
  <si>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</si>
  <si>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</si>
  <si>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</si>
  <si>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</si>
  <si>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</si>
  <si>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</si>
  <si>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</si>
  <si>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</si>
  <si>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</si>
  <si>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</si>
  <si>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</si>
  <si>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</si>
  <si>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</si>
  <si>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</si>
  <si>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</si>
  <si>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</si>
  <si>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</si>
  <si>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</si>
  <si>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</si>
  <si>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</si>
  <si>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</si>
  <si>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</si>
  <si>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</si>
  <si>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</si>
  <si>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</si>
  <si>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</si>
  <si>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</si>
  <si>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</si>
  <si>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</si>
  <si>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</si>
  <si>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</si>
  <si>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</si>
  <si>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</si>
  <si>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</si>
  <si>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</si>
  <si>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</si>
  <si>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</si>
  <si>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</si>
  <si>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</si>
  <si>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</si>
  <si>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</si>
  <si>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</si>
  <si>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</si>
  <si>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</si>
  <si>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</si>
  <si>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</si>
  <si>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</si>
  <si>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</si>
  <si>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</si>
  <si>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</si>
  <si>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</si>
  <si>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</si>
  <si>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</si>
  <si>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</si>
  <si>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</si>
  <si>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</si>
  <si>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</si>
  <si>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</si>
  <si>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</si>
  <si>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</si>
  <si>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</si>
  <si>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</si>
  <si>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</si>
  <si>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</si>
  <si>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</si>
  <si>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</si>
  <si>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</si>
  <si>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</si>
  <si>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</si>
  <si>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</si>
  <si>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</si>
  <si>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</si>
  <si>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</si>
  <si>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</si>
  <si>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</si>
  <si>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</si>
  <si>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</si>
  <si>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</si>
  <si>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</si>
  <si>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</si>
  <si>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</si>
  <si>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</si>
  <si>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</si>
  <si>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</si>
  <si>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</si>
  <si>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</si>
  <si>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</si>
  <si>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</si>
  <si>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</si>
  <si>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</si>
  <si>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</si>
  <si>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</si>
  <si>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</si>
  <si>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</si>
  <si>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</si>
  <si>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</si>
  <si>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</si>
  <si>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</si>
  <si>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</si>
  <si>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</si>
  <si>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</si>
  <si>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</si>
  <si>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</si>
  <si>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</si>
  <si>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</si>
  <si>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</si>
  <si>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</si>
  <si>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</si>
  <si>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</si>
  <si>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</si>
  <si>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</si>
  <si>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</si>
  <si>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</si>
  <si>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</si>
  <si>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</si>
  <si>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</si>
  <si>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</si>
  <si>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</si>
  <si>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</si>
  <si>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</si>
  <si>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</si>
  <si>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</si>
  <si>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</si>
  <si>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</si>
  <si>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</si>
  <si>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</si>
  <si>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</si>
  <si>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</si>
  <si>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</si>
  <si>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</si>
  <si>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</si>
  <si>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</si>
  <si>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</si>
  <si>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</si>
  <si>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</si>
  <si>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</si>
  <si>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</si>
  <si>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</si>
  <si>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</si>
  <si>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</si>
  <si>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</si>
  <si>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</si>
  <si>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</si>
  <si>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</si>
  <si>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</si>
  <si>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</si>
  <si>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</si>
  <si>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</si>
  <si>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</si>
  <si>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</si>
  <si>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</si>
  <si>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</si>
  <si>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</si>
  <si>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</si>
  <si>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</si>
  <si>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</si>
  <si>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</si>
  <si>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</si>
  <si>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</si>
  <si>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</si>
  <si>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</si>
  <si>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</si>
  <si>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</si>
  <si>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</si>
  <si>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</si>
  <si>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</si>
  <si>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</si>
  <si>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</si>
  <si>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</si>
  <si>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</si>
  <si>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</si>
  <si>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</si>
  <si>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</si>
  <si>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</si>
  <si>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</si>
  <si>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</si>
  <si>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</si>
  <si>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</si>
  <si>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</si>
  <si>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</si>
  <si>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</si>
  <si>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</si>
  <si>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</si>
  <si>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</si>
  <si>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</si>
  <si>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</si>
  <si>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</si>
  <si>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</si>
  <si>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</si>
  <si>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</si>
  <si>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</si>
  <si>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</si>
  <si>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</si>
  <si>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</si>
  <si>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</si>
  <si>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</si>
  <si>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</si>
  <si>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</si>
  <si>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</si>
  <si>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</si>
  <si>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</si>
  <si>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</si>
  <si>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</si>
  <si>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</si>
  <si>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</si>
  <si>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</si>
  <si>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</si>
  <si>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</si>
  <si>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</si>
  <si>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</si>
  <si>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</si>
  <si>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</si>
  <si>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</si>
  <si>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</si>
  <si>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</si>
  <si>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</si>
  <si>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</si>
  <si>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</si>
  <si>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</si>
  <si>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</si>
  <si>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</si>
  <si>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</si>
  <si>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</si>
  <si>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</si>
  <si>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</si>
  <si>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</si>
  <si>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</si>
  <si>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</si>
  <si>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</si>
  <si>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</si>
  <si>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</si>
  <si>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</si>
  <si>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</si>
  <si>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</si>
  <si>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</si>
  <si>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</si>
  <si>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</si>
  <si>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</si>
  <si>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</si>
  <si>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</si>
  <si>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</si>
  <si>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</si>
  <si>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</si>
  <si>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</si>
  <si>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</si>
  <si>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</si>
  <si>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</si>
  <si>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</si>
  <si>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</si>
  <si>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</si>
  <si>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</si>
  <si>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</si>
  <si>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</si>
  <si>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</si>
  <si>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</si>
  <si>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</si>
  <si>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</si>
  <si>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</si>
  <si>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</si>
  <si>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</si>
  <si>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</si>
  <si>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</si>
  <si>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</si>
  <si>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</si>
  <si>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</si>
  <si>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</si>
  <si>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</si>
  <si>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</si>
  <si>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</si>
  <si>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</si>
  <si>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</si>
  <si>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</si>
  <si>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</si>
  <si>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</si>
  <si>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</si>
  <si>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</si>
  <si>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</si>
  <si>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</si>
  <si>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</si>
  <si>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</si>
  <si>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</si>
  <si>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</si>
  <si>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</si>
  <si>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</si>
  <si>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</si>
  <si>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</si>
  <si>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</si>
  <si>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</si>
  <si>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</si>
  <si>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</si>
  <si>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</si>
  <si>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</si>
  <si>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</si>
  <si>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</si>
  <si>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</si>
  <si>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</si>
  <si>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</si>
  <si>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</si>
  <si>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</si>
  <si>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</si>
  <si>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</si>
  <si>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</si>
  <si>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</si>
  <si>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</si>
  <si>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</si>
  <si>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</si>
  <si>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</si>
  <si>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</si>
  <si>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</si>
  <si>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</si>
  <si>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</si>
  <si>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</si>
  <si>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</si>
  <si>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</si>
  <si>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</si>
  <si>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</si>
  <si>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</si>
  <si>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</si>
  <si>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</si>
  <si>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</si>
  <si>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</si>
  <si>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</si>
  <si>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</si>
  <si>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</si>
  <si>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</si>
  <si>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</si>
  <si>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</si>
  <si>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</si>
  <si>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</si>
  <si>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</si>
  <si>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</si>
  <si>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</si>
  <si>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</si>
  <si>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</si>
  <si>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</si>
  <si>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</si>
  <si>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</si>
  <si>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</si>
  <si>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</si>
  <si>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</si>
  <si>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</si>
  <si>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</si>
  <si>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</si>
  <si>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</si>
  <si>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</si>
  <si>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</si>
  <si>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</si>
  <si>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</si>
  <si>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</si>
  <si>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</si>
  <si>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</si>
  <si>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</si>
  <si>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</si>
  <si>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</si>
  <si>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</si>
  <si>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</si>
  <si>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</si>
  <si>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</si>
  <si>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</si>
  <si>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</si>
  <si>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</si>
  <si>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</si>
  <si>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</si>
  <si>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</si>
  <si>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</si>
  <si>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</si>
  <si>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</si>
  <si>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</si>
  <si>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</si>
  <si>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</si>
  <si>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</si>
  <si>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</si>
  <si>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</si>
  <si>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</si>
  <si>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</si>
  <si>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</si>
  <si>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</si>
  <si>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</si>
  <si>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</si>
  <si>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</si>
  <si>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</si>
  <si>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</si>
  <si>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</si>
  <si>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</si>
  <si>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</si>
  <si>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</si>
  <si>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</si>
  <si>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</si>
  <si>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</si>
  <si>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</si>
  <si>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</si>
  <si>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</si>
  <si>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</si>
  <si>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</si>
  <si>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</si>
  <si>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</si>
  <si>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</si>
  <si>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</si>
  <si>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</si>
  <si>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</si>
  <si>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</si>
  <si>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</si>
  <si>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</si>
  <si>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</si>
  <si>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</si>
  <si>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</si>
  <si>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</si>
  <si>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</si>
  <si>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</si>
  <si>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</si>
  <si>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</si>
  <si>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</si>
  <si>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</si>
  <si>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</si>
  <si>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</si>
  <si>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</si>
  <si>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</si>
  <si>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</si>
  <si>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</si>
  <si>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</si>
  <si>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</si>
  <si>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</si>
  <si>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</si>
  <si>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</si>
  <si>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</si>
  <si>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</si>
  <si>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</si>
  <si>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</si>
  <si>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</si>
  <si>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</si>
  <si>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</si>
  <si>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</si>
  <si>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</si>
  <si>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</si>
  <si>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</si>
  <si>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</si>
  <si>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</si>
  <si>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</si>
  <si>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</si>
  <si>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</si>
  <si>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</si>
  <si>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</si>
  <si>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</si>
  <si>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</si>
  <si>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</si>
  <si>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</si>
  <si>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</si>
  <si>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</si>
  <si>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</si>
  <si>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</si>
  <si>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</si>
  <si>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</si>
  <si>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</si>
  <si>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</si>
  <si>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</si>
  <si>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</si>
  <si>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</si>
  <si>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</si>
  <si>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</si>
  <si>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</si>
  <si>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</si>
  <si>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</si>
  <si>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</si>
  <si>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</si>
  <si>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</si>
  <si>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</si>
  <si>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</si>
  <si>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</si>
  <si>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</si>
  <si>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</si>
  <si>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</si>
  <si>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</si>
  <si>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</si>
  <si>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</si>
  <si>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</si>
  <si>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</si>
  <si>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</si>
  <si>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</si>
  <si>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</si>
  <si>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</si>
  <si>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</si>
  <si>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</si>
  <si>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</si>
  <si>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</si>
  <si>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</si>
  <si>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</si>
  <si>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</si>
  <si>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</si>
  <si>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</si>
  <si>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</si>
  <si>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</si>
  <si>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</si>
  <si>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</si>
  <si>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</si>
  <si>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</si>
  <si>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</si>
  <si>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</si>
  <si>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</si>
  <si>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</si>
  <si>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</si>
  <si>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</si>
  <si>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</si>
  <si>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</si>
  <si>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</si>
  <si>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</si>
  <si>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</si>
  <si>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</si>
  <si>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</si>
  <si>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</si>
  <si>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</si>
  <si>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</si>
  <si>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</si>
  <si>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</si>
  <si>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</si>
  <si>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</si>
  <si>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</si>
  <si>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</si>
  <si>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</si>
  <si>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</si>
  <si>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</si>
  <si>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</si>
  <si>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</si>
  <si>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</si>
  <si>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</si>
  <si>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</si>
  <si>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</si>
  <si>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</si>
  <si>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</si>
  <si>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</si>
  <si>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</si>
  <si>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</si>
  <si>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</si>
  <si>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</si>
  <si>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</si>
  <si>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</si>
  <si>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</si>
  <si>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</si>
  <si>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</si>
  <si>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</si>
  <si>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</si>
  <si>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</si>
  <si>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</si>
  <si>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</si>
  <si>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</si>
  <si>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</si>
  <si>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</si>
  <si>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</si>
  <si>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</si>
  <si>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</si>
  <si>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</si>
  <si>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</si>
  <si>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</si>
  <si>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</si>
  <si>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</si>
  <si>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</si>
  <si>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</si>
  <si>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</si>
  <si>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</si>
  <si>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</si>
  <si>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</si>
  <si>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</si>
  <si>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</si>
  <si>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</si>
  <si>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</si>
  <si>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</si>
  <si>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</si>
  <si>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</si>
  <si>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</si>
  <si>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</si>
  <si>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</si>
  <si>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</si>
  <si>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</si>
  <si>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</si>
  <si>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</si>
  <si>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</si>
  <si>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</si>
  <si>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</si>
  <si>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</si>
  <si>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</si>
  <si>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</si>
  <si>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</si>
  <si>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</si>
  <si>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</si>
  <si>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</si>
  <si>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</si>
  <si>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</si>
  <si>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</si>
  <si>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</si>
  <si>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</si>
  <si>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</si>
  <si>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</si>
  <si>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</si>
  <si>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</si>
  <si>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</si>
  <si>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</si>
  <si>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</si>
  <si>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</si>
  <si>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</si>
  <si>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</si>
  <si>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</si>
  <si>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</si>
  <si>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</si>
  <si>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</si>
  <si>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</si>
  <si>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</si>
  <si>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</si>
  <si>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</si>
  <si>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</si>
  <si>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</si>
  <si>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</si>
  <si>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</si>
  <si>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</si>
  <si>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</si>
  <si>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</si>
  <si>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</si>
  <si>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</si>
  <si>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</si>
  <si>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</si>
  <si>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</si>
  <si>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</si>
  <si>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</si>
  <si>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</si>
  <si>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</si>
  <si>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</si>
  <si>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</si>
  <si>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</si>
  <si>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</si>
  <si>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</si>
  <si>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</si>
  <si>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</si>
  <si>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</si>
  <si>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</si>
  <si>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</si>
  <si>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</si>
  <si>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</si>
  <si>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</si>
  <si>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</si>
  <si>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</si>
  <si>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</si>
  <si>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</si>
  <si>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</si>
  <si>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</si>
  <si>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</si>
  <si>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</si>
  <si>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</si>
  <si>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</si>
  <si>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</si>
  <si>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</si>
  <si>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</si>
  <si>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</si>
  <si>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</si>
  <si>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</si>
  <si>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</si>
  <si>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</si>
  <si>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</si>
  <si>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</si>
  <si>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</si>
  <si>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</si>
  <si>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</si>
  <si>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</si>
  <si>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</si>
  <si>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</si>
  <si>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</si>
  <si>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</si>
  <si>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</si>
  <si>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</si>
  <si>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</si>
  <si>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</si>
  <si>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</si>
  <si>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</si>
  <si>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</si>
  <si>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</si>
  <si>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</si>
  <si>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</si>
  <si>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</si>
  <si>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</si>
  <si>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</si>
  <si>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</si>
  <si>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</si>
  <si>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</si>
  <si>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</si>
  <si>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</si>
  <si>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</si>
  <si>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</si>
  <si>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</si>
  <si>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</si>
  <si>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</si>
  <si>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</si>
  <si>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</si>
  <si>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</si>
  <si>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</si>
  <si>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</si>
  <si>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</si>
  <si>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</si>
  <si>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</si>
  <si>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</si>
  <si>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</si>
  <si>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</si>
  <si>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</si>
  <si>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</si>
  <si>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</si>
  <si>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</si>
  <si>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</si>
  <si>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</si>
  <si>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</si>
  <si>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</si>
  <si>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</si>
  <si>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</si>
  <si>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</si>
  <si>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</si>
  <si>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</si>
  <si>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</si>
  <si>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</si>
  <si>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</si>
  <si>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</si>
  <si>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</si>
  <si>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</si>
  <si>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</si>
  <si>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</si>
  <si>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</si>
  <si>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</si>
  <si>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</si>
  <si>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</si>
  <si>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</si>
  <si>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</si>
  <si>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</si>
  <si>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</si>
  <si>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</si>
  <si>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</si>
  <si>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</si>
  <si>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</si>
  <si>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</si>
  <si>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</si>
  <si>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</si>
  <si>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</si>
  <si>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</si>
  <si>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</si>
  <si>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</si>
  <si>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</si>
  <si>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</si>
  <si>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</si>
  <si>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</si>
  <si>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</si>
  <si>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</si>
  <si>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</si>
  <si>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</si>
  <si>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</si>
  <si>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</si>
  <si>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</si>
  <si>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</si>
  <si>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</si>
  <si>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</si>
  <si>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</si>
  <si>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</si>
  <si>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</si>
  <si>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</si>
  <si>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</si>
  <si>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</si>
  <si>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</si>
  <si>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</si>
  <si>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</si>
  <si>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</si>
  <si>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</si>
  <si>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</si>
  <si>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</si>
  <si>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</si>
  <si>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</si>
  <si>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</si>
  <si>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</si>
  <si>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</si>
  <si>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</si>
  <si>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</si>
  <si>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</si>
  <si>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</si>
  <si>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</si>
  <si>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</si>
  <si>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</si>
  <si>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</si>
  <si>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</si>
  <si>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</si>
  <si>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</si>
  <si>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</si>
  <si>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</si>
  <si>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</si>
  <si>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</si>
  <si>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</si>
  <si>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</si>
  <si>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</si>
  <si>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</si>
  <si>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</si>
  <si>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</si>
  <si>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</si>
  <si>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</si>
  <si>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</si>
  <si>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</si>
  <si>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</si>
  <si>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</si>
  <si>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</si>
  <si>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</si>
  <si>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</si>
  <si>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</si>
  <si>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</si>
  <si>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</si>
  <si>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</si>
  <si>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</si>
  <si>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</si>
  <si>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</si>
  <si>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</si>
  <si>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</si>
  <si>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</si>
  <si>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</si>
  <si>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</si>
  <si>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</si>
  <si>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</si>
  <si>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</si>
  <si>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</si>
  <si>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</si>
  <si>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</si>
  <si>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</si>
  <si>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</si>
  <si>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</si>
  <si>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</si>
  <si>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</si>
  <si>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</si>
  <si>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</si>
  <si>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</si>
  <si>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</si>
  <si>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</si>
  <si>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</si>
  <si>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</si>
  <si>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</si>
  <si>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</si>
  <si>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</si>
  <si>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</si>
  <si>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</si>
  <si>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</si>
  <si>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</si>
  <si>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</si>
  <si>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</si>
  <si>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</si>
  <si>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</si>
  <si>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</si>
  <si>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</si>
  <si>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</si>
  <si>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</si>
  <si>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</si>
  <si>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</si>
  <si>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</si>
  <si>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</si>
  <si>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</si>
  <si>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</si>
  <si>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</si>
  <si>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</si>
  <si>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</si>
  <si>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</si>
  <si>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</si>
  <si>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</si>
  <si>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</si>
  <si>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</si>
  <si>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</si>
  <si>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</si>
  <si>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</si>
  <si>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</si>
  <si>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</si>
  <si>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</si>
  <si>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</si>
  <si>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</si>
  <si>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</si>
  <si>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</si>
  <si>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</si>
  <si>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</si>
  <si>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</si>
  <si>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</si>
  <si>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</si>
  <si>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</si>
  <si>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</si>
  <si>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</si>
  <si>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</si>
  <si>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</si>
  <si>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</si>
  <si>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</si>
  <si>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</si>
  <si>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</si>
  <si>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</si>
  <si>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</si>
  <si>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</si>
  <si>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</si>
  <si>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</si>
  <si>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</si>
  <si>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</si>
  <si>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</si>
  <si>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</si>
  <si>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</si>
  <si>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</si>
  <si>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</si>
  <si>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</si>
  <si>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</si>
  <si>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</si>
  <si>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</si>
  <si>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</si>
  <si>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</si>
  <si>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</si>
  <si>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</si>
  <si>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</si>
  <si>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</si>
  <si>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</si>
  <si>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</si>
  <si>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</si>
  <si>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</si>
  <si>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</si>
  <si>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</si>
  <si>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</si>
  <si>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</si>
  <si>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</si>
  <si>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</si>
  <si>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</si>
  <si>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Franklin</t>
  </si>
  <si>
    <t>511 East Main</t>
  </si>
  <si>
    <t>Benton</t>
  </si>
  <si>
    <t>Benjamin Johnson</t>
  </si>
  <si>
    <t>bjohnson@bentonhighschool.org</t>
  </si>
  <si>
    <t>618-439-6415</t>
  </si>
  <si>
    <t>618-438-8091</t>
  </si>
  <si>
    <t>Emling &amp; Hoffman, PC</t>
  </si>
  <si>
    <t xml:space="preserve">Donald L Hoffman </t>
  </si>
  <si>
    <t>1191 West Saint Louis Street</t>
  </si>
  <si>
    <t>Nashville</t>
  </si>
  <si>
    <t>IL</t>
  </si>
  <si>
    <t>618-327-4375</t>
  </si>
  <si>
    <t>618-327-4376</t>
  </si>
  <si>
    <t>060-004252</t>
  </si>
  <si>
    <t>Lorie LeQuatte</t>
  </si>
  <si>
    <t>llequatte@roe21.org</t>
  </si>
  <si>
    <t>618-438-9711</t>
  </si>
  <si>
    <t>618-435-2861</t>
  </si>
  <si>
    <t>donhoffman@emlingcpa.com</t>
  </si>
  <si>
    <t>Detailed property records are not presently maintained; consequently, we are unable to express an opinion on the General Fixed Assets Account Group.</t>
  </si>
  <si>
    <t>See Finding 2019-001 and Findign 2019-002.</t>
  </si>
  <si>
    <t>Limited Capital Appreciation Bonds</t>
  </si>
  <si>
    <t>Limited Capital Appreciation Bondss</t>
  </si>
  <si>
    <t>Qualified Zone Academy Bonds</t>
  </si>
  <si>
    <r>
      <t xml:space="preserve">Current </t>
    </r>
    <r>
      <rPr>
        <i/>
        <sz val="8"/>
        <rFont val="Calibri"/>
        <family val="2"/>
        <scheme val="minor"/>
      </rPr>
      <t>Government Auditing Standards</t>
    </r>
    <r>
      <rPr>
        <sz val="8"/>
        <rFont val="Calibri"/>
        <family val="2"/>
        <scheme val="minor"/>
      </rPr>
      <t xml:space="preserve"> require the School District to designate a qualified management level individual to be responsible and accountable for overseeing the drafting of the School District's basic financial statements and footnotes in accordance with the cash basis of accounting, which is a basis of accounting other than accounting principles generally accepted in the United States of America.</t>
    </r>
  </si>
  <si>
    <t>The District prepares interim financial reports using software specifically designed for school district financial reporting.  For year end reporting purposes, the District relies on the auditor to prepare drafts of full disclosure basic finanical statements (including footnotes) in a format acceptabel by ISBE.  The School District currently lacks sufficient expertise to prepare year end, full disclosure basic financial statements without significant assistance from the auditor, but does possess sufficient skills, knowledge or experience to approve the journal entries and the draft basic financial statments.</t>
  </si>
  <si>
    <t>Although the auditor can propose adjustment and assist in assembling or drafting the basic financial statements, the auditor cannot establish or maintain the School District's internal controls, including monitoring ongoing activities, since doing so would impair the auditor's independence.</t>
  </si>
  <si>
    <t>Lack of sufficient expertise for full disclosure year end basic financial statement preparation could result in controls not being effective in preventing or detecting material misstatments particularly in the related footnotes to the basic financial statements.</t>
  </si>
  <si>
    <t>The School District has not retained an individual to specifically monitor standards promulgated by the American Institute of Certified Public Accountants as they relate to full disclosure financial reporting.  Preparation of full disclosure year end basic financial statments is not an assigned function for the School District accounting staff.</t>
  </si>
  <si>
    <t>The School District should review the additional costs it would incur to prepare the basic financial statements internally with the corresponding reduction of risk associated with material misstatment of the School District's basic finanical statements.</t>
  </si>
  <si>
    <t>Management is currently confident with the abilities of the accounting staff to prepare interim basic financial statements.  The School  District has also accepted the additional risk associated with the auditor drafting the year end basic financial statements including the notes to the basic financial statements.  Mangament will review, approve and take responsibility fo the audit adjustments and basic finanical statments.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</si>
  <si>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</si>
  <si>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</si>
  <si>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</si>
  <si>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</si>
  <si>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</si>
  <si>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</si>
  <si>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t>2018-001</t>
  </si>
  <si>
    <t>Lack of Certified Staff on Hand</t>
  </si>
  <si>
    <t>2018-002</t>
  </si>
  <si>
    <t>Segregation of Duties</t>
  </si>
  <si>
    <t>Not implemented due to limited resources.</t>
  </si>
  <si>
    <t>40-2550-300</t>
  </si>
  <si>
    <t>Santander Leasing (Midwest Transit)</t>
  </si>
  <si>
    <t>10-2400-300</t>
  </si>
  <si>
    <t>Konica Minolta</t>
  </si>
  <si>
    <t>Ed-Reading Support Services-Purchased Service</t>
  </si>
  <si>
    <t>Ed-Principal Support Services - Purchased Service</t>
  </si>
  <si>
    <t>Trans-Pupil Transportation-Purchased Service</t>
  </si>
  <si>
    <t>10-1000-300</t>
  </si>
  <si>
    <t>CSC Consulting Group</t>
  </si>
  <si>
    <t>Ed-Instruction-Purchased Service</t>
  </si>
  <si>
    <t>Works International</t>
  </si>
  <si>
    <t>CDW Governmental Inc</t>
  </si>
  <si>
    <t>Ed-Media Servcies-Purchased Service</t>
  </si>
  <si>
    <t>10-2200-300</t>
  </si>
  <si>
    <t>Blackboard Inc</t>
  </si>
  <si>
    <t>IHLS</t>
  </si>
  <si>
    <t>20-2540-300</t>
  </si>
  <si>
    <t>Phoenix Modular</t>
  </si>
  <si>
    <t>O&amp;M-Elevator Plant Services-Purchased Service</t>
  </si>
  <si>
    <t>ED-Improvement of Instruction-Purchased Service</t>
  </si>
  <si>
    <t>Powerschool</t>
  </si>
  <si>
    <t>Ed-Remedial Programs-Purchased Service</t>
  </si>
  <si>
    <t>Apex Learning</t>
  </si>
  <si>
    <t>Ed-Support Services-Purchased Service</t>
  </si>
  <si>
    <t>10-2300-300</t>
  </si>
  <si>
    <t>Pitney Bowes Inc</t>
  </si>
  <si>
    <t>Regional Office of Education #21</t>
  </si>
  <si>
    <t>Various ROE's</t>
  </si>
  <si>
    <t>Franklin-Jefferson Counties Special Ed District #801</t>
  </si>
  <si>
    <t>Franklin County Regional Delivery System</t>
  </si>
  <si>
    <t>Page 9 Line 17-Education-TVA $14,530,  TIF 2 Revenue $5,180, Sugar Camp Mine $455,393</t>
  </si>
  <si>
    <t>Page 9 Line 17-Debt Service-TVA $632</t>
  </si>
  <si>
    <t>Page 10 Line 74-Education-Lunch Room Other Revenue</t>
  </si>
  <si>
    <t>Page 11 Line 107-O&amp;M - E-rate, Misc</t>
  </si>
  <si>
    <t>Page 12 Line 168-Education - Orphanage Tuition $283,643,  Other State Grant $2,97, State Library Grant $750</t>
  </si>
  <si>
    <t>Page 13 Line 203-Education - Title I - Delinquent</t>
  </si>
  <si>
    <t>Page 16 Line 73-21st Century grant site coordinator</t>
  </si>
  <si>
    <t>Page 16 Line 83-JDC Tuition Payments to Regional Office of Education #21</t>
  </si>
  <si>
    <t>Page 18 Line 171-Bond Fees</t>
  </si>
  <si>
    <t>Page 20 Line 278-21st Century grant site coordinator benefits</t>
  </si>
  <si>
    <t>Benton Cons HSD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</si>
</sst>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5</xdr:row>
          <xdr:rowOff>9525</xdr:rowOff>
        </xdr:from>
        <xdr:to>
          <xdr:col>1</xdr:col>
          <xdr:colOff>2038350</xdr:colOff>
          <xdr:row>9</xdr:row>
          <xdr:rowOff>47625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2276475</xdr:colOff>
          <xdr:row>5</xdr:row>
          <xdr:rowOff>28575</xdr:rowOff>
        </xdr:from>
        <xdr:to>
          <xdr:col>1</xdr:col>
          <xdr:colOff>3190875</xdr:colOff>
          <xdr:row>9</xdr:row>
          <xdr:rowOff>66675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3362325</xdr:colOff>
          <xdr:row>5</xdr:row>
          <xdr:rowOff>66675</xdr:rowOff>
        </xdr:from>
        <xdr:to>
          <xdr:col>2</xdr:col>
          <xdr:colOff>295275</xdr:colOff>
          <xdr:row>9</xdr:row>
          <xdr:rowOff>104775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6" t="s">
        <v>405</v>
      </c>
      <c r="J1" s="2017"/>
      <c r="K1" s="2017"/>
      <c r="L1" s="2017"/>
      <c r="M1" s="2017"/>
      <c r="N1" s="2017"/>
      <c r="O1" s="2017"/>
      <c r="P1" s="2017"/>
      <c r="Q1" s="2017"/>
      <c r="R1" s="2017"/>
      <c r="S1" s="2017"/>
    </row>
    <row r="2" spans="1:28" ht="12" customHeight="1" x14ac:dyDescent="0.2">
      <c r="A2" s="47" t="s">
        <v>1990</v>
      </c>
      <c r="D2" s="48"/>
      <c r="I2" s="2018" t="s">
        <v>979</v>
      </c>
      <c r="J2" s="2017"/>
      <c r="K2" s="2017"/>
      <c r="L2" s="2017"/>
      <c r="M2" s="2017"/>
      <c r="N2" s="2017"/>
      <c r="O2" s="2017"/>
      <c r="P2" s="2017"/>
      <c r="Q2" s="2017"/>
      <c r="R2" s="2017"/>
      <c r="S2" s="2017"/>
    </row>
    <row r="3" spans="1:28" ht="12" customHeight="1" x14ac:dyDescent="0.2">
      <c r="A3" s="155" t="s">
        <v>1942</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21028103013</v>
      </c>
      <c r="B13" s="1987"/>
      <c r="C13" s="1987"/>
      <c r="D13" s="1987"/>
      <c r="E13" s="1987"/>
      <c r="F13" s="1987"/>
      <c r="G13" s="1987"/>
      <c r="H13" s="1988"/>
      <c r="I13" s="31"/>
      <c r="J13" s="30"/>
      <c r="K13" s="28"/>
      <c r="L13" s="30"/>
      <c r="M13" s="30"/>
      <c r="N13" s="30"/>
      <c r="O13" s="30"/>
      <c r="P13" s="30"/>
      <c r="Q13" s="30"/>
      <c r="R13" s="30"/>
      <c r="S13" s="30"/>
      <c r="T13" s="1991" t="s">
        <v>2072</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2065</v>
      </c>
      <c r="B15" s="1989"/>
      <c r="C15" s="1989"/>
      <c r="D15" s="1989"/>
      <c r="E15" s="1989"/>
      <c r="F15" s="1989"/>
      <c r="G15" s="1989"/>
      <c r="H15" s="1990"/>
      <c r="T15" s="1952" t="s">
        <v>2073</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2148</v>
      </c>
      <c r="B17" s="2014"/>
      <c r="C17" s="2014"/>
      <c r="D17" s="2014"/>
      <c r="E17" s="2014"/>
      <c r="F17" s="2014"/>
      <c r="G17" s="2014"/>
      <c r="H17" s="2015"/>
      <c r="T17" s="2001" t="s">
        <v>2074</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2066</v>
      </c>
      <c r="B19" s="1985"/>
      <c r="C19" s="1985"/>
      <c r="D19" s="1985"/>
      <c r="E19" s="1985"/>
      <c r="F19" s="1985"/>
      <c r="G19" s="1985"/>
      <c r="H19" s="1983"/>
      <c r="I19" s="30"/>
      <c r="J19" s="99"/>
      <c r="K19" s="40"/>
      <c r="L19" s="38"/>
      <c r="M19" s="112" t="s">
        <v>315</v>
      </c>
      <c r="P19" s="27"/>
      <c r="Q19" s="27"/>
      <c r="R19" s="27"/>
      <c r="S19" s="31"/>
      <c r="T19" s="1984" t="s">
        <v>2075</v>
      </c>
      <c r="U19" s="1982"/>
      <c r="V19" s="1982"/>
      <c r="W19" s="1983"/>
      <c r="X19" s="1999" t="s">
        <v>2076</v>
      </c>
      <c r="Y19" s="2000"/>
      <c r="Z19" s="1997">
        <v>62263</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2067</v>
      </c>
      <c r="B21" s="1982"/>
      <c r="C21" s="1982"/>
      <c r="D21" s="1982"/>
      <c r="E21" s="1982"/>
      <c r="F21" s="1982"/>
      <c r="G21" s="1982"/>
      <c r="H21" s="1983"/>
      <c r="I21" s="2007" t="s">
        <v>678</v>
      </c>
      <c r="J21" s="1970"/>
      <c r="K21" s="1970"/>
      <c r="L21" s="1970"/>
      <c r="M21" s="1970"/>
      <c r="N21" s="1970"/>
      <c r="O21" s="1970"/>
      <c r="P21" s="1970"/>
      <c r="Q21" s="1970"/>
      <c r="R21" s="1970"/>
      <c r="S21" s="1971"/>
      <c r="T21" s="1949" t="s">
        <v>2077</v>
      </c>
      <c r="U21" s="1950"/>
      <c r="V21" s="1950"/>
      <c r="W21" s="1950"/>
      <c r="X21" s="1963" t="s">
        <v>2078</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2079</v>
      </c>
      <c r="U23" s="1945"/>
      <c r="V23" s="1945"/>
      <c r="W23" s="1945"/>
      <c r="X23" s="1960">
        <v>43831</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62812</v>
      </c>
      <c r="B25" s="1982"/>
      <c r="C25" s="1982"/>
      <c r="D25" s="1982"/>
      <c r="E25" s="1982"/>
      <c r="F25" s="1982"/>
      <c r="G25" s="1982"/>
      <c r="H25" s="1983"/>
      <c r="I25" s="113"/>
      <c r="J25" s="2048"/>
      <c r="K25" s="2048"/>
      <c r="L25" s="2048"/>
      <c r="M25" s="2048"/>
      <c r="N25" s="2048"/>
      <c r="O25" s="2048"/>
      <c r="P25" s="2048"/>
      <c r="Q25" s="2048"/>
      <c r="R25" s="2048"/>
      <c r="S25" s="2049"/>
      <c r="T25" s="1941" t="s">
        <v>2084</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2068</v>
      </c>
      <c r="B38" s="2014"/>
      <c r="C38" s="2014"/>
      <c r="D38" s="2014"/>
      <c r="E38" s="2014"/>
      <c r="F38" s="1982"/>
      <c r="G38" s="1982"/>
      <c r="H38" s="1983"/>
      <c r="I38" s="2033"/>
      <c r="J38" s="1953"/>
      <c r="K38" s="1953"/>
      <c r="L38" s="1953"/>
      <c r="M38" s="1953"/>
      <c r="N38" s="1953"/>
      <c r="O38" s="1953"/>
      <c r="P38" s="1954"/>
      <c r="Q38" s="1954"/>
      <c r="R38" s="1954"/>
      <c r="S38" s="1955"/>
      <c r="T38" s="1952" t="s">
        <v>2080</v>
      </c>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2069</v>
      </c>
      <c r="B40" s="2041"/>
      <c r="C40" s="2042"/>
      <c r="D40" s="2042"/>
      <c r="E40" s="2042"/>
      <c r="F40" s="2043"/>
      <c r="G40" s="2043"/>
      <c r="H40" s="2044"/>
      <c r="I40" s="1956"/>
      <c r="J40" s="1958"/>
      <c r="K40" s="1958"/>
      <c r="L40" s="1958"/>
      <c r="M40" s="1958"/>
      <c r="N40" s="1958"/>
      <c r="O40" s="1958"/>
      <c r="P40" s="1958"/>
      <c r="Q40" s="1958"/>
      <c r="R40" s="1958"/>
      <c r="S40" s="1959"/>
      <c r="T40" s="1956" t="s">
        <v>2081</v>
      </c>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2070</v>
      </c>
      <c r="B42" s="2031"/>
      <c r="C42" s="2032"/>
      <c r="D42" s="2045" t="s">
        <v>2071</v>
      </c>
      <c r="E42" s="2031"/>
      <c r="F42" s="2031"/>
      <c r="G42" s="2031"/>
      <c r="H42" s="2032"/>
      <c r="I42" s="1951"/>
      <c r="J42" s="1947"/>
      <c r="K42" s="1947"/>
      <c r="L42" s="1947"/>
      <c r="M42" s="1947"/>
      <c r="N42" s="1947"/>
      <c r="O42" s="1948"/>
      <c r="P42" s="1946"/>
      <c r="Q42" s="1947"/>
      <c r="R42" s="1947"/>
      <c r="S42" s="1948"/>
      <c r="T42" s="1951" t="s">
        <v>2082</v>
      </c>
      <c r="U42" s="1947"/>
      <c r="V42" s="1947"/>
      <c r="W42" s="1948"/>
      <c r="X42" s="1946" t="s">
        <v>2083</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25" sqref="T25:AA2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3" t="s">
        <v>1801</v>
      </c>
      <c r="B2" s="1528" t="s">
        <v>1948</v>
      </c>
      <c r="C2" s="714" t="s">
        <v>1949</v>
      </c>
      <c r="D2" s="714" t="s">
        <v>1950</v>
      </c>
      <c r="E2" s="714" t="s">
        <v>1951</v>
      </c>
      <c r="F2" s="714" t="s">
        <v>1952</v>
      </c>
    </row>
    <row r="3" spans="1:6" ht="12" customHeight="1" x14ac:dyDescent="0.2">
      <c r="A3" s="2184"/>
      <c r="B3" s="1525"/>
      <c r="C3" s="1526"/>
      <c r="D3" s="1527" t="s">
        <v>256</v>
      </c>
      <c r="E3" s="1526"/>
      <c r="F3" s="1527" t="s">
        <v>257</v>
      </c>
    </row>
    <row r="4" spans="1:6" ht="13.7" customHeight="1" x14ac:dyDescent="0.2">
      <c r="A4" s="715" t="s">
        <v>1155</v>
      </c>
      <c r="B4" s="1747">
        <f>'Revenues 9-14'!C5</f>
        <v>2137795</v>
      </c>
      <c r="C4" s="1524"/>
      <c r="D4" s="1750">
        <f>B4-C4</f>
        <v>2137795</v>
      </c>
      <c r="E4" s="1524">
        <v>2383871</v>
      </c>
      <c r="F4" s="1750">
        <f>E4-C4</f>
        <v>2383871</v>
      </c>
    </row>
    <row r="5" spans="1:6" ht="13.7" customHeight="1" x14ac:dyDescent="0.2">
      <c r="A5" s="715" t="s">
        <v>870</v>
      </c>
      <c r="B5" s="1748">
        <f>'Revenues 9-14'!D5</f>
        <v>360393</v>
      </c>
      <c r="C5" s="585"/>
      <c r="D5" s="1751">
        <f t="shared" ref="D5:D18" si="0">B5-C5</f>
        <v>360393</v>
      </c>
      <c r="E5" s="585">
        <v>401878</v>
      </c>
      <c r="F5" s="1751">
        <f>E5-C5</f>
        <v>401878</v>
      </c>
    </row>
    <row r="6" spans="1:6" ht="13.7" customHeight="1" x14ac:dyDescent="0.2">
      <c r="A6" s="715" t="s">
        <v>411</v>
      </c>
      <c r="B6" s="1748">
        <f>'Revenues 9-14'!E5</f>
        <v>143344</v>
      </c>
      <c r="C6" s="585"/>
      <c r="D6" s="1751">
        <f t="shared" si="0"/>
        <v>143344</v>
      </c>
      <c r="E6" s="585">
        <v>145000</v>
      </c>
      <c r="F6" s="1751">
        <f t="shared" ref="F6:F18" si="1">E6-C6</f>
        <v>145000</v>
      </c>
    </row>
    <row r="7" spans="1:6" ht="13.7" customHeight="1" x14ac:dyDescent="0.2">
      <c r="A7" s="715" t="s">
        <v>155</v>
      </c>
      <c r="B7" s="1748">
        <f>'Revenues 9-14'!F5</f>
        <v>227847</v>
      </c>
      <c r="C7" s="585"/>
      <c r="D7" s="1751">
        <f t="shared" si="0"/>
        <v>227847</v>
      </c>
      <c r="E7" s="585">
        <v>254075</v>
      </c>
      <c r="F7" s="1751">
        <f t="shared" si="1"/>
        <v>254075</v>
      </c>
    </row>
    <row r="8" spans="1:6" ht="13.7" customHeight="1" x14ac:dyDescent="0.2">
      <c r="A8" s="715" t="s">
        <v>1179</v>
      </c>
      <c r="B8" s="1748">
        <f>'Revenues 9-14'!G5</f>
        <v>137709</v>
      </c>
      <c r="C8" s="585"/>
      <c r="D8" s="1751">
        <f t="shared" si="0"/>
        <v>137709</v>
      </c>
      <c r="E8" s="585">
        <v>153562</v>
      </c>
      <c r="F8" s="1751">
        <f t="shared" si="1"/>
        <v>153562</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68074</v>
      </c>
      <c r="C10" s="585"/>
      <c r="D10" s="1751">
        <f t="shared" si="0"/>
        <v>68074</v>
      </c>
      <c r="E10" s="585">
        <v>75908</v>
      </c>
      <c r="F10" s="1751">
        <f t="shared" si="1"/>
        <v>75908</v>
      </c>
    </row>
    <row r="11" spans="1:6" x14ac:dyDescent="0.2">
      <c r="A11" s="715" t="s">
        <v>409</v>
      </c>
      <c r="B11" s="1748">
        <f>'Revenues 9-14'!J5</f>
        <v>147101</v>
      </c>
      <c r="C11" s="585"/>
      <c r="D11" s="1751">
        <f t="shared" si="0"/>
        <v>147101</v>
      </c>
      <c r="E11" s="585">
        <v>164032</v>
      </c>
      <c r="F11" s="1751">
        <f t="shared" si="1"/>
        <v>164032</v>
      </c>
    </row>
    <row r="12" spans="1:6" ht="13.7" customHeight="1" x14ac:dyDescent="0.2">
      <c r="A12" s="715" t="s">
        <v>157</v>
      </c>
      <c r="B12" s="1748">
        <f>'Revenues 9-14'!K5</f>
        <v>58682</v>
      </c>
      <c r="C12" s="585"/>
      <c r="D12" s="1751">
        <f t="shared" si="0"/>
        <v>58682</v>
      </c>
      <c r="E12" s="585">
        <v>65438</v>
      </c>
      <c r="F12" s="1751">
        <f t="shared" si="1"/>
        <v>65438</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30287</v>
      </c>
      <c r="C14" s="585"/>
      <c r="D14" s="1751">
        <f t="shared" si="0"/>
        <v>30287</v>
      </c>
      <c r="E14" s="585">
        <v>33679</v>
      </c>
      <c r="F14" s="1751">
        <f t="shared" si="1"/>
        <v>33679</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126947</v>
      </c>
      <c r="C16" s="585"/>
      <c r="D16" s="1751">
        <f t="shared" si="0"/>
        <v>126947</v>
      </c>
      <c r="E16" s="585">
        <v>141172</v>
      </c>
      <c r="F16" s="1751">
        <f t="shared" si="1"/>
        <v>141172</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3438179</v>
      </c>
      <c r="C19" s="1749">
        <f>SUM(C4:C18)</f>
        <v>0</v>
      </c>
      <c r="D19" s="1749">
        <f>SUM(D4:D18)</f>
        <v>3438179</v>
      </c>
      <c r="E19" s="1749">
        <f>SUM(E4:E18)</f>
        <v>3818615</v>
      </c>
      <c r="F19" s="1749">
        <f>SUM(F4:F18)</f>
        <v>3818615</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 colorId="8" zoomScale="110" zoomScaleNormal="110" workbookViewId="0">
      <selection activeCell="T25" sqref="T25:AA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1801</v>
      </c>
      <c r="B2" s="2199"/>
      <c r="C2" s="1881" t="s">
        <v>1953</v>
      </c>
      <c r="D2" s="723" t="s">
        <v>1954</v>
      </c>
      <c r="E2" s="723" t="s">
        <v>1955</v>
      </c>
      <c r="F2" s="1881" t="s">
        <v>1956</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3">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7" t="s">
        <v>631</v>
      </c>
      <c r="B15" s="2188"/>
      <c r="C15" s="1753">
        <f>SUM(C6:C14)</f>
        <v>0</v>
      </c>
      <c r="D15" s="1753">
        <f>SUM(D6:D14)</f>
        <v>0</v>
      </c>
      <c r="E15" s="1753">
        <f>SUM(E6:E14)</f>
        <v>0</v>
      </c>
      <c r="F15" s="1753">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3">
        <f>SUM(C17+D17)-E17</f>
        <v>0</v>
      </c>
    </row>
    <row r="18" spans="1:11" ht="12.75" customHeight="1" thickTop="1" thickBot="1" x14ac:dyDescent="0.25">
      <c r="A18" s="2210" t="s">
        <v>6</v>
      </c>
      <c r="B18" s="2211"/>
      <c r="C18" s="726"/>
      <c r="D18" s="585"/>
      <c r="E18" s="726"/>
      <c r="F18" s="1753">
        <f>SUM(C18+D18)-E18</f>
        <v>0</v>
      </c>
    </row>
    <row r="19" spans="1:11" ht="12.75" customHeight="1" thickTop="1" thickBot="1" x14ac:dyDescent="0.25">
      <c r="A19" s="2210" t="s">
        <v>388</v>
      </c>
      <c r="B19" s="2211"/>
      <c r="C19" s="726"/>
      <c r="D19" s="585"/>
      <c r="E19" s="726"/>
      <c r="F19" s="1753">
        <f>SUM(C19+D19)-E19</f>
        <v>0</v>
      </c>
    </row>
    <row r="20" spans="1:11" ht="12.75" customHeight="1" thickTop="1" thickBot="1" x14ac:dyDescent="0.25">
      <c r="A20" s="2210" t="s">
        <v>448</v>
      </c>
      <c r="B20" s="2211"/>
      <c r="C20" s="726"/>
      <c r="D20" s="585"/>
      <c r="E20" s="726"/>
      <c r="F20" s="1753">
        <f>SUM(C20+D20)-E20</f>
        <v>0</v>
      </c>
    </row>
    <row r="21" spans="1:11" ht="14.25" thickTop="1" thickBot="1" x14ac:dyDescent="0.25">
      <c r="A21" s="2187" t="s">
        <v>632</v>
      </c>
      <c r="B21" s="2188"/>
      <c r="C21" s="1753">
        <f>SUM(C17:C20)</f>
        <v>0</v>
      </c>
      <c r="D21" s="1753">
        <f>SUM(D17:D20)</f>
        <v>0</v>
      </c>
      <c r="E21" s="1753">
        <f>SUM(E17:E20)</f>
        <v>0</v>
      </c>
      <c r="F21" s="1753">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3">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3">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3">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2" t="s">
        <v>583</v>
      </c>
      <c r="D30" s="1882" t="s">
        <v>1673</v>
      </c>
      <c r="E30" s="1882" t="s">
        <v>1957</v>
      </c>
      <c r="F30" s="1882" t="s">
        <v>1958</v>
      </c>
      <c r="G30" s="1882" t="s">
        <v>1909</v>
      </c>
      <c r="H30" s="1882" t="s">
        <v>1959</v>
      </c>
      <c r="I30" s="1882" t="s">
        <v>1960</v>
      </c>
      <c r="J30" s="1883" t="s">
        <v>2</v>
      </c>
      <c r="K30" s="731"/>
    </row>
    <row r="31" spans="1:11" ht="12" customHeight="1" x14ac:dyDescent="0.2">
      <c r="A31" s="732" t="s">
        <v>2087</v>
      </c>
      <c r="B31" s="733">
        <v>36500</v>
      </c>
      <c r="C31" s="734">
        <v>275816</v>
      </c>
      <c r="D31" s="735">
        <v>1</v>
      </c>
      <c r="E31" s="734">
        <v>79279</v>
      </c>
      <c r="F31" s="734"/>
      <c r="G31" s="734"/>
      <c r="H31" s="734">
        <v>40964</v>
      </c>
      <c r="I31" s="1754">
        <f>((E31+F31)-H31)+G31</f>
        <v>38315</v>
      </c>
      <c r="J31" s="734">
        <v>38315</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t="s">
        <v>2088</v>
      </c>
      <c r="B33" s="733">
        <v>38791</v>
      </c>
      <c r="C33" s="734">
        <v>691026</v>
      </c>
      <c r="D33" s="735">
        <v>4</v>
      </c>
      <c r="E33" s="734">
        <v>408738</v>
      </c>
      <c r="F33" s="734"/>
      <c r="G33" s="734"/>
      <c r="H33" s="734"/>
      <c r="I33" s="1754">
        <f t="shared" ref="I33:I48" si="1">((E33+F33)-H33)+G33</f>
        <v>408738</v>
      </c>
      <c r="J33" s="734">
        <v>408738</v>
      </c>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t="s">
        <v>2089</v>
      </c>
      <c r="B35" s="733">
        <v>40309</v>
      </c>
      <c r="C35" s="738">
        <v>750000</v>
      </c>
      <c r="D35" s="735">
        <v>7</v>
      </c>
      <c r="E35" s="738">
        <v>350000</v>
      </c>
      <c r="F35" s="738"/>
      <c r="G35" s="738"/>
      <c r="H35" s="738">
        <v>50000</v>
      </c>
      <c r="I35" s="1754">
        <f t="shared" si="1"/>
        <v>300000</v>
      </c>
      <c r="J35" s="738">
        <v>180913</v>
      </c>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1716842</v>
      </c>
      <c r="D49" s="745"/>
      <c r="E49" s="1754">
        <f t="shared" ref="E49:J49" si="2">SUM(E31:E48)</f>
        <v>838017</v>
      </c>
      <c r="F49" s="1754">
        <f t="shared" si="2"/>
        <v>0</v>
      </c>
      <c r="G49" s="1754">
        <f t="shared" si="2"/>
        <v>0</v>
      </c>
      <c r="H49" s="1754">
        <f t="shared" si="2"/>
        <v>90964</v>
      </c>
      <c r="I49" s="1754">
        <f t="shared" si="2"/>
        <v>747053</v>
      </c>
      <c r="J49" s="1754">
        <f t="shared" si="2"/>
        <v>627966</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D1" colorId="8" zoomScale="110" zoomScaleNormal="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1811</v>
      </c>
      <c r="K2" s="762" t="s">
        <v>138</v>
      </c>
    </row>
    <row r="3" spans="1:11" x14ac:dyDescent="0.2">
      <c r="A3" s="2220" t="s">
        <v>1961</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30827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7200</v>
      </c>
    </row>
    <row r="8" spans="1:11" x14ac:dyDescent="0.2">
      <c r="A8" s="778" t="s">
        <v>345</v>
      </c>
      <c r="B8" s="779"/>
      <c r="C8" s="779"/>
      <c r="D8" s="779"/>
      <c r="E8" s="780"/>
      <c r="F8" s="770" t="s">
        <v>851</v>
      </c>
      <c r="G8" s="782"/>
      <c r="H8" s="782"/>
      <c r="I8" s="782"/>
      <c r="J8" s="765">
        <v>236548</v>
      </c>
      <c r="K8" s="769"/>
    </row>
    <row r="9" spans="1:11" x14ac:dyDescent="0.2">
      <c r="A9" s="778" t="s">
        <v>138</v>
      </c>
      <c r="B9" s="779"/>
      <c r="C9" s="779"/>
      <c r="D9" s="779"/>
      <c r="E9" s="780"/>
      <c r="F9" s="777" t="s">
        <v>853</v>
      </c>
      <c r="G9" s="782"/>
      <c r="H9" s="771"/>
      <c r="I9" s="771"/>
      <c r="J9" s="781"/>
      <c r="K9" s="765">
        <v>23583</v>
      </c>
    </row>
    <row r="10" spans="1:11" x14ac:dyDescent="0.2">
      <c r="A10" s="2241" t="s">
        <v>1812</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5"/>
      <c r="G12" s="1756">
        <f>SUM(G5:G11)</f>
        <v>0</v>
      </c>
      <c r="H12" s="1756">
        <f>SUM(H5:H11)</f>
        <v>30827</v>
      </c>
      <c r="I12" s="1756">
        <f>SUM(I5:I11)</f>
        <v>0</v>
      </c>
      <c r="J12" s="1756">
        <f>SUM(J5:J11)</f>
        <v>236548</v>
      </c>
      <c r="K12" s="1756">
        <f>SUM(K5:K11)</f>
        <v>30783</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30827</v>
      </c>
      <c r="I14" s="771"/>
      <c r="J14" s="773"/>
      <c r="K14" s="765">
        <v>30783</v>
      </c>
    </row>
    <row r="15" spans="1:11" x14ac:dyDescent="0.2">
      <c r="A15" s="2214" t="s">
        <v>4</v>
      </c>
      <c r="B15" s="2214"/>
      <c r="C15" s="2214"/>
      <c r="D15" s="2214"/>
      <c r="E15" s="2242"/>
      <c r="F15" s="789" t="s">
        <v>855</v>
      </c>
      <c r="G15" s="771"/>
      <c r="H15" s="764"/>
      <c r="I15" s="764"/>
      <c r="J15" s="765">
        <v>20848</v>
      </c>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v>123986</v>
      </c>
      <c r="K18" s="795"/>
    </row>
    <row r="19" spans="1:11" ht="21.75" customHeight="1" x14ac:dyDescent="0.2">
      <c r="A19" s="2249" t="s">
        <v>1808</v>
      </c>
      <c r="B19" s="2249"/>
      <c r="C19" s="2249"/>
      <c r="D19" s="2249"/>
      <c r="E19" s="2250"/>
      <c r="F19" s="789" t="s">
        <v>933</v>
      </c>
      <c r="G19" s="782"/>
      <c r="H19" s="782"/>
      <c r="I19" s="782"/>
      <c r="J19" s="765">
        <v>90964</v>
      </c>
      <c r="K19" s="795"/>
    </row>
    <row r="20" spans="1:11" x14ac:dyDescent="0.2">
      <c r="A20" s="2228" t="s">
        <v>1813</v>
      </c>
      <c r="B20" s="2229"/>
      <c r="C20" s="2229"/>
      <c r="D20" s="2229"/>
      <c r="E20" s="2230"/>
      <c r="F20" s="789" t="s">
        <v>934</v>
      </c>
      <c r="G20" s="782"/>
      <c r="H20" s="782"/>
      <c r="I20" s="782"/>
      <c r="J20" s="765">
        <v>750</v>
      </c>
      <c r="K20" s="795"/>
    </row>
    <row r="21" spans="1:11" ht="13.5" thickBot="1" x14ac:dyDescent="0.25">
      <c r="A21" s="2234" t="s">
        <v>638</v>
      </c>
      <c r="B21" s="2234"/>
      <c r="C21" s="2234"/>
      <c r="D21" s="2234"/>
      <c r="E21" s="2234"/>
      <c r="F21" s="1757"/>
      <c r="G21" s="792"/>
      <c r="H21" s="796"/>
      <c r="I21" s="796"/>
      <c r="J21" s="1758">
        <f>SUM(J18:J20)</f>
        <v>215700</v>
      </c>
      <c r="K21" s="793"/>
    </row>
    <row r="22" spans="1:11" ht="13.5" thickTop="1" x14ac:dyDescent="0.2">
      <c r="A22" s="2214" t="s">
        <v>1814</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59"/>
      <c r="G23" s="1756">
        <f>SUM(G14:G16,G21,G22)</f>
        <v>0</v>
      </c>
      <c r="H23" s="1756">
        <f>SUM(H14:H16,H21,H22)</f>
        <v>30827</v>
      </c>
      <c r="I23" s="1756">
        <f>SUM(I14:I16,I21,I22)</f>
        <v>0</v>
      </c>
      <c r="J23" s="1756">
        <f>SUM(J14:J16,J21,J22)</f>
        <v>236548</v>
      </c>
      <c r="K23" s="1756">
        <f>SUM(K14:K16,K21,K22)</f>
        <v>30783</v>
      </c>
    </row>
    <row r="24" spans="1:11" ht="14.25" thickTop="1" thickBot="1" x14ac:dyDescent="0.25">
      <c r="A24" s="2235" t="s">
        <v>1962</v>
      </c>
      <c r="B24" s="2234"/>
      <c r="C24" s="2234"/>
      <c r="D24" s="2234"/>
      <c r="E24" s="2234"/>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1908</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T25" sqref="T25:AA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1907</v>
      </c>
      <c r="B1" s="2254"/>
      <c r="C1" s="2255"/>
      <c r="D1" s="826"/>
      <c r="E1" s="827"/>
      <c r="F1" s="827"/>
      <c r="G1" s="828"/>
      <c r="H1" s="829"/>
      <c r="I1" s="830"/>
      <c r="J1" s="2251"/>
      <c r="K1" s="2252"/>
      <c r="L1" s="2252"/>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203096</v>
      </c>
      <c r="D5" s="841"/>
      <c r="E5" s="841"/>
      <c r="F5" s="1758">
        <f>(C5+D5)-E5</f>
        <v>203096</v>
      </c>
      <c r="G5" s="837"/>
      <c r="H5" s="842"/>
      <c r="I5" s="842"/>
      <c r="J5" s="842"/>
      <c r="K5" s="793"/>
      <c r="L5" s="1767">
        <f>F5-K5</f>
        <v>203096</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8217070</v>
      </c>
      <c r="D8" s="844"/>
      <c r="E8" s="844"/>
      <c r="F8" s="1758">
        <f>(C8+D8)-E8</f>
        <v>8217070</v>
      </c>
      <c r="G8" s="843">
        <v>50</v>
      </c>
      <c r="H8" s="765">
        <v>4766474</v>
      </c>
      <c r="I8" s="765">
        <v>227458</v>
      </c>
      <c r="J8" s="765"/>
      <c r="K8" s="1767">
        <f>(H8+I8)-J8</f>
        <v>4993932</v>
      </c>
      <c r="L8" s="1767">
        <f>F8-K8</f>
        <v>3223138</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1059211</v>
      </c>
      <c r="D10" s="846">
        <v>10000</v>
      </c>
      <c r="E10" s="846"/>
      <c r="F10" s="1762">
        <f>(C10+D10)-E10</f>
        <v>1069211</v>
      </c>
      <c r="G10" s="843">
        <v>20</v>
      </c>
      <c r="H10" s="847">
        <v>239436</v>
      </c>
      <c r="I10" s="847">
        <v>39906</v>
      </c>
      <c r="J10" s="847"/>
      <c r="K10" s="1767">
        <f>(H10+I10)-J10</f>
        <v>279342</v>
      </c>
      <c r="L10" s="1767">
        <f>F10-K10</f>
        <v>789869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3982894</v>
      </c>
      <c r="D12" s="844">
        <f>87629+27021</f>
        <v>114650</v>
      </c>
      <c r="E12" s="844"/>
      <c r="F12" s="1758">
        <f>(C12+D12)-E12</f>
        <v>4097544</v>
      </c>
      <c r="G12" s="843">
        <v>10</v>
      </c>
      <c r="H12" s="765">
        <v>3732610</v>
      </c>
      <c r="I12" s="765">
        <v>38442</v>
      </c>
      <c r="J12" s="765"/>
      <c r="K12" s="1767">
        <f>(H12+I12)-J12</f>
        <v>3771052</v>
      </c>
      <c r="L12" s="1767">
        <f>F12-K12</f>
        <v>326492</v>
      </c>
    </row>
    <row r="13" spans="1:14" ht="14.25" thickTop="1" thickBot="1" x14ac:dyDescent="0.25">
      <c r="A13" s="848" t="s">
        <v>1122</v>
      </c>
      <c r="B13" s="840">
        <v>252</v>
      </c>
      <c r="C13" s="844"/>
      <c r="D13" s="844"/>
      <c r="E13" s="844"/>
      <c r="F13" s="1758">
        <f>(C13+D13)-E13</f>
        <v>0</v>
      </c>
      <c r="G13" s="843">
        <v>5</v>
      </c>
      <c r="H13" s="765"/>
      <c r="I13" s="765"/>
      <c r="J13" s="765"/>
      <c r="K13" s="1767">
        <f>(H13+I13)-J13</f>
        <v>0</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13462271</v>
      </c>
      <c r="D16" s="1758">
        <f>SUM(D3,D5:D6,D8:D10,D12:D15)</f>
        <v>124650</v>
      </c>
      <c r="E16" s="1758">
        <f>SUM(E3,E5:E6,E8:E10,E12:E15)</f>
        <v>0</v>
      </c>
      <c r="F16" s="1758">
        <f>SUM(F3,F5:F6,F8:F10,F12:F15)</f>
        <v>13586921</v>
      </c>
      <c r="G16" s="843"/>
      <c r="H16" s="1758">
        <f>SUM(H3,H6,H8:H10,H12:H14,)</f>
        <v>8738520</v>
      </c>
      <c r="I16" s="1758">
        <f>SUM(I3,I6,I8:I10,I12:I14,)</f>
        <v>305806</v>
      </c>
      <c r="J16" s="1758">
        <f>SUM(J3,J6,J8:J10,J12:J14,)</f>
        <v>0</v>
      </c>
      <c r="K16" s="1758">
        <f>(H16+I16)-J16</f>
        <v>9044326</v>
      </c>
      <c r="L16" s="1758">
        <f>F16-K16</f>
        <v>4542595</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305806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B1" colorId="8" zoomScale="110" zoomScaleNormal="110" workbookViewId="0">
      <pane ySplit="5" topLeftCell="A166" activePane="bottomLeft" state="frozen"/>
      <selection activeCell="T25" sqref="T25:AA25"/>
      <selection pane="bottomLeft" activeCell="G176" sqref="G1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1972</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5971556</v>
      </c>
      <c r="G8" s="865"/>
    </row>
    <row r="9" spans="1:7" x14ac:dyDescent="0.2">
      <c r="A9" s="869" t="s">
        <v>460</v>
      </c>
      <c r="B9" s="870" t="s">
        <v>1875</v>
      </c>
      <c r="C9" s="871"/>
      <c r="D9" s="869" t="s">
        <v>501</v>
      </c>
      <c r="E9" s="868"/>
      <c r="F9" s="1906">
        <f>'Expenditures 15-22'!K151</f>
        <v>521823</v>
      </c>
      <c r="G9" s="872"/>
    </row>
    <row r="10" spans="1:7" x14ac:dyDescent="0.2">
      <c r="A10" s="869" t="s">
        <v>499</v>
      </c>
      <c r="B10" s="870" t="s">
        <v>1876</v>
      </c>
      <c r="C10" s="871"/>
      <c r="D10" s="869" t="s">
        <v>501</v>
      </c>
      <c r="E10" s="868"/>
      <c r="F10" s="1906">
        <f>'Expenditures 15-22'!K174</f>
        <v>215700</v>
      </c>
      <c r="G10" s="872"/>
    </row>
    <row r="11" spans="1:7" x14ac:dyDescent="0.2">
      <c r="A11" s="869" t="s">
        <v>461</v>
      </c>
      <c r="B11" s="870" t="s">
        <v>1877</v>
      </c>
      <c r="C11" s="871"/>
      <c r="D11" s="869" t="s">
        <v>501</v>
      </c>
      <c r="E11" s="868"/>
      <c r="F11" s="1906">
        <f>'Expenditures 15-22'!K210</f>
        <v>299857</v>
      </c>
      <c r="G11" s="872"/>
    </row>
    <row r="12" spans="1:7" x14ac:dyDescent="0.2">
      <c r="A12" s="869" t="s">
        <v>462</v>
      </c>
      <c r="B12" s="870" t="s">
        <v>1878</v>
      </c>
      <c r="C12" s="871"/>
      <c r="D12" s="869" t="s">
        <v>501</v>
      </c>
      <c r="E12" s="868"/>
      <c r="F12" s="1906">
        <f>'Expenditures 15-22'!K295</f>
        <v>222059</v>
      </c>
      <c r="G12" s="872"/>
    </row>
    <row r="13" spans="1:7" x14ac:dyDescent="0.2">
      <c r="A13" s="869" t="s">
        <v>106</v>
      </c>
      <c r="B13" s="870" t="s">
        <v>1879</v>
      </c>
      <c r="C13" s="871"/>
      <c r="D13" s="869" t="s">
        <v>501</v>
      </c>
      <c r="E13" s="868"/>
      <c r="F13" s="1906">
        <f>'Expenditures 15-22'!K342</f>
        <v>133152</v>
      </c>
      <c r="G13" s="873"/>
    </row>
    <row r="14" spans="1:7" ht="12" customHeight="1" thickBot="1" x14ac:dyDescent="0.25">
      <c r="A14" s="1768"/>
      <c r="B14" s="1769"/>
      <c r="C14" s="1770"/>
      <c r="D14" s="1771" t="s">
        <v>501</v>
      </c>
      <c r="E14" s="1772" t="s">
        <v>958</v>
      </c>
      <c r="F14" s="1773">
        <f>SUM(F8:F13)</f>
        <v>7364147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1">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1999</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360</v>
      </c>
      <c r="G52" s="865"/>
    </row>
    <row r="53" spans="1:7" x14ac:dyDescent="0.2">
      <c r="A53" s="869" t="s">
        <v>459</v>
      </c>
      <c r="B53" s="869" t="s">
        <v>1475</v>
      </c>
      <c r="C53" s="889">
        <f>'Expenditures 15-22'!B102</f>
        <v>4000</v>
      </c>
      <c r="D53" s="888" t="str">
        <f>'Expenditures 15-22'!A102</f>
        <v>Total Payments to Other Govt Units</v>
      </c>
      <c r="E53" s="868"/>
      <c r="F53" s="1910">
        <f>'Expenditures 15-22'!K102</f>
        <v>404889</v>
      </c>
      <c r="G53" s="865"/>
    </row>
    <row r="54" spans="1:7" x14ac:dyDescent="0.2">
      <c r="A54" s="869" t="s">
        <v>459</v>
      </c>
      <c r="B54" s="869" t="s">
        <v>1476</v>
      </c>
      <c r="C54" s="889" t="s">
        <v>982</v>
      </c>
      <c r="D54" s="885" t="s">
        <v>1095</v>
      </c>
      <c r="E54" s="868"/>
      <c r="F54" s="1910">
        <f>'Expenditures 15-22'!G114</f>
        <v>87629</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0">
        <f>'Expenditures 15-22'!K139</f>
        <v>0</v>
      </c>
      <c r="G57" s="865"/>
    </row>
    <row r="58" spans="1:7" x14ac:dyDescent="0.2">
      <c r="A58" s="869" t="s">
        <v>460</v>
      </c>
      <c r="B58" s="869" t="s">
        <v>1881</v>
      </c>
      <c r="C58" s="886" t="s">
        <v>982</v>
      </c>
      <c r="D58" s="885" t="s">
        <v>1095</v>
      </c>
      <c r="E58" s="868"/>
      <c r="F58" s="1912">
        <f>'Expenditures 15-22'!G151</f>
        <v>37021</v>
      </c>
      <c r="G58" s="865"/>
    </row>
    <row r="59" spans="1:7" x14ac:dyDescent="0.2">
      <c r="A59" s="893" t="s">
        <v>460</v>
      </c>
      <c r="B59" s="856" t="s">
        <v>1882</v>
      </c>
      <c r="C59" s="894" t="s">
        <v>982</v>
      </c>
      <c r="D59" s="856" t="s">
        <v>291</v>
      </c>
      <c r="F59" s="1913">
        <f>'Expenditures 15-22'!I151</f>
        <v>0</v>
      </c>
      <c r="G59" s="865"/>
    </row>
    <row r="60" spans="1:7" x14ac:dyDescent="0.2">
      <c r="A60" s="893" t="s">
        <v>499</v>
      </c>
      <c r="B60" s="856" t="s">
        <v>1883</v>
      </c>
      <c r="C60" s="894">
        <v>4000</v>
      </c>
      <c r="D60" s="856" t="s">
        <v>312</v>
      </c>
      <c r="F60" s="1911">
        <f>'Expenditures 15-22'!K160</f>
        <v>0</v>
      </c>
      <c r="G60" s="865"/>
    </row>
    <row r="61" spans="1:7" x14ac:dyDescent="0.2">
      <c r="A61" s="895" t="s">
        <v>499</v>
      </c>
      <c r="B61" s="895" t="s">
        <v>1884</v>
      </c>
      <c r="C61" s="896" t="str">
        <f>'Expenditures 15-22'!B170</f>
        <v>5300</v>
      </c>
      <c r="D61" s="897" t="s">
        <v>311</v>
      </c>
      <c r="E61" s="879"/>
      <c r="F61" s="1910">
        <f>'Expenditures 15-22'!K170</f>
        <v>90964</v>
      </c>
      <c r="G61" s="865"/>
    </row>
    <row r="62" spans="1:7" x14ac:dyDescent="0.2">
      <c r="A62" s="869" t="s">
        <v>461</v>
      </c>
      <c r="B62" s="869" t="s">
        <v>1885</v>
      </c>
      <c r="C62" s="886">
        <f>'Expenditures 15-22'!B185</f>
        <v>3000</v>
      </c>
      <c r="D62" s="876" t="s">
        <v>449</v>
      </c>
      <c r="E62" s="868"/>
      <c r="F62" s="1910">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1887</v>
      </c>
      <c r="C64" s="896" t="str">
        <f>'Expenditures 15-22'!B206</f>
        <v>5300</v>
      </c>
      <c r="D64" s="892" t="s">
        <v>311</v>
      </c>
      <c r="E64" s="868"/>
      <c r="F64" s="1910">
        <f>'Expenditures 15-22'!K206</f>
        <v>0</v>
      </c>
      <c r="G64" s="865"/>
    </row>
    <row r="65" spans="1:8" x14ac:dyDescent="0.2">
      <c r="A65" s="869" t="s">
        <v>461</v>
      </c>
      <c r="B65" s="869" t="s">
        <v>1888</v>
      </c>
      <c r="C65" s="886" t="s">
        <v>982</v>
      </c>
      <c r="D65" s="885" t="s">
        <v>1095</v>
      </c>
      <c r="E65" s="868"/>
      <c r="F65" s="1910">
        <f>'Expenditures 15-22'!G210</f>
        <v>0</v>
      </c>
      <c r="G65" s="865"/>
    </row>
    <row r="66" spans="1:8" x14ac:dyDescent="0.2">
      <c r="A66" s="869" t="s">
        <v>461</v>
      </c>
      <c r="B66" s="869" t="s">
        <v>1889</v>
      </c>
      <c r="C66" s="886" t="s">
        <v>982</v>
      </c>
      <c r="D66" s="885" t="s">
        <v>291</v>
      </c>
      <c r="E66" s="868"/>
      <c r="F66" s="1910">
        <f>'Expenditures 15-22'!I210</f>
        <v>0</v>
      </c>
      <c r="G66" s="865"/>
    </row>
    <row r="67" spans="1:8" x14ac:dyDescent="0.2">
      <c r="A67" s="869" t="s">
        <v>462</v>
      </c>
      <c r="B67" s="869" t="s">
        <v>1890</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1892</v>
      </c>
      <c r="C70" s="886">
        <f>'Expenditures 15-22'!B221</f>
        <v>1300</v>
      </c>
      <c r="D70" s="887" t="str">
        <f>'Expenditures 15-22'!A221</f>
        <v>Adult/Continuing Education Programs</v>
      </c>
      <c r="E70" s="868"/>
      <c r="F70" s="1910">
        <f>'Expenditures 15-22'!K221</f>
        <v>0</v>
      </c>
      <c r="G70" s="865"/>
    </row>
    <row r="71" spans="1:8" x14ac:dyDescent="0.2">
      <c r="A71" s="869" t="s">
        <v>462</v>
      </c>
      <c r="B71" s="869" t="s">
        <v>1893</v>
      </c>
      <c r="C71" s="886">
        <f>'Expenditures 15-22'!B224</f>
        <v>1600</v>
      </c>
      <c r="D71" s="887" t="str">
        <f>'Expenditures 15-22'!A224</f>
        <v>Summer School Programs</v>
      </c>
      <c r="E71" s="868"/>
      <c r="F71" s="1910">
        <f>'Expenditures 15-22'!K224</f>
        <v>0</v>
      </c>
      <c r="G71" s="865"/>
    </row>
    <row r="72" spans="1:8" x14ac:dyDescent="0.2">
      <c r="A72" s="869" t="s">
        <v>462</v>
      </c>
      <c r="B72" s="869" t="s">
        <v>1894</v>
      </c>
      <c r="C72" s="886">
        <f>'Expenditures 15-22'!B280</f>
        <v>3000</v>
      </c>
      <c r="D72" s="876" t="s">
        <v>449</v>
      </c>
      <c r="E72" s="868"/>
      <c r="F72" s="1910">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1896</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1897</v>
      </c>
      <c r="E76" s="1772" t="s">
        <v>958</v>
      </c>
      <c r="F76" s="1776">
        <f>SUM(F18:F74)</f>
        <v>620863</v>
      </c>
      <c r="G76" s="865"/>
    </row>
    <row r="77" spans="1:8" s="893" customFormat="1" ht="12" customHeight="1" thickTop="1" thickBot="1" x14ac:dyDescent="0.25">
      <c r="A77" s="1777"/>
      <c r="B77" s="1774"/>
      <c r="C77" s="1770"/>
      <c r="D77" s="1775" t="s">
        <v>1898</v>
      </c>
      <c r="E77" s="1772"/>
      <c r="F77" s="1778">
        <f>(F14-F76)</f>
        <v>6743284</v>
      </c>
      <c r="G77" s="869"/>
    </row>
    <row r="78" spans="1:8" s="893" customFormat="1" ht="12" customHeight="1" thickTop="1" x14ac:dyDescent="0.2">
      <c r="A78" s="1779"/>
      <c r="B78" s="1774"/>
      <c r="C78" s="1770"/>
      <c r="D78" s="1775" t="s">
        <v>2059</v>
      </c>
      <c r="E78" s="1772"/>
      <c r="F78" s="898">
        <v>524</v>
      </c>
      <c r="G78" s="899"/>
      <c r="H78" s="869"/>
    </row>
    <row r="79" spans="1:8" s="893" customFormat="1" ht="12" customHeight="1" thickBot="1" x14ac:dyDescent="0.25">
      <c r="A79" s="1780"/>
      <c r="B79" s="1774"/>
      <c r="C79" s="1770"/>
      <c r="D79" s="1775" t="s">
        <v>1899</v>
      </c>
      <c r="E79" s="1772" t="s">
        <v>958</v>
      </c>
      <c r="F79" s="1781">
        <f>IF(F78&gt;0,F77/F78," Complete Line 78")</f>
        <v>12868.862595419847</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53019</v>
      </c>
      <c r="G94" s="912"/>
    </row>
    <row r="95" spans="1:7" x14ac:dyDescent="0.2">
      <c r="A95" s="908" t="s">
        <v>140</v>
      </c>
      <c r="B95" s="908" t="s">
        <v>175</v>
      </c>
      <c r="C95" s="910">
        <v>1700</v>
      </c>
      <c r="D95" s="918" t="str">
        <f>'Revenues 9-14'!A82</f>
        <v>Total District/School Activity Income</v>
      </c>
      <c r="E95" s="906"/>
      <c r="F95" s="1787">
        <f>SUM('Revenues 9-14'!C82,'Revenues 9-14'!D82)</f>
        <v>50552</v>
      </c>
      <c r="G95" s="912"/>
    </row>
    <row r="96" spans="1:7" x14ac:dyDescent="0.2">
      <c r="A96" s="908" t="s">
        <v>459</v>
      </c>
      <c r="B96" s="908" t="s">
        <v>176</v>
      </c>
      <c r="C96" s="910">
        <f>'Revenues 9-14'!B84</f>
        <v>1811</v>
      </c>
      <c r="D96" s="911" t="str">
        <f>'Revenues 9-14'!A84</f>
        <v>Rentals - Regular Textbooks</v>
      </c>
      <c r="E96" s="906"/>
      <c r="F96" s="1787">
        <f>'Revenues 9-14'!C84</f>
        <v>13170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2000</v>
      </c>
      <c r="C105" s="913">
        <v>3100</v>
      </c>
      <c r="D105" s="919" t="str">
        <f>'Revenues 9-14'!A132</f>
        <v>Total Special Education</v>
      </c>
      <c r="E105" s="906"/>
      <c r="F105" s="1787">
        <f>SUM('Revenues 9-14'!C132:D132,'Revenues 9-14'!F132)</f>
        <v>23665</v>
      </c>
      <c r="G105" s="912"/>
    </row>
    <row r="106" spans="1:7" x14ac:dyDescent="0.2">
      <c r="A106" s="908" t="s">
        <v>673</v>
      </c>
      <c r="B106" s="908" t="s">
        <v>2001</v>
      </c>
      <c r="C106" s="920">
        <v>3200</v>
      </c>
      <c r="D106" s="911" t="str">
        <f>'Revenues 9-14'!A141</f>
        <v>Total Career and Technical Education</v>
      </c>
      <c r="E106" s="906"/>
      <c r="F106" s="1787">
        <f>SUM('Revenues 9-14'!C141,'Revenues 9-14'!D141,'Revenues 9-14'!G141)</f>
        <v>35013</v>
      </c>
      <c r="G106" s="912"/>
    </row>
    <row r="107" spans="1:7" x14ac:dyDescent="0.2">
      <c r="A107" s="921" t="s">
        <v>664</v>
      </c>
      <c r="B107" s="908" t="s">
        <v>2002</v>
      </c>
      <c r="C107" s="920">
        <v>3300</v>
      </c>
      <c r="D107" s="911" t="str">
        <f>'Revenues 9-14'!A145</f>
        <v>Total Bilingual Ed</v>
      </c>
      <c r="E107" s="906"/>
      <c r="F107" s="1787">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7">
        <f>'Revenues 9-14'!C146</f>
        <v>1740</v>
      </c>
      <c r="G108" s="912"/>
    </row>
    <row r="109" spans="1:7" x14ac:dyDescent="0.2">
      <c r="A109" s="908" t="s">
        <v>673</v>
      </c>
      <c r="B109" s="908" t="s">
        <v>2004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7">
        <f>SUM('Revenues 9-14'!C148,'Revenues 9-14'!D148)</f>
        <v>23583</v>
      </c>
      <c r="G110" s="912"/>
    </row>
    <row r="111" spans="1:7" x14ac:dyDescent="0.2">
      <c r="A111" s="908" t="s">
        <v>668</v>
      </c>
      <c r="B111" s="908" t="s">
        <v>2006</v>
      </c>
      <c r="C111" s="922">
        <v>3500</v>
      </c>
      <c r="D111" s="911" t="str">
        <f>'Revenues 9-14'!A155</f>
        <v>Total Transportation</v>
      </c>
      <c r="E111" s="906"/>
      <c r="F111" s="1787">
        <f>SUM('Revenues 9-14'!C155,'Revenues 9-14'!D155,'Revenues 9-14'!F155,'Revenues 9-14'!G155)</f>
        <v>169318</v>
      </c>
      <c r="G111" s="912"/>
    </row>
    <row r="112" spans="1:7" x14ac:dyDescent="0.2">
      <c r="A112" s="908" t="s">
        <v>459</v>
      </c>
      <c r="B112" s="908" t="s">
        <v>2007</v>
      </c>
      <c r="C112" s="920">
        <f>'Revenues 9-14'!B156</f>
        <v>3610</v>
      </c>
      <c r="D112" s="911" t="str">
        <f>'Revenues 9-14'!A156</f>
        <v>Learning Improvement - Change Grants</v>
      </c>
      <c r="E112" s="906"/>
      <c r="F112" s="1787">
        <f>'Revenues 9-14'!C156</f>
        <v>0</v>
      </c>
      <c r="G112" s="912"/>
    </row>
    <row r="113" spans="1:7" x14ac:dyDescent="0.2">
      <c r="A113" s="908" t="s">
        <v>668</v>
      </c>
      <c r="B113" s="908" t="s">
        <v>2008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4">
        <f>SUM('Revenues 9-14'!C163:G163)</f>
        <v>0</v>
      </c>
      <c r="G118" s="912"/>
    </row>
    <row r="119" spans="1:7" x14ac:dyDescent="0.2">
      <c r="A119" s="923" t="s">
        <v>504</v>
      </c>
      <c r="B119" s="923" t="s">
        <v>2014</v>
      </c>
      <c r="C119" s="924">
        <f>'Revenues 9-14'!B164</f>
        <v>3815</v>
      </c>
      <c r="D119" s="925" t="str">
        <f>'Revenues 9-14'!A164</f>
        <v>State Charter Schools</v>
      </c>
      <c r="E119" s="906"/>
      <c r="F119" s="1904">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7">
        <f>'Revenues 9-14'!D167</f>
        <v>0</v>
      </c>
      <c r="G120" s="930"/>
    </row>
    <row r="121" spans="1:7" x14ac:dyDescent="0.2">
      <c r="A121" s="927" t="s">
        <v>500</v>
      </c>
      <c r="B121" s="927" t="s">
        <v>2016</v>
      </c>
      <c r="C121" s="928">
        <f>'Revenues 9-14'!B168</f>
        <v>3999</v>
      </c>
      <c r="D121" s="929" t="s">
        <v>543</v>
      </c>
      <c r="E121" s="931"/>
      <c r="F121" s="1787">
        <f>SUM('Revenues 9-14'!C168:G168,'Revenues 9-14'!J168)</f>
        <v>287365</v>
      </c>
      <c r="G121" s="930"/>
    </row>
    <row r="122" spans="1:7" x14ac:dyDescent="0.2">
      <c r="A122" s="927" t="s">
        <v>459</v>
      </c>
      <c r="B122" s="927" t="s">
        <v>2017</v>
      </c>
      <c r="C122" s="932">
        <f>'Revenues 9-14'!B177</f>
        <v>4045</v>
      </c>
      <c r="D122" s="929" t="str">
        <f>'Revenues 9-14'!A177 &amp; " (Subtract)"</f>
        <v>Head Start (Subtract)</v>
      </c>
      <c r="E122" s="906"/>
      <c r="F122" s="1787">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2019</v>
      </c>
      <c r="C124" s="932">
        <v>4100</v>
      </c>
      <c r="D124" s="933" t="str">
        <f>'Revenues 9-14'!A188</f>
        <v>Total Title V</v>
      </c>
      <c r="E124" s="906"/>
      <c r="F124" s="1787">
        <f>SUM('Revenues 9-14'!C188,'Revenues 9-14'!D188,'Revenues 9-14'!F188,'Revenues 9-14'!G188)</f>
        <v>9831</v>
      </c>
      <c r="G124" s="930"/>
    </row>
    <row r="125" spans="1:7" x14ac:dyDescent="0.2">
      <c r="A125" s="927" t="s">
        <v>664</v>
      </c>
      <c r="B125" s="927" t="s">
        <v>2020</v>
      </c>
      <c r="C125" s="932">
        <v>4200</v>
      </c>
      <c r="D125" s="929" t="str">
        <f>'Revenues 9-14'!A198</f>
        <v>Total Food Service</v>
      </c>
      <c r="E125" s="906"/>
      <c r="F125" s="1787">
        <f>SUM('Revenues 9-14'!C198,'Revenues 9-14'!G198)</f>
        <v>107611</v>
      </c>
      <c r="G125" s="930"/>
    </row>
    <row r="126" spans="1:7" x14ac:dyDescent="0.2">
      <c r="A126" s="927" t="s">
        <v>668</v>
      </c>
      <c r="B126" s="927" t="s">
        <v>2021</v>
      </c>
      <c r="C126" s="932">
        <v>4300</v>
      </c>
      <c r="D126" s="933" t="str">
        <f>'Revenues 9-14'!A204</f>
        <v>Total Title I</v>
      </c>
      <c r="E126" s="906"/>
      <c r="F126" s="1787">
        <f>SUM('Revenues 9-14'!C204,'Revenues 9-14'!D204,'Revenues 9-14'!F204,'Revenues 9-14'!G204)</f>
        <v>271961</v>
      </c>
      <c r="G126" s="930"/>
    </row>
    <row r="127" spans="1:7" x14ac:dyDescent="0.2">
      <c r="A127" s="927" t="s">
        <v>668</v>
      </c>
      <c r="B127" s="927" t="s">
        <v>2022</v>
      </c>
      <c r="C127" s="932">
        <v>4400</v>
      </c>
      <c r="D127" s="933" t="str">
        <f>'Revenues 9-14'!A209</f>
        <v>Total Title IV</v>
      </c>
      <c r="E127" s="906"/>
      <c r="F127" s="1787">
        <f>SUM('Revenues 9-14'!C209,'Revenues 9-14'!D209,'Revenues 9-14'!F209,'Revenues 9-14'!G209)</f>
        <v>119870</v>
      </c>
      <c r="G127" s="930"/>
    </row>
    <row r="128" spans="1:7" x14ac:dyDescent="0.2">
      <c r="A128" s="927" t="s">
        <v>668</v>
      </c>
      <c r="B128" s="927" t="s">
        <v>2023</v>
      </c>
      <c r="C128" s="932">
        <f>'Revenues 9-14'!B213</f>
        <v>4620</v>
      </c>
      <c r="D128" s="933" t="str">
        <f>'Revenues 9-14'!A213</f>
        <v>Fed - Spec Education - IDEA - Flow Through</v>
      </c>
      <c r="E128" s="906"/>
      <c r="F128" s="1787">
        <f>SUM('Revenues 9-14'!C213:D213,'Revenues 9-14'!F213:G213)</f>
        <v>32454</v>
      </c>
      <c r="G128" s="930"/>
    </row>
    <row r="129" spans="1:7" x14ac:dyDescent="0.2">
      <c r="A129" s="927" t="s">
        <v>668</v>
      </c>
      <c r="B129" s="927" t="s">
        <v>2024</v>
      </c>
      <c r="C129" s="932">
        <f>'Revenues 9-14'!B214</f>
        <v>4625</v>
      </c>
      <c r="D129" s="933" t="str">
        <f>'Revenues 9-14'!A214</f>
        <v>Fed - Spec Education - IDEA - Room &amp; Board</v>
      </c>
      <c r="E129" s="906"/>
      <c r="F129" s="1787">
        <f>SUM('Revenues 9-14'!C214,'Revenues 9-14'!D214,'Revenues 9-14'!F214,'Revenues 9-14'!G214)</f>
        <v>264</v>
      </c>
      <c r="G129" s="930"/>
    </row>
    <row r="130" spans="1:7" x14ac:dyDescent="0.2">
      <c r="A130" s="927" t="s">
        <v>668</v>
      </c>
      <c r="B130" s="927" t="s">
        <v>2025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2026</v>
      </c>
      <c r="C132" s="932">
        <v>4700</v>
      </c>
      <c r="D132" s="929" t="str">
        <f>'Revenues 9-14'!A221</f>
        <v>Total CTE - Perkins</v>
      </c>
      <c r="E132" s="906"/>
      <c r="F132" s="1787">
        <f>SUM('Revenues 9-14'!C221,'Revenues 9-14'!D221,'Revenues 9-14'!G221)</f>
        <v>43131</v>
      </c>
      <c r="G132" s="930">
        <v>6303</v>
      </c>
    </row>
    <row r="133" spans="1:7" s="867" customFormat="1" hidden="1" x14ac:dyDescent="0.2">
      <c r="A133" s="934" t="s">
        <v>206</v>
      </c>
      <c r="B133" s="934" t="s">
        <v>2027</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7">
        <v>0</v>
      </c>
      <c r="G138" s="905"/>
    </row>
    <row r="139" spans="1:7" s="867" customFormat="1" hidden="1" x14ac:dyDescent="0.2">
      <c r="A139" s="934" t="s">
        <v>206</v>
      </c>
      <c r="B139" s="934" t="s">
        <v>2033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18713</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2041</v>
      </c>
      <c r="C157" s="940" t="s">
        <v>841</v>
      </c>
      <c r="D157" s="941" t="s">
        <v>777</v>
      </c>
      <c r="E157" s="942"/>
      <c r="F157" s="1787">
        <f>SUM(F133:F156)</f>
        <v>18713</v>
      </c>
      <c r="G157" s="905"/>
    </row>
    <row r="158" spans="1:7" s="867" customFormat="1" x14ac:dyDescent="0.2">
      <c r="A158" s="938" t="s">
        <v>459</v>
      </c>
      <c r="B158" s="939" t="s">
        <v>2042</v>
      </c>
      <c r="C158" s="940" t="s">
        <v>1427</v>
      </c>
      <c r="D158" s="941" t="s">
        <v>1428</v>
      </c>
      <c r="E158" s="942"/>
      <c r="F158" s="1787">
        <f>SUM('Revenues 9-14'!C253)</f>
        <v>0</v>
      </c>
      <c r="G158" s="905"/>
    </row>
    <row r="159" spans="1:7" s="867" customFormat="1" x14ac:dyDescent="0.2">
      <c r="A159" s="938" t="s">
        <v>500</v>
      </c>
      <c r="B159" s="939" t="s">
        <v>2043</v>
      </c>
      <c r="C159" s="940" t="s">
        <v>1466</v>
      </c>
      <c r="D159" s="941" t="s">
        <v>1467</v>
      </c>
      <c r="E159" s="942"/>
      <c r="F159" s="1787">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4">
        <f>SUM('Revenues 9-14'!C259,'Revenues 9-14'!D259,'Revenues 9-14'!F259,'Revenues 9-14'!G259)</f>
        <v>28531</v>
      </c>
      <c r="G164" s="930"/>
    </row>
    <row r="165" spans="1:7" x14ac:dyDescent="0.2">
      <c r="A165" s="927" t="s">
        <v>668</v>
      </c>
      <c r="B165" s="927" t="s">
        <v>2049</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7">
        <f>SUM('Revenues 9-14'!C263:D263,'Revenues 9-14'!F263:G263)</f>
        <v>15815</v>
      </c>
      <c r="G168" s="947">
        <v>6320</v>
      </c>
    </row>
    <row r="169" spans="1:7" x14ac:dyDescent="0.2">
      <c r="A169" s="927" t="s">
        <v>668</v>
      </c>
      <c r="B169" s="927" t="s">
        <v>2051</v>
      </c>
      <c r="C169" s="932">
        <f>'Revenues 9-14'!B264</f>
        <v>4992</v>
      </c>
      <c r="D169" s="933" t="str">
        <f>'Revenues 9-14'!A264</f>
        <v>Medicaid Matching Funds - Fee-for-Service Program</v>
      </c>
      <c r="E169" s="906"/>
      <c r="F169" s="1787">
        <f>SUM('Revenues 9-14'!C264:D264,'Revenues 9-14'!F264:G264)</f>
        <v>2286</v>
      </c>
      <c r="G169" s="947"/>
    </row>
    <row r="170" spans="1:7" x14ac:dyDescent="0.2">
      <c r="A170" s="948" t="s">
        <v>668</v>
      </c>
      <c r="B170" s="944" t="s">
        <v>2052</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1918</v>
      </c>
      <c r="C171" s="1917">
        <v>3100</v>
      </c>
      <c r="D171" s="1918" t="s">
        <v>1920</v>
      </c>
      <c r="E171" s="906"/>
      <c r="F171" s="1903">
        <v>217641</v>
      </c>
      <c r="G171" s="927"/>
    </row>
    <row r="172" spans="1:7" x14ac:dyDescent="0.2">
      <c r="A172" s="1915" t="s">
        <v>664</v>
      </c>
      <c r="B172" s="1916" t="s">
        <v>1918</v>
      </c>
      <c r="C172" s="1917">
        <v>3300</v>
      </c>
      <c r="D172" s="1918" t="s">
        <v>1921</v>
      </c>
      <c r="E172" s="906"/>
      <c r="F172" s="1903">
        <v>67</v>
      </c>
      <c r="G172" s="927"/>
    </row>
    <row r="173" spans="1:7" ht="6" customHeight="1" x14ac:dyDescent="0.2">
      <c r="A173" s="927"/>
      <c r="B173" s="927"/>
      <c r="C173" s="949"/>
      <c r="D173" s="927"/>
      <c r="E173" s="906"/>
      <c r="F173" s="950"/>
      <c r="G173" s="947"/>
    </row>
    <row r="174" spans="1:7" x14ac:dyDescent="0.2">
      <c r="A174" s="1768"/>
      <c r="B174" s="1782"/>
      <c r="C174" s="1783"/>
      <c r="D174" s="1784" t="s">
        <v>2053</v>
      </c>
      <c r="E174" s="1785" t="s">
        <v>958</v>
      </c>
      <c r="F174" s="1786">
        <f>SUM(F84:F132,F157:F172)</f>
        <v>1525600</v>
      </c>
    </row>
    <row r="175" spans="1:7" ht="12" customHeight="1" x14ac:dyDescent="0.2">
      <c r="A175" s="1768"/>
      <c r="B175" s="1782"/>
      <c r="C175" s="1783"/>
      <c r="D175" s="1784" t="s">
        <v>2054</v>
      </c>
      <c r="E175" s="1785"/>
      <c r="F175" s="1787">
        <f>'PCTC-OEPP 27-28'!F77-F174</f>
        <v>5217684</v>
      </c>
    </row>
    <row r="176" spans="1:7" ht="12" customHeight="1" x14ac:dyDescent="0.2">
      <c r="A176" s="1768"/>
      <c r="B176" s="1782"/>
      <c r="C176" s="1783"/>
      <c r="D176" s="1784" t="s">
        <v>1816</v>
      </c>
      <c r="E176" s="1785"/>
      <c r="F176" s="1787">
        <f>'Cap Outlay Deprec 26'!I18</f>
        <v>305806</v>
      </c>
    </row>
    <row r="177" spans="1:7" ht="12" customHeight="1" x14ac:dyDescent="0.2">
      <c r="A177" s="1768"/>
      <c r="B177" s="1782"/>
      <c r="C177" s="1783"/>
      <c r="D177" s="1784" t="s">
        <v>2055</v>
      </c>
      <c r="E177" s="1785"/>
      <c r="F177" s="1787">
        <f>F175+F176</f>
        <v>5523490</v>
      </c>
    </row>
    <row r="178" spans="1:7" ht="12" customHeight="1" x14ac:dyDescent="0.2">
      <c r="A178" s="1768"/>
      <c r="B178" s="1788"/>
      <c r="C178" s="1783"/>
      <c r="D178" s="1784" t="str">
        <f>D78</f>
        <v>9 Month ADA from District Average Daily Attendance/Prior General State Aid Inquiry 2018-2019</v>
      </c>
      <c r="E178" s="1785"/>
      <c r="F178" s="1789">
        <f>'PCTC-OEPP 27-28'!F78</f>
        <v>524</v>
      </c>
      <c r="G178" s="930"/>
    </row>
    <row r="179" spans="1:7" ht="12" customHeight="1" thickBot="1" x14ac:dyDescent="0.25">
      <c r="A179" s="1768"/>
      <c r="B179" s="1788"/>
      <c r="C179" s="1783"/>
      <c r="D179" s="1784" t="s">
        <v>2056</v>
      </c>
      <c r="E179" s="1785" t="s">
        <v>1545</v>
      </c>
      <c r="F179" s="1790">
        <f>F177/F178</f>
        <v>10541.011450381679</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9"/>
      <c r="D184" s="930"/>
      <c r="E184" s="949"/>
      <c r="F184" s="930"/>
      <c r="G184" s="930"/>
    </row>
    <row r="185" spans="1:7" x14ac:dyDescent="0.2">
      <c r="A185" s="1923" t="s">
        <v>1923</v>
      </c>
      <c r="B185" s="1924"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topLeftCell="A16" zoomScaleNormal="100" workbookViewId="0">
      <selection activeCell="T25" sqref="T25:AA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1831</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933" t="s">
        <v>2063</v>
      </c>
      <c r="B6" s="1934"/>
      <c r="C6" s="1934"/>
      <c r="D6" s="1934"/>
      <c r="E6" s="1934"/>
      <c r="F6" s="1934"/>
      <c r="G6" s="1935"/>
    </row>
    <row r="7" spans="1:7" ht="18.75" x14ac:dyDescent="0.25">
      <c r="A7" s="1534" t="s">
        <v>1818</v>
      </c>
      <c r="B7" s="1535"/>
      <c r="C7" s="1535"/>
      <c r="D7" s="1535"/>
      <c r="E7" s="1535"/>
      <c r="F7" s="1535"/>
      <c r="G7" s="1536"/>
    </row>
    <row r="8" spans="1:7" ht="30.75" customHeight="1" x14ac:dyDescent="0.25">
      <c r="A8" s="2276" t="s">
        <v>1930</v>
      </c>
      <c r="B8" s="2277"/>
      <c r="C8" s="2277"/>
      <c r="D8" s="2277"/>
      <c r="E8" s="2277"/>
      <c r="F8" s="2277"/>
      <c r="G8" s="2278"/>
    </row>
    <row r="9" spans="1:7" ht="15.75" customHeight="1" x14ac:dyDescent="0.25">
      <c r="A9" s="2279" t="s">
        <v>1905</v>
      </c>
      <c r="B9" s="2280"/>
      <c r="C9" s="2280"/>
      <c r="D9" s="2280"/>
      <c r="E9" s="2280"/>
      <c r="F9" s="2280"/>
      <c r="G9" s="2281"/>
    </row>
    <row r="10" spans="1:7" ht="35.25" customHeight="1" x14ac:dyDescent="0.25">
      <c r="A10" s="2276" t="s">
        <v>2062</v>
      </c>
      <c r="B10" s="2277"/>
      <c r="C10" s="2277"/>
      <c r="D10" s="2277"/>
      <c r="E10" s="2277"/>
      <c r="F10" s="2277"/>
      <c r="G10" s="2278"/>
    </row>
    <row r="11" spans="1:7" ht="15" customHeight="1" x14ac:dyDescent="0.25">
      <c r="A11" s="1537" t="s">
        <v>1819</v>
      </c>
      <c r="B11" s="1538"/>
      <c r="C11" s="1538"/>
      <c r="D11" s="1538"/>
      <c r="E11" s="1538"/>
      <c r="F11" s="1538"/>
      <c r="G11" s="1539"/>
    </row>
    <row r="12" spans="1:7" ht="17.25" customHeight="1" x14ac:dyDescent="0.25">
      <c r="A12" s="2276" t="s">
        <v>1932</v>
      </c>
      <c r="B12" s="2277"/>
      <c r="C12" s="2277"/>
      <c r="D12" s="2277"/>
      <c r="E12" s="2277"/>
      <c r="F12" s="2277"/>
      <c r="G12" s="2278"/>
    </row>
    <row r="13" spans="1:7" ht="15" customHeight="1" x14ac:dyDescent="0.25">
      <c r="A13" s="1537" t="s">
        <v>1824</v>
      </c>
      <c r="B13" s="1538"/>
      <c r="C13" s="1538"/>
      <c r="D13" s="1538"/>
      <c r="E13" s="1538"/>
      <c r="F13" s="1538"/>
      <c r="G13" s="1539"/>
    </row>
    <row r="14" spans="1:7" ht="32.25" customHeight="1" x14ac:dyDescent="0.25">
      <c r="A14" s="2267" t="s">
        <v>1973</v>
      </c>
      <c r="B14" s="2268"/>
      <c r="C14" s="2268"/>
      <c r="D14" s="2268"/>
      <c r="E14" s="2268"/>
      <c r="F14" s="2268"/>
      <c r="G14" s="2269"/>
    </row>
    <row r="15" spans="1:7" x14ac:dyDescent="0.25">
      <c r="A15" s="1659" t="s">
        <v>1832</v>
      </c>
      <c r="B15" s="1660"/>
      <c r="C15" s="1660"/>
      <c r="D15" s="1660"/>
      <c r="E15" s="1660"/>
      <c r="F15" s="1660"/>
      <c r="G15" s="1661"/>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8" t="s">
        <v>2114</v>
      </c>
      <c r="B18" s="1939" t="s">
        <v>2108</v>
      </c>
      <c r="C18" s="1940" t="s">
        <v>2109</v>
      </c>
      <c r="D18" s="1841">
        <v>39948</v>
      </c>
      <c r="E18" s="1540">
        <f t="shared" ref="E18:E39" si="0">IF(D18&lt;=25000,D18,IF(D18&gt;25000,25000,0))</f>
        <v>25000</v>
      </c>
      <c r="F18" s="1932">
        <f t="shared" ref="F18:F30"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14948</v>
      </c>
      <c r="H18" s="1647"/>
    </row>
    <row r="19" spans="1:8" x14ac:dyDescent="0.25">
      <c r="A19" s="1938" t="s">
        <v>2113</v>
      </c>
      <c r="B19" s="1939" t="s">
        <v>2110</v>
      </c>
      <c r="C19" s="1940" t="s">
        <v>2111</v>
      </c>
      <c r="D19" s="1841">
        <v>13296</v>
      </c>
      <c r="E19" s="1540">
        <f t="shared" ref="E19:E38" si="2">IF(D19&lt;=25000,D19,IF(D19&gt;25000,25000,0))</f>
        <v>13296</v>
      </c>
      <c r="F19" s="1932">
        <f t="shared" si="1"/>
        <v>13296</v>
      </c>
      <c r="G19" s="1791">
        <f t="shared" ref="G19:G38" si="3">IF(F19=0,0,D19-F19)</f>
        <v>0</v>
      </c>
    </row>
    <row r="20" spans="1:8" x14ac:dyDescent="0.25">
      <c r="A20" s="1938" t="s">
        <v>2112</v>
      </c>
      <c r="B20" s="1939" t="s">
        <v>2115</v>
      </c>
      <c r="C20" s="1940" t="s">
        <v>2116</v>
      </c>
      <c r="D20" s="1841">
        <v>2000</v>
      </c>
      <c r="E20" s="1540">
        <f t="shared" si="2"/>
        <v>2000</v>
      </c>
      <c r="F20" s="1932">
        <f t="shared" si="1"/>
        <v>2000</v>
      </c>
      <c r="G20" s="1791">
        <f t="shared" si="3"/>
        <v>0</v>
      </c>
    </row>
    <row r="21" spans="1:8" x14ac:dyDescent="0.25">
      <c r="A21" s="1938" t="s">
        <v>2117</v>
      </c>
      <c r="B21" s="1939" t="s">
        <v>2115</v>
      </c>
      <c r="C21" s="1940" t="s">
        <v>2118</v>
      </c>
      <c r="D21" s="1841">
        <v>400</v>
      </c>
      <c r="E21" s="1540">
        <f t="shared" si="2"/>
        <v>400</v>
      </c>
      <c r="F21" s="1932">
        <f t="shared" si="1"/>
        <v>400</v>
      </c>
      <c r="G21" s="1791">
        <f t="shared" si="3"/>
        <v>0</v>
      </c>
    </row>
    <row r="22" spans="1:8" x14ac:dyDescent="0.25">
      <c r="A22" s="1938" t="s">
        <v>2117</v>
      </c>
      <c r="B22" s="1939" t="s">
        <v>2115</v>
      </c>
      <c r="C22" s="1940" t="s">
        <v>2119</v>
      </c>
      <c r="D22" s="1841">
        <v>3250</v>
      </c>
      <c r="E22" s="1540">
        <f t="shared" si="2"/>
        <v>3250</v>
      </c>
      <c r="F22" s="1932">
        <f t="shared" si="1"/>
        <v>3250</v>
      </c>
      <c r="G22" s="1791">
        <f t="shared" si="3"/>
        <v>0</v>
      </c>
    </row>
    <row r="23" spans="1:8" x14ac:dyDescent="0.25">
      <c r="A23" s="1938" t="s">
        <v>2120</v>
      </c>
      <c r="B23" s="1939" t="s">
        <v>2121</v>
      </c>
      <c r="C23" s="1940" t="s">
        <v>2122</v>
      </c>
      <c r="D23" s="1841">
        <v>2108</v>
      </c>
      <c r="E23" s="1540">
        <f t="shared" si="2"/>
        <v>2108</v>
      </c>
      <c r="F23" s="1932">
        <f t="shared" si="1"/>
        <v>2108</v>
      </c>
      <c r="G23" s="1791">
        <f t="shared" si="3"/>
        <v>0</v>
      </c>
    </row>
    <row r="24" spans="1:8" x14ac:dyDescent="0.25">
      <c r="A24" s="1938" t="s">
        <v>2120</v>
      </c>
      <c r="B24" s="1939" t="s">
        <v>2121</v>
      </c>
      <c r="C24" s="1940" t="s">
        <v>2123</v>
      </c>
      <c r="D24" s="1841">
        <v>250</v>
      </c>
      <c r="E24" s="1540">
        <f t="shared" si="2"/>
        <v>250</v>
      </c>
      <c r="F24" s="1932">
        <f t="shared" si="1"/>
        <v>250</v>
      </c>
      <c r="G24" s="1791">
        <f t="shared" si="3"/>
        <v>0</v>
      </c>
    </row>
    <row r="25" spans="1:8" x14ac:dyDescent="0.25">
      <c r="A25" s="1938" t="s">
        <v>2126</v>
      </c>
      <c r="B25" s="1939" t="s">
        <v>2124</v>
      </c>
      <c r="C25" s="1940" t="s">
        <v>2125</v>
      </c>
      <c r="D25" s="1841">
        <v>2020</v>
      </c>
      <c r="E25" s="1540">
        <f t="shared" si="2"/>
        <v>2020</v>
      </c>
      <c r="F25" s="1932">
        <f t="shared" si="1"/>
        <v>2020</v>
      </c>
      <c r="G25" s="1791">
        <f t="shared" si="3"/>
        <v>0</v>
      </c>
    </row>
    <row r="26" spans="1:8" x14ac:dyDescent="0.25">
      <c r="A26" s="1938" t="s">
        <v>2127</v>
      </c>
      <c r="B26" s="1939" t="s">
        <v>2121</v>
      </c>
      <c r="C26" s="1940" t="s">
        <v>2128</v>
      </c>
      <c r="D26" s="1841">
        <v>6250</v>
      </c>
      <c r="E26" s="1540">
        <f t="shared" si="2"/>
        <v>6250</v>
      </c>
      <c r="F26" s="1932">
        <f t="shared" si="1"/>
        <v>6250</v>
      </c>
      <c r="G26" s="1791">
        <f t="shared" si="3"/>
        <v>0</v>
      </c>
    </row>
    <row r="27" spans="1:8" x14ac:dyDescent="0.25">
      <c r="A27" s="1938" t="s">
        <v>2120</v>
      </c>
      <c r="B27" s="1939" t="s">
        <v>2121</v>
      </c>
      <c r="C27" s="1940" t="s">
        <v>2123</v>
      </c>
      <c r="D27" s="1841">
        <v>1200</v>
      </c>
      <c r="E27" s="1540">
        <f t="shared" si="2"/>
        <v>1200</v>
      </c>
      <c r="F27" s="1932">
        <f t="shared" si="1"/>
        <v>1200</v>
      </c>
      <c r="G27" s="1791">
        <f t="shared" si="3"/>
        <v>0</v>
      </c>
    </row>
    <row r="28" spans="1:8" x14ac:dyDescent="0.25">
      <c r="A28" s="1938" t="s">
        <v>2129</v>
      </c>
      <c r="B28" s="1939" t="s">
        <v>2115</v>
      </c>
      <c r="C28" s="1940" t="s">
        <v>2130</v>
      </c>
      <c r="D28" s="1841">
        <v>5250</v>
      </c>
      <c r="E28" s="1540">
        <f t="shared" si="2"/>
        <v>5250</v>
      </c>
      <c r="F28" s="1932">
        <f t="shared" si="1"/>
        <v>5250</v>
      </c>
      <c r="G28" s="1791">
        <f t="shared" si="3"/>
        <v>0</v>
      </c>
    </row>
    <row r="29" spans="1:8" x14ac:dyDescent="0.25">
      <c r="A29" s="1938" t="s">
        <v>2131</v>
      </c>
      <c r="B29" s="1939" t="s">
        <v>2132</v>
      </c>
      <c r="C29" s="1940" t="s">
        <v>2133</v>
      </c>
      <c r="D29" s="1841">
        <v>1486</v>
      </c>
      <c r="E29" s="1540">
        <f t="shared" si="2"/>
        <v>1486</v>
      </c>
      <c r="F29" s="1932">
        <f t="shared" si="1"/>
        <v>1486</v>
      </c>
      <c r="G29" s="1791">
        <f t="shared" si="3"/>
        <v>0</v>
      </c>
    </row>
    <row r="30" spans="1:8" x14ac:dyDescent="0.25">
      <c r="A30" s="1653"/>
      <c r="B30" s="1930"/>
      <c r="C30" s="1654"/>
      <c r="D30" s="1841"/>
      <c r="E30" s="1540">
        <f t="shared" si="2"/>
        <v>0</v>
      </c>
      <c r="F30" s="1932">
        <f t="shared" si="1"/>
        <v>0</v>
      </c>
      <c r="G30" s="1791">
        <f t="shared" si="3"/>
        <v>0</v>
      </c>
    </row>
    <row r="31" spans="1:8" x14ac:dyDescent="0.25">
      <c r="A31" s="1653"/>
      <c r="B31" s="1665"/>
      <c r="C31" s="1654"/>
      <c r="D31" s="1841"/>
      <c r="E31" s="1540">
        <f t="shared" ref="E31" si="4">IF(D31&lt;=25000,D31,IF(D31&gt;25000,25000,0))</f>
        <v>0</v>
      </c>
      <c r="F31" s="1932">
        <f t="shared" ref="F31:F38" si="5">(IF(D31="",0,(IF(OR(B31="10-1000-100",B31="10-1000-200",B31="10-1000-300",B31="10-1000-400",B31="10-1000-600",B31="10-1000-800",B31="50-1000-200",B31="10-2100-100",B31="10-2100-200",B31="10-2100-300",B31="10-2100-400",B31="10-2100-600",B31="10-2100-800",B31="20-2100-100",B31="20-2100-200",B31="20-2100-300",B31="20-2100-400",B31="20-2100-600",B31="20-2100-800",B31="40-2100-100",B31="40-2100-200",B31="40-2100-300",B31="40-2100-400",B31="40-2100-600",B31="40-2100-800",B31="50-2100-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10-2540-800",B31="20-2540-100",B31="20-2540-200",B31="20-2540-300",B31="20-2540-400",B31="20-2540-600",B31="20-2540-800",B31="50-2540-200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10-3000-100",B31="10-3000-200",B31="10-3000-300",B31="10-3000-400",B31="10-3000-600",B31="10-3000-800",B31="20-3000-100",B31="20-3000-200",B31="20-3000-300",B31="20-3000-400",B31="20-3000-600",B31="20-3000-800",B31="40-3000-100",B31="40-3000-200",B31="40-3000-300",B31="40-3000-400",B31="40-3000-600",B31="40-3000-800",B31="50-3000-200"),E31,"Check func/obj # in Colm B"))))</f>
        <v>0</v>
      </c>
      <c r="G31" s="1791">
        <f t="shared" ref="G31" si="6">IF(F31=0,0,D31-F31)</f>
        <v>0</v>
      </c>
    </row>
    <row r="32" spans="1:8" x14ac:dyDescent="0.25">
      <c r="A32" s="1653"/>
      <c r="B32" s="1665"/>
      <c r="C32" s="1654"/>
      <c r="D32" s="1841"/>
      <c r="E32" s="1540">
        <f t="shared" ref="E32:E34" si="7">IF(D32&lt;=25000,D32,IF(D32&gt;25000,25000,0))</f>
        <v>0</v>
      </c>
      <c r="F32" s="1932">
        <f t="shared" si="5"/>
        <v>0</v>
      </c>
      <c r="G32" s="1791">
        <f t="shared" ref="G32:G34" si="8">IF(F32=0,0,D32-F32)</f>
        <v>0</v>
      </c>
    </row>
    <row r="33" spans="1:7" x14ac:dyDescent="0.25">
      <c r="A33" s="1653"/>
      <c r="B33" s="1665"/>
      <c r="C33" s="1654"/>
      <c r="D33" s="1841"/>
      <c r="E33" s="1540">
        <f t="shared" si="7"/>
        <v>0</v>
      </c>
      <c r="F33" s="1932">
        <f t="shared" si="5"/>
        <v>0</v>
      </c>
      <c r="G33" s="1791">
        <f t="shared" si="8"/>
        <v>0</v>
      </c>
    </row>
    <row r="34" spans="1:7" x14ac:dyDescent="0.25">
      <c r="A34" s="1653"/>
      <c r="B34" s="1665"/>
      <c r="C34" s="1654"/>
      <c r="D34" s="1841"/>
      <c r="E34" s="1540">
        <f t="shared" si="7"/>
        <v>0</v>
      </c>
      <c r="F34" s="1932">
        <f t="shared" si="5"/>
        <v>0</v>
      </c>
      <c r="G34" s="1791">
        <f t="shared" si="8"/>
        <v>0</v>
      </c>
    </row>
    <row r="35" spans="1:7" x14ac:dyDescent="0.25">
      <c r="A35" s="1653"/>
      <c r="B35" s="1665"/>
      <c r="C35" s="1654"/>
      <c r="D35" s="1841"/>
      <c r="E35" s="1540">
        <f t="shared" ref="E35:E37" si="9">IF(D35&lt;=25000,D35,IF(D35&gt;25000,25000,0))</f>
        <v>0</v>
      </c>
      <c r="F35" s="1932">
        <f t="shared" si="5"/>
        <v>0</v>
      </c>
      <c r="G35" s="1791">
        <f t="shared" ref="G35:G37" si="10">IF(F35=0,0,D35-F35)</f>
        <v>0</v>
      </c>
    </row>
    <row r="36" spans="1:7" x14ac:dyDescent="0.25">
      <c r="A36" s="1653"/>
      <c r="B36" s="1665"/>
      <c r="C36" s="1654"/>
      <c r="D36" s="1841"/>
      <c r="E36" s="1540">
        <f t="shared" si="9"/>
        <v>0</v>
      </c>
      <c r="F36" s="1932">
        <f t="shared" si="5"/>
        <v>0</v>
      </c>
      <c r="G36" s="1791">
        <f t="shared" si="10"/>
        <v>0</v>
      </c>
    </row>
    <row r="37" spans="1:7" x14ac:dyDescent="0.25">
      <c r="A37" s="1653"/>
      <c r="B37" s="1665"/>
      <c r="C37" s="1654"/>
      <c r="D37" s="1841"/>
      <c r="E37" s="1540">
        <f t="shared" si="9"/>
        <v>0</v>
      </c>
      <c r="F37" s="1932">
        <f t="shared" si="5"/>
        <v>0</v>
      </c>
      <c r="G37" s="1791">
        <f t="shared" si="10"/>
        <v>0</v>
      </c>
    </row>
    <row r="38" spans="1:7" x14ac:dyDescent="0.25">
      <c r="A38" s="1653"/>
      <c r="B38" s="1664"/>
      <c r="C38" s="1654"/>
      <c r="D38" s="1841"/>
      <c r="E38" s="1540">
        <f t="shared" si="2"/>
        <v>0</v>
      </c>
      <c r="F38" s="1932">
        <f t="shared" si="5"/>
        <v>0</v>
      </c>
      <c r="G38" s="1791">
        <f t="shared" si="3"/>
        <v>0</v>
      </c>
    </row>
    <row r="39" spans="1:7" x14ac:dyDescent="0.25">
      <c r="A39" s="1794" t="s">
        <v>156</v>
      </c>
      <c r="B39" s="1795"/>
      <c r="C39" s="1796"/>
      <c r="D39" s="1792">
        <f>SUM(D18:D38)</f>
        <v>77458</v>
      </c>
      <c r="E39" s="1541">
        <f t="shared" si="0"/>
        <v>25000</v>
      </c>
      <c r="F39" s="1929">
        <f>SUM(F18:F38)</f>
        <v>62510</v>
      </c>
      <c r="G39" s="1793">
        <f>SUM(G18:G38)</f>
        <v>14948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T25" sqref="T25:AA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87004</v>
      </c>
      <c r="F10" s="974"/>
      <c r="G10" s="975"/>
      <c r="H10" s="162"/>
      <c r="I10" s="162"/>
    </row>
    <row r="11" spans="1:9" s="668" customFormat="1" ht="22.5" customHeight="1" x14ac:dyDescent="0.2">
      <c r="A11" s="2287" t="s">
        <v>1974</v>
      </c>
      <c r="B11" s="2288"/>
      <c r="C11" s="2288"/>
      <c r="D11" s="2289"/>
      <c r="E11" s="977">
        <v>10547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3857852</v>
      </c>
      <c r="F19" s="1797"/>
      <c r="G19" s="1799">
        <f>'Expenditures 15-22'!K33-SUM('Expenditures 15-22'!G33,'Expenditures 15-22'!I33)+'Expenditures 15-22'!D229</f>
        <v>3857852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301308</v>
      </c>
      <c r="F21" s="1800"/>
      <c r="G21" s="1803">
        <f>'Expenditures 15-22'!K42-SUM('Expenditures 15-22'!G42,'Expenditures 15-22'!I42)+'Expenditures 15-22'!K120-SUM('Expenditures 15-22'!G120,'Expenditures 15-22'!I120)+'Expenditures 15-22'!K180-SUM('Expenditures 15-22'!G180,'Expenditures 15-22'!I180)+'Expenditures 15-22'!D238</f>
        <v>301308</v>
      </c>
      <c r="H21" s="987"/>
      <c r="I21" s="162"/>
    </row>
    <row r="22" spans="1:9" s="668" customFormat="1" ht="12" customHeight="1" x14ac:dyDescent="0.2">
      <c r="A22" s="994" t="s">
        <v>564</v>
      </c>
      <c r="B22" s="995"/>
      <c r="C22" s="993">
        <v>2200</v>
      </c>
      <c r="D22" s="1800"/>
      <c r="E22" s="1802">
        <f>'Expenditures 15-22'!K47-SUM('Expenditures 15-22'!G47,'Expenditures 15-22'!I47)+'Expenditures 15-22'!D243</f>
        <v>186881</v>
      </c>
      <c r="F22" s="1800"/>
      <c r="G22" s="1803">
        <f>'Expenditures 15-22'!K47-SUM('Expenditures 15-22'!G47,'Expenditures 15-22'!I47)+'Expenditures 15-22'!D243</f>
        <v>186881</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318158</v>
      </c>
      <c r="F23" s="1800"/>
      <c r="G23" s="1802">
        <f>'Expenditures 15-22'!K53-SUM('Expenditures 15-22'!G53,'Expenditures 15-22'!I53)+'Expenditures 15-22'!D257+'Expenditures 15-22'!K330-SUM('Expenditures 15-22'!G330,'Expenditures 15-22'!I330)</f>
        <v>318158</v>
      </c>
      <c r="H23" s="987"/>
      <c r="I23" s="162"/>
    </row>
    <row r="24" spans="1:9" s="668" customFormat="1" ht="12" customHeight="1" x14ac:dyDescent="0.2">
      <c r="A24" s="994" t="s">
        <v>566</v>
      </c>
      <c r="B24" s="995"/>
      <c r="C24" s="993">
        <v>2400</v>
      </c>
      <c r="D24" s="1800"/>
      <c r="E24" s="1802">
        <f>'Expenditures 15-22'!K57-SUM('Expenditures 15-22'!G57,'Expenditures 15-22'!I57)+'Expenditures 15-22'!D261</f>
        <v>320016</v>
      </c>
      <c r="F24" s="1800"/>
      <c r="G24" s="1803">
        <f>'Expenditures 15-22'!K57-SUM('Expenditures 15-22'!G57,'Expenditures 15-22'!I57)+'Expenditures 15-22'!D261</f>
        <v>320016</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184104</v>
      </c>
      <c r="E27" s="1802">
        <f>E8</f>
        <v>0</v>
      </c>
      <c r="F27" s="1802">
        <f>'Expenditures 15-22'!K60-SUM('Expenditures 15-22'!G60,'Expenditures 15-22'!I60)+'Expenditures 15-22'!D264-E8</f>
        <v>184104</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884583</v>
      </c>
      <c r="F28" s="1804">
        <f>'Expenditures 15-22'!K61-SUM('Expenditures 15-22'!G61,'Expenditures 15-22'!I61)+'Expenditures 15-22'!K124-SUM('Expenditures 15-22'!G124,'Expenditures 15-22'!I124)+'Expenditures 15-22'!D266-E9</f>
        <v>884583</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319909</v>
      </c>
      <c r="F29" s="1800"/>
      <c r="G29" s="1803">
        <f>'Expenditures 15-22'!K62-SUM('Expenditures 15-22'!G62,'Expenditures 15-22'!I62)+'Expenditures 15-22'!K125-SUM('Expenditures 15-22'!G125,'Expenditures 15-22'!I125)+'Expenditures 15-22'!K182-SUM('Expenditures 15-22'!G182,'Expenditures 15-22'!I182)+'Expenditures 15-22'!D267</f>
        <v>319909</v>
      </c>
      <c r="H29" s="985"/>
    </row>
    <row r="30" spans="1:9" ht="12" customHeight="1" x14ac:dyDescent="0.2">
      <c r="A30" s="994" t="s">
        <v>100</v>
      </c>
      <c r="B30" s="997"/>
      <c r="C30" s="993">
        <v>2560</v>
      </c>
      <c r="D30" s="1800"/>
      <c r="E30" s="1802">
        <f>'Expenditures 15-22'!K63-SUM('Expenditures 15-22'!G63,'Expenditures 15-22'!I63)+'Expenditures 15-22'!D268-E10</f>
        <v>100586</v>
      </c>
      <c r="F30" s="1800"/>
      <c r="G30" s="1802">
        <f>'Expenditures 15-22'!K63-SUM('Expenditures 15-22'!G63,'Expenditures 15-22'!I63)+'Expenditures 15-22'!D268-E10</f>
        <v>100586</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23981</v>
      </c>
      <c r="F34" s="1800"/>
      <c r="G34" s="1802">
        <f>'Expenditures 15-22'!K68-SUM('Expenditures 15-22'!G68,'Expenditures 15-22'!I68)+'Expenditures 15-22'!D273</f>
        <v>23981</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14257</v>
      </c>
      <c r="E36" s="1802">
        <f>E13</f>
        <v>0</v>
      </c>
      <c r="F36" s="1802">
        <f>'Expenditures 15-22'!K70-SUM('Expenditures 15-22'!G70,'Expenditures 15-22'!I70)+'Expenditures 15-22'!D275-E13</f>
        <v>14257</v>
      </c>
      <c r="G36" s="1802">
        <f>E13</f>
        <v>0</v>
      </c>
    </row>
    <row r="37" spans="1:7" ht="12" customHeight="1" x14ac:dyDescent="0.2">
      <c r="A37" s="994" t="s">
        <v>404</v>
      </c>
      <c r="B37" s="997"/>
      <c r="C37" s="993">
        <v>2660</v>
      </c>
      <c r="D37" s="1802">
        <f>'Expenditures 15-22'!K71-SUM('Expenditures 15-22'!G71,'Expenditures 15-22'!I71)+'Expenditures 15-22'!D276-E14</f>
        <v>11230</v>
      </c>
      <c r="E37" s="1802">
        <f>E14</f>
        <v>0</v>
      </c>
      <c r="F37" s="1802">
        <f>'Expenditures 15-22'!K71-SUM('Expenditures 15-22'!G71,'Expenditures 15-22'!I71)+'Expenditures 15-22'!D276-E14</f>
        <v>11230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8679</v>
      </c>
      <c r="F38" s="1800"/>
      <c r="G38" s="1802">
        <f>'Expenditures 15-22'!K73-SUM('Expenditures 15-22'!G73,'Expenditures 15-22'!I73)+'Expenditures 15-22'!K128-SUM('Expenditures 15-22'!G128,'Expenditures 15-22'!I128)+'Expenditures 15-22'!K183-SUM('Expenditures 15-22'!G183,'Expenditures 15-22'!I183)+'Expenditures 15-22'!D278</f>
        <v>8679</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360</v>
      </c>
      <c r="F39" s="1800"/>
      <c r="G39" s="1802">
        <f>'Expenditures 15-22'!K75-SUM('Expenditures 15-22'!G75,'Expenditures 15-22'!I75)+'Expenditures 15-22'!K130-SUM('Expenditures 15-22'!G130,'Expenditures 15-22'!I130)+'Expenditures 15-22'!K185-SUM('Expenditures 15-22'!G185,'Expenditures 15-22'!I185)+'Expenditures 15-22'!D280</f>
        <v>360</v>
      </c>
    </row>
    <row r="40" spans="1:7" ht="12" customHeight="1" x14ac:dyDescent="0.2">
      <c r="A40" s="990" t="s">
        <v>1822</v>
      </c>
      <c r="B40" s="991"/>
      <c r="C40" s="993"/>
      <c r="D40" s="1800"/>
      <c r="E40" s="1804">
        <f>-'Contracts Paid in CY 29'!G39</f>
        <v>-14948</v>
      </c>
      <c r="F40" s="1800"/>
      <c r="G40" s="1804">
        <f>-'Contracts Paid in CY 29'!G39</f>
        <v>-14948</v>
      </c>
    </row>
    <row r="41" spans="1:7" ht="12" customHeight="1" x14ac:dyDescent="0.2">
      <c r="A41" s="998" t="s">
        <v>156</v>
      </c>
      <c r="B41" s="999"/>
      <c r="C41" s="1000"/>
      <c r="D41" s="1804">
        <f>SUM(D19:D39)</f>
        <v>209591</v>
      </c>
      <c r="E41" s="1804">
        <f>SUM(E19:E40)</f>
        <v>6307365</v>
      </c>
      <c r="F41" s="1804">
        <f>SUM(F19:F39)</f>
        <v>1094174</v>
      </c>
      <c r="G41" s="1804">
        <f>SUM(G19:G40)</f>
        <v>5422782</v>
      </c>
    </row>
    <row r="42" spans="1:7" x14ac:dyDescent="0.2">
      <c r="A42" s="987"/>
      <c r="B42" s="162"/>
      <c r="C42" s="1001"/>
      <c r="D42" s="2285" t="s">
        <v>522</v>
      </c>
      <c r="E42" s="2286"/>
      <c r="F42" s="1002" t="s">
        <v>523</v>
      </c>
      <c r="G42" s="1003"/>
    </row>
    <row r="43" spans="1:7" ht="12" customHeight="1" x14ac:dyDescent="0.2">
      <c r="A43" s="987"/>
      <c r="B43" s="162"/>
      <c r="C43" s="1001"/>
      <c r="D43" s="1805" t="s">
        <v>473</v>
      </c>
      <c r="E43" s="1806">
        <f>D41</f>
        <v>209591</v>
      </c>
      <c r="F43" s="1805" t="s">
        <v>473</v>
      </c>
      <c r="G43" s="1806">
        <f>F41</f>
        <v>1094174</v>
      </c>
    </row>
    <row r="44" spans="1:7" ht="12" customHeight="1" x14ac:dyDescent="0.2">
      <c r="A44" s="987"/>
      <c r="B44" s="162"/>
      <c r="C44" s="1001"/>
      <c r="D44" s="1805" t="s">
        <v>474</v>
      </c>
      <c r="E44" s="1806">
        <f>E41</f>
        <v>6307365</v>
      </c>
      <c r="F44" s="1805" t="s">
        <v>474</v>
      </c>
      <c r="G44" s="1806">
        <f>G41</f>
        <v>5422782</v>
      </c>
    </row>
    <row r="45" spans="1:7" ht="12" customHeight="1" x14ac:dyDescent="0.2">
      <c r="A45" s="987"/>
      <c r="B45" s="162"/>
      <c r="C45" s="162"/>
      <c r="D45" s="1807" t="s">
        <v>1006</v>
      </c>
      <c r="E45" s="1808">
        <f>(E43/E44)</f>
        <v>3.3229565753686366E-2</v>
      </c>
      <c r="F45" s="1807" t="s">
        <v>1006</v>
      </c>
      <c r="G45" s="1808">
        <f>(G43/G44)</f>
        <v>0.20177355460721083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B1" zoomScale="110" zoomScaleNormal="110" workbookViewId="0">
      <pane ySplit="4" topLeftCell="A13" activePane="bottomLeft" state="frozen"/>
      <selection activeCell="T25" sqref="T25:AA25"/>
      <selection pane="bottomLeft" activeCell="T25" sqref="T25:AA2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3" t="s">
        <v>1379</v>
      </c>
      <c r="B1" s="2293"/>
      <c r="C1" s="2293"/>
      <c r="D1" s="2293"/>
      <c r="E1" s="2293"/>
      <c r="F1" s="2293"/>
    </row>
    <row r="2" spans="1:10" x14ac:dyDescent="0.2">
      <c r="A2" s="1884" t="s">
        <v>1910</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294" t="s">
        <v>1546</v>
      </c>
      <c r="B5" s="2295"/>
      <c r="C5" s="2296"/>
      <c r="D5" s="2296"/>
      <c r="E5" s="2296"/>
      <c r="F5" s="2296"/>
    </row>
    <row r="6" spans="1:10" ht="12" customHeight="1" x14ac:dyDescent="0.25">
      <c r="A6" s="1847"/>
      <c r="B6" s="1848"/>
      <c r="C6" s="2297" t="str">
        <f>COVER!A17</f>
        <v>Benton Cons HSD 103</v>
      </c>
      <c r="D6" s="2297"/>
      <c r="E6" s="2297"/>
      <c r="F6" s="1849"/>
    </row>
    <row r="7" spans="1:10" ht="11.25" customHeight="1" thickBot="1" x14ac:dyDescent="0.3">
      <c r="A7" s="1847"/>
      <c r="B7" s="1848"/>
      <c r="C7" s="2298">
        <f>COVER!A13</f>
        <v>21028103013</v>
      </c>
      <c r="D7" s="2298"/>
      <c r="E7" s="2298"/>
      <c r="F7" s="1849"/>
    </row>
    <row r="8" spans="1:10" ht="25.5" customHeight="1" thickBot="1" x14ac:dyDescent="0.25">
      <c r="A8" s="1890" t="s">
        <v>1906</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2064</v>
      </c>
      <c r="D23" s="1862" t="s">
        <v>2064</v>
      </c>
      <c r="E23" s="1865" t="s">
        <v>2064</v>
      </c>
      <c r="F23" s="1864" t="s">
        <v>2134</v>
      </c>
      <c r="H23" s="1875">
        <f t="shared" si="0"/>
        <v>5</v>
      </c>
      <c r="I23" s="1875">
        <f t="shared" si="1"/>
        <v>5</v>
      </c>
      <c r="J23" s="1875">
        <f t="shared" si="2"/>
        <v>5</v>
      </c>
    </row>
    <row r="24" spans="1:12" ht="12" customHeight="1" x14ac:dyDescent="0.2">
      <c r="A24" s="1860" t="s">
        <v>1532</v>
      </c>
      <c r="B24" s="1861"/>
      <c r="C24" s="1862" t="s">
        <v>2064</v>
      </c>
      <c r="D24" s="1862" t="s">
        <v>2064</v>
      </c>
      <c r="E24" s="1865" t="s">
        <v>2064</v>
      </c>
      <c r="F24" s="1864" t="s">
        <v>2135</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2064</v>
      </c>
      <c r="D26" s="1862" t="s">
        <v>2064</v>
      </c>
      <c r="E26" s="1865" t="s">
        <v>2064</v>
      </c>
      <c r="F26" s="1864" t="s">
        <v>2136</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2064</v>
      </c>
      <c r="D28" s="1862" t="s">
        <v>2064</v>
      </c>
      <c r="E28" s="1865" t="s">
        <v>2064</v>
      </c>
      <c r="F28" s="1864" t="s">
        <v>2134</v>
      </c>
      <c r="H28" s="1875">
        <f t="shared" si="0"/>
        <v>5</v>
      </c>
      <c r="I28" s="1875">
        <f t="shared" si="1"/>
        <v>5</v>
      </c>
      <c r="J28" s="1875">
        <f t="shared" si="2"/>
        <v>5</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2064</v>
      </c>
      <c r="D31" s="1862" t="s">
        <v>2064</v>
      </c>
      <c r="E31" s="1865" t="s">
        <v>2064</v>
      </c>
      <c r="F31" s="1864" t="s">
        <v>2137</v>
      </c>
      <c r="H31" s="1875">
        <f t="shared" si="0"/>
        <v>5</v>
      </c>
      <c r="I31" s="1875">
        <f t="shared" si="1"/>
        <v>5</v>
      </c>
      <c r="J31" s="1875">
        <f t="shared" si="2"/>
        <v>5</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2064</v>
      </c>
      <c r="D33" s="1862" t="s">
        <v>2064</v>
      </c>
      <c r="E33" s="1865" t="s">
        <v>2064</v>
      </c>
      <c r="F33" s="1864" t="s">
        <v>2134</v>
      </c>
      <c r="H33" s="1875">
        <f t="shared" si="0"/>
        <v>5</v>
      </c>
      <c r="I33" s="1875">
        <f t="shared" si="1"/>
        <v>5</v>
      </c>
      <c r="J33" s="1875">
        <f t="shared" si="2"/>
        <v>5</v>
      </c>
    </row>
    <row r="34" spans="1:11" ht="12" customHeight="1" x14ac:dyDescent="0.25">
      <c r="A34" s="1867"/>
      <c r="B34" s="1867"/>
      <c r="C34" s="1867"/>
      <c r="D34" s="1867"/>
      <c r="E34" s="1867"/>
      <c r="F34" s="1867"/>
      <c r="H34" s="1875">
        <f>SUM(H11:H32)</f>
        <v>25</v>
      </c>
      <c r="I34" s="1875">
        <f>SUM(I11:I32)</f>
        <v>25</v>
      </c>
      <c r="J34" s="1875">
        <f>SUM(J11:J32)</f>
        <v>25</v>
      </c>
      <c r="K34" s="1875">
        <f>SUM(H34:J34)</f>
        <v>75</v>
      </c>
    </row>
    <row r="35" spans="1:11" ht="12" customHeight="1" x14ac:dyDescent="0.2">
      <c r="A35" s="1868" t="s">
        <v>1392</v>
      </c>
      <c r="B35" s="1869"/>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0"/>
      <c r="B39" s="1870"/>
      <c r="C39" s="1870"/>
      <c r="D39" s="1870"/>
      <c r="E39" s="1870"/>
      <c r="F39" s="1870"/>
    </row>
    <row r="40" spans="1:11" s="1867" customFormat="1" ht="12" customHeight="1" x14ac:dyDescent="0.25">
      <c r="A40" s="1871" t="s">
        <v>1391</v>
      </c>
      <c r="B40" s="1872"/>
      <c r="C40" s="2307"/>
      <c r="D40" s="2307"/>
      <c r="E40" s="2307"/>
      <c r="F40" s="2308"/>
      <c r="H40" s="1876"/>
      <c r="I40" s="1876"/>
      <c r="J40" s="1876"/>
      <c r="K40" s="1876"/>
    </row>
    <row r="41" spans="1:11" s="1867" customFormat="1" ht="12" customHeight="1" x14ac:dyDescent="0.25">
      <c r="A41" s="2309"/>
      <c r="B41" s="2310"/>
      <c r="C41" s="2310"/>
      <c r="D41" s="2310"/>
      <c r="E41" s="2310"/>
      <c r="F41" s="2311"/>
      <c r="H41" s="1876"/>
      <c r="I41" s="1876"/>
      <c r="J41" s="1876"/>
      <c r="K41" s="1876"/>
    </row>
    <row r="42" spans="1:11" s="1867" customFormat="1" ht="12" customHeight="1" x14ac:dyDescent="0.25">
      <c r="A42" s="2309"/>
      <c r="B42" s="2310"/>
      <c r="C42" s="2310"/>
      <c r="D42" s="2310"/>
      <c r="E42" s="2310"/>
      <c r="F42" s="2311"/>
      <c r="H42" s="1876"/>
      <c r="I42" s="1876"/>
      <c r="J42" s="1876"/>
      <c r="K42" s="1876"/>
    </row>
    <row r="43" spans="1:11" s="1867" customFormat="1" ht="15" x14ac:dyDescent="0.25">
      <c r="A43" s="2301"/>
      <c r="B43" s="2302"/>
      <c r="C43" s="2302"/>
      <c r="D43" s="2302"/>
      <c r="E43" s="2302"/>
      <c r="F43" s="2303"/>
      <c r="H43" s="1876"/>
      <c r="I43" s="1876"/>
      <c r="J43" s="1876"/>
      <c r="K43" s="1876"/>
    </row>
    <row r="44" spans="1:11" s="1867" customFormat="1" ht="12" hidden="1" customHeight="1" x14ac:dyDescent="0.25">
      <c r="A44" s="2301"/>
      <c r="B44" s="2302"/>
      <c r="C44" s="2302"/>
      <c r="D44" s="2302"/>
      <c r="E44" s="2302"/>
      <c r="F44" s="230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T25" sqref="T25:AA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7" t="str">
        <f>COVER!A17</f>
        <v>Benton Cons HSD 103</v>
      </c>
      <c r="J6" s="2318"/>
      <c r="Q6" s="1662"/>
    </row>
    <row r="7" spans="1:17" x14ac:dyDescent="0.2">
      <c r="A7" s="2319" t="s">
        <v>869</v>
      </c>
      <c r="B7" s="2320"/>
      <c r="C7" s="2320"/>
      <c r="D7" s="2320"/>
      <c r="E7" s="2321"/>
      <c r="F7" s="1017"/>
      <c r="G7" s="1009"/>
      <c r="H7" s="1016" t="s">
        <v>372</v>
      </c>
      <c r="I7" s="2322">
        <f>COVER!A13</f>
        <v>21028103013</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1976</v>
      </c>
      <c r="F9" s="1023"/>
      <c r="G9" s="1023"/>
      <c r="H9" s="1893"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153167</v>
      </c>
      <c r="F12" s="1039"/>
      <c r="G12" s="1809">
        <f t="shared" ref="G12:G18" si="0">SUM(E12:F12)</f>
        <v>153167</v>
      </c>
      <c r="H12" s="1040">
        <v>148214</v>
      </c>
      <c r="I12" s="1039"/>
      <c r="J12" s="1809">
        <f t="shared" ref="J12:J18" si="1">SUM(H12:I12)</f>
        <v>148214</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6" t="s">
        <v>7</v>
      </c>
      <c r="C18" s="2327"/>
      <c r="D18" s="2328"/>
      <c r="E18" s="1043">
        <v>13576</v>
      </c>
      <c r="F18" s="1043"/>
      <c r="G18" s="1810">
        <f t="shared" si="0"/>
        <v>13576</v>
      </c>
      <c r="H18" s="1040">
        <v>13985</v>
      </c>
      <c r="I18" s="1040"/>
      <c r="J18" s="1809">
        <f t="shared" si="1"/>
        <v>13985</v>
      </c>
    </row>
    <row r="19" spans="1:10" ht="12.75" customHeight="1" thickBot="1" x14ac:dyDescent="0.25">
      <c r="A19" s="1035">
        <v>8</v>
      </c>
      <c r="B19" s="1044" t="s">
        <v>1161</v>
      </c>
      <c r="D19" s="1045"/>
      <c r="E19" s="1811">
        <f t="shared" ref="E19:J19" si="2">SUM(E12:E17)-E18</f>
        <v>139591</v>
      </c>
      <c r="F19" s="1811">
        <f t="shared" si="2"/>
        <v>0</v>
      </c>
      <c r="G19" s="1811">
        <f t="shared" si="2"/>
        <v>139591</v>
      </c>
      <c r="H19" s="1811">
        <f t="shared" si="2"/>
        <v>134229</v>
      </c>
      <c r="I19" s="1811">
        <f t="shared" si="2"/>
        <v>0</v>
      </c>
      <c r="J19" s="1811">
        <f t="shared" si="2"/>
        <v>134229</v>
      </c>
    </row>
    <row r="20" spans="1:10" ht="13.5" thickTop="1" x14ac:dyDescent="0.2">
      <c r="A20" s="1035">
        <v>9</v>
      </c>
      <c r="B20" s="2329" t="s">
        <v>1978</v>
      </c>
      <c r="C20" s="2329"/>
      <c r="D20" s="2330"/>
      <c r="E20" s="1046"/>
      <c r="F20" s="1046"/>
      <c r="G20" s="1046"/>
      <c r="H20" s="1046"/>
      <c r="I20" s="1046"/>
      <c r="J20" s="1812">
        <f>IF(AND(G19&gt;0,J19&gt;0),(((J19-G19)/G19)),"Enter Budget Data")</f>
        <v>-3.8412218552772028E-2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t="s">
        <v>2068</v>
      </c>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1980</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Normal="100" workbookViewId="0">
      <selection activeCell="T25" sqref="T25:AA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2138</v>
      </c>
    </row>
    <row r="6" spans="1:2" x14ac:dyDescent="0.2">
      <c r="A6" s="1068">
        <v>2</v>
      </c>
      <c r="B6" s="329" t="s">
        <v>2139</v>
      </c>
    </row>
    <row r="7" spans="1:2" x14ac:dyDescent="0.2">
      <c r="A7" s="1068">
        <v>3</v>
      </c>
      <c r="B7" s="329" t="s">
        <v>2140</v>
      </c>
    </row>
    <row r="8" spans="1:2" x14ac:dyDescent="0.2">
      <c r="A8" s="1068">
        <v>4</v>
      </c>
      <c r="B8" s="329" t="s">
        <v>2141</v>
      </c>
    </row>
    <row r="9" spans="1:2" x14ac:dyDescent="0.2">
      <c r="A9" s="1068">
        <v>5</v>
      </c>
      <c r="B9" s="329" t="s">
        <v>2142</v>
      </c>
    </row>
    <row r="10" spans="1:2" x14ac:dyDescent="0.2">
      <c r="A10" s="1068">
        <v>6</v>
      </c>
      <c r="B10" s="329" t="s">
        <v>2143</v>
      </c>
    </row>
    <row r="11" spans="1:2" x14ac:dyDescent="0.2">
      <c r="A11" s="1068">
        <v>7</v>
      </c>
      <c r="B11" s="329" t="s">
        <v>2144</v>
      </c>
    </row>
    <row r="12" spans="1:2" x14ac:dyDescent="0.2">
      <c r="A12" s="1068">
        <v>8</v>
      </c>
      <c r="B12" s="329" t="s">
        <v>2145</v>
      </c>
    </row>
    <row r="13" spans="1:2" x14ac:dyDescent="0.2">
      <c r="A13" s="1068">
        <v>9</v>
      </c>
      <c r="B13" s="329" t="s">
        <v>2146</v>
      </c>
    </row>
    <row r="14" spans="1:2" x14ac:dyDescent="0.2">
      <c r="A14" s="1068">
        <v>10</v>
      </c>
      <c r="B14" s="329" t="s">
        <v>2147</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Benton Cons HSD 103</v>
      </c>
    </row>
    <row r="65" spans="2:2" x14ac:dyDescent="0.2">
      <c r="B65" s="1070">
        <f>COVER!A13</f>
        <v>21028103013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4" t="s">
        <v>1611</v>
      </c>
    </row>
    <row r="23" spans="1:5" x14ac:dyDescent="0.2">
      <c r="A23" s="168"/>
      <c r="B23" s="162" t="s">
        <v>1855</v>
      </c>
      <c r="D23" s="167" t="s">
        <v>637</v>
      </c>
      <c r="E23" s="1834"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1123950</xdr:colOff>
                <xdr:row>5</xdr:row>
                <xdr:rowOff>9525</xdr:rowOff>
              </from>
              <to>
                <xdr:col>1</xdr:col>
                <xdr:colOff>2038350</xdr:colOff>
                <xdr:row>9</xdr:row>
                <xdr:rowOff>47625</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2276475</xdr:colOff>
                <xdr:row>5</xdr:row>
                <xdr:rowOff>28575</xdr:rowOff>
              </from>
              <to>
                <xdr:col>1</xdr:col>
                <xdr:colOff>3190875</xdr:colOff>
                <xdr:row>9</xdr:row>
                <xdr:rowOff>66675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3362325</xdr:colOff>
                <xdr:row>5</xdr:row>
                <xdr:rowOff>66675</xdr:rowOff>
              </from>
              <to>
                <xdr:col>2</xdr:col>
                <xdr:colOff>295275</xdr:colOff>
                <xdr:row>9</xdr:row>
                <xdr:rowOff>104775</xdr:rowOff>
              </to>
            </anchor>
          </objectPr>
        </oleObject>
      </mc:Choice>
      <mc:Fallback>
        <oleObject progId="Acrobat Document" dvAspect="DVASPECT_ICON" shapeId="5120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5" sqref="T25:AA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1984</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1985</v>
      </c>
      <c r="B4" s="2357"/>
      <c r="C4" s="2357"/>
      <c r="D4" s="2357"/>
      <c r="E4" s="2357"/>
      <c r="F4" s="2358"/>
      <c r="G4" s="1074"/>
      <c r="H4" s="1074"/>
    </row>
    <row r="5" spans="1:8" ht="14.25" customHeight="1" x14ac:dyDescent="0.2">
      <c r="A5" s="2359" t="s">
        <v>1981</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6380617</v>
      </c>
      <c r="C8" s="1813">
        <f>'Acct Summary 7-8'!D8</f>
        <v>696096</v>
      </c>
      <c r="D8" s="1813">
        <f>'Acct Summary 7-8'!F8</f>
        <v>406389</v>
      </c>
      <c r="E8" s="1813">
        <f>'Acct Summary 7-8'!I8</f>
        <v>78754</v>
      </c>
      <c r="F8" s="1813">
        <f>SUM(B8:E8)</f>
        <v>7561856</v>
      </c>
    </row>
    <row r="9" spans="1:8" s="1079" customFormat="1" ht="14.25" customHeight="1" thickBot="1" x14ac:dyDescent="0.25">
      <c r="A9" s="1078" t="s">
        <v>1369</v>
      </c>
      <c r="B9" s="1814">
        <f>'Acct Summary 7-8'!C17</f>
        <v>5971556</v>
      </c>
      <c r="C9" s="1814">
        <f>'Acct Summary 7-8'!D17</f>
        <v>521823</v>
      </c>
      <c r="D9" s="1814">
        <f>'Acct Summary 7-8'!F17</f>
        <v>299857</v>
      </c>
      <c r="E9" s="1813"/>
      <c r="F9" s="1813">
        <f>SUM(B9:E9)</f>
        <v>6793236</v>
      </c>
    </row>
    <row r="10" spans="1:8" s="1079" customFormat="1" ht="14.25" thickTop="1" thickBot="1" x14ac:dyDescent="0.25">
      <c r="A10" s="1080" t="s">
        <v>1370</v>
      </c>
      <c r="B10" s="1815">
        <f>(B8-B9)</f>
        <v>409061</v>
      </c>
      <c r="C10" s="1815">
        <f>(C8-C9)</f>
        <v>174273</v>
      </c>
      <c r="D10" s="1815">
        <f>(D8-D9)</f>
        <v>106532</v>
      </c>
      <c r="E10" s="1814">
        <f>(E8-E9)</f>
        <v>78754</v>
      </c>
      <c r="F10" s="1816">
        <f>SUM(F8-F9)</f>
        <v>768620</v>
      </c>
    </row>
    <row r="11" spans="1:8" s="1079" customFormat="1" ht="14.25" thickTop="1" thickBot="1" x14ac:dyDescent="0.25">
      <c r="A11" s="1081" t="s">
        <v>1982</v>
      </c>
      <c r="B11" s="1817">
        <f>'Acct Summary 7-8'!C81</f>
        <v>3379354</v>
      </c>
      <c r="C11" s="1817">
        <f>'Acct Summary 7-8'!D81</f>
        <v>792811</v>
      </c>
      <c r="D11" s="1817">
        <f>'Acct Summary 7-8'!F81</f>
        <v>802739</v>
      </c>
      <c r="E11" s="1817">
        <f>'Acct Summary 7-8'!I81</f>
        <v>923174</v>
      </c>
      <c r="F11" s="1818">
        <f>SUM(B11:E11)</f>
        <v>5898078</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T25" sqref="T25:AA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21028103013</v>
      </c>
    </row>
    <row r="3" spans="1:2" x14ac:dyDescent="0.2">
      <c r="A3" t="s">
        <v>956</v>
      </c>
      <c r="B3" s="138" t="str">
        <f>COVER!A15</f>
        <v>Franklin</v>
      </c>
    </row>
    <row r="4" spans="1:2" x14ac:dyDescent="0.2">
      <c r="A4" t="s">
        <v>1007</v>
      </c>
      <c r="B4" s="138" t="str">
        <f>COVER!A17</f>
        <v>Benton Cons HSD 103</v>
      </c>
    </row>
    <row r="5" spans="1:2" x14ac:dyDescent="0.2">
      <c r="A5" t="s">
        <v>704</v>
      </c>
      <c r="B5" s="138" t="str">
        <f>COVER!A38</f>
        <v>Benjamin Johnson</v>
      </c>
    </row>
    <row r="6" spans="1:2" x14ac:dyDescent="0.2">
      <c r="A6" t="s">
        <v>709</v>
      </c>
      <c r="B6" s="138">
        <f>COVER!P35</f>
        <v>0</v>
      </c>
    </row>
    <row r="7" spans="1:2" x14ac:dyDescent="0.2">
      <c r="A7" t="s">
        <v>705</v>
      </c>
      <c r="B7" s="138">
        <f>COVER!I38</f>
        <v>0</v>
      </c>
    </row>
    <row r="8" spans="1:2" x14ac:dyDescent="0.2">
      <c r="A8" t="s">
        <v>706</v>
      </c>
      <c r="B8" s="138" t="str">
        <f>COVER!T38</f>
        <v>Lorie LeQuatte</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 xml:space="preserve">Donald L Hoffman </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Nashville</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3379354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3379354</v>
      </c>
      <c r="D92" s="2" t="str">
        <f t="shared" si="0"/>
        <v>Error?</v>
      </c>
    </row>
    <row r="93" spans="1:4" x14ac:dyDescent="0.2">
      <c r="A93" s="5">
        <v>32</v>
      </c>
      <c r="B93" s="138">
        <f>'Assets-Liab 5-6'!C41</f>
        <v>3379354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792811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792811</v>
      </c>
      <c r="D123" s="2" t="str">
        <f t="shared" si="0"/>
        <v>Error?</v>
      </c>
    </row>
    <row r="124" spans="1:4" x14ac:dyDescent="0.2">
      <c r="A124" s="5">
        <v>63</v>
      </c>
      <c r="B124" s="138">
        <f>'Assets-Liab 5-6'!D41</f>
        <v>792811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119087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119087</v>
      </c>
      <c r="D140" s="2" t="str">
        <f t="shared" si="1"/>
        <v>Error?</v>
      </c>
    </row>
    <row r="141" spans="1:4" x14ac:dyDescent="0.2">
      <c r="A141" s="5">
        <v>80</v>
      </c>
      <c r="B141" s="138">
        <f>'Assets-Liab 5-6'!E41</f>
        <v>119087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802739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802739</v>
      </c>
      <c r="D170" s="2" t="str">
        <f t="shared" si="1"/>
        <v>Error?</v>
      </c>
    </row>
    <row r="171" spans="1:4" x14ac:dyDescent="0.2">
      <c r="A171" s="5">
        <v>110</v>
      </c>
      <c r="B171" s="138">
        <f>'Assets-Liab 5-6'!F41</f>
        <v>802739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251103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251103</v>
      </c>
      <c r="D189" s="2" t="str">
        <f t="shared" si="1"/>
        <v>Error?</v>
      </c>
    </row>
    <row r="190" spans="1:4" x14ac:dyDescent="0.2">
      <c r="A190" s="5">
        <v>129</v>
      </c>
      <c r="B190" s="138">
        <f>'Assets-Liab 5-6'!G41</f>
        <v>251103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765469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765469</v>
      </c>
      <c r="D212" s="2" t="str">
        <f t="shared" si="2"/>
        <v>Error?</v>
      </c>
    </row>
    <row r="213" spans="1:4" x14ac:dyDescent="0.2">
      <c r="A213" s="12">
        <v>152</v>
      </c>
      <c r="B213" s="138">
        <f>'Assets-Liab 5-6'!H41</f>
        <v>765469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203096</v>
      </c>
      <c r="D273" s="2" t="str">
        <f t="shared" si="3"/>
        <v>Error?</v>
      </c>
    </row>
    <row r="274" spans="1:4" x14ac:dyDescent="0.2">
      <c r="A274" s="5">
        <v>213</v>
      </c>
      <c r="B274" s="138">
        <f>'Assets-Liab 5-6'!M17</f>
        <v>8217070</v>
      </c>
      <c r="D274" s="2" t="str">
        <f t="shared" si="3"/>
        <v>Error?</v>
      </c>
    </row>
    <row r="275" spans="1:4" x14ac:dyDescent="0.2">
      <c r="A275" s="5">
        <v>214</v>
      </c>
      <c r="B275" s="138">
        <f>'Assets-Liab 5-6'!M18</f>
        <v>1069211</v>
      </c>
      <c r="D275" s="2" t="str">
        <f t="shared" si="3"/>
        <v>Error?</v>
      </c>
    </row>
    <row r="276" spans="1:4" x14ac:dyDescent="0.2">
      <c r="A276" s="5">
        <v>215</v>
      </c>
      <c r="B276" s="138">
        <f>'Assets-Liab 5-6'!M19</f>
        <v>4097544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13586921</v>
      </c>
      <c r="C279" s="2" t="s">
        <v>573</v>
      </c>
      <c r="D279" s="2" t="str">
        <f t="shared" si="3"/>
        <v>Error?</v>
      </c>
    </row>
    <row r="280" spans="1:4" x14ac:dyDescent="0.2">
      <c r="A280" s="5">
        <v>219</v>
      </c>
      <c r="B280" s="138">
        <f>'Assets-Liab 5-6'!M40</f>
        <v>13586921</v>
      </c>
      <c r="D280" s="2" t="str">
        <f t="shared" si="3"/>
        <v>Error?</v>
      </c>
    </row>
    <row r="281" spans="1:4" x14ac:dyDescent="0.2">
      <c r="A281" s="5">
        <v>220</v>
      </c>
      <c r="B281" s="138">
        <f>'Assets-Liab 5-6'!M41</f>
        <v>13586921</v>
      </c>
      <c r="C281" s="2" t="s">
        <v>573</v>
      </c>
      <c r="D281" s="2" t="str">
        <f t="shared" si="3"/>
        <v>Error?</v>
      </c>
    </row>
    <row r="282" spans="1:4" x14ac:dyDescent="0.2">
      <c r="A282" s="5">
        <v>221</v>
      </c>
      <c r="B282" s="138">
        <f>'Assets-Liab 5-6'!N21</f>
        <v>119087</v>
      </c>
      <c r="D282" s="2" t="str">
        <f t="shared" si="3"/>
        <v>Error?</v>
      </c>
    </row>
    <row r="283" spans="1:4" x14ac:dyDescent="0.2">
      <c r="A283" s="5">
        <v>222</v>
      </c>
      <c r="B283" s="138">
        <f>'Assets-Liab 5-6'!N22</f>
        <v>627966</v>
      </c>
      <c r="D283" s="2" t="str">
        <f t="shared" si="3"/>
        <v>Error?</v>
      </c>
    </row>
    <row r="284" spans="1:4" x14ac:dyDescent="0.2">
      <c r="A284" s="5">
        <v>223</v>
      </c>
      <c r="B284" s="138">
        <f>'Assets-Liab 5-6'!N23</f>
        <v>747053</v>
      </c>
      <c r="C284" s="2" t="s">
        <v>573</v>
      </c>
      <c r="D284" s="2" t="str">
        <f t="shared" si="3"/>
        <v>Error?</v>
      </c>
    </row>
    <row r="285" spans="1:4" x14ac:dyDescent="0.2">
      <c r="A285" s="5">
        <v>224</v>
      </c>
      <c r="B285" s="138">
        <f>'Assets-Liab 5-6'!N36</f>
        <v>747053</v>
      </c>
      <c r="D285" s="2" t="str">
        <f t="shared" si="3"/>
        <v>Error?</v>
      </c>
    </row>
    <row r="286" spans="1:4" x14ac:dyDescent="0.2">
      <c r="A286" s="10">
        <v>225</v>
      </c>
      <c r="D286" s="2" t="str">
        <f t="shared" si="3"/>
        <v>OK</v>
      </c>
    </row>
    <row r="287" spans="1:4" x14ac:dyDescent="0.2">
      <c r="A287" s="5">
        <v>226</v>
      </c>
      <c r="B287" s="138">
        <f>'Assets-Liab 5-6'!N37</f>
        <v>747053</v>
      </c>
      <c r="C287" s="2" t="s">
        <v>573</v>
      </c>
      <c r="D287" s="2" t="str">
        <f t="shared" si="3"/>
        <v>Error?</v>
      </c>
    </row>
    <row r="288" spans="1:4" x14ac:dyDescent="0.2">
      <c r="A288" s="5">
        <v>227</v>
      </c>
      <c r="B288" s="138">
        <f>'Assets-Liab 5-6'!N41</f>
        <v>747053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1657427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335476</v>
      </c>
      <c r="D717" s="2" t="str">
        <f t="shared" si="10"/>
        <v>Error?</v>
      </c>
    </row>
    <row r="718" spans="1:4" x14ac:dyDescent="0.2">
      <c r="A718" s="5">
        <v>657</v>
      </c>
      <c r="B718" s="138">
        <f>'Expenditures 15-22'!C14</f>
        <v>184549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2806175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104859</v>
      </c>
      <c r="D722" s="2" t="str">
        <f t="shared" si="10"/>
        <v>Error?</v>
      </c>
    </row>
    <row r="723" spans="1:4" x14ac:dyDescent="0.2">
      <c r="A723" s="5">
        <v>662</v>
      </c>
      <c r="B723" s="138">
        <f>'Expenditures 15-22'!C38</f>
        <v>59355</v>
      </c>
      <c r="D723" s="2" t="str">
        <f t="shared" si="10"/>
        <v>Error?</v>
      </c>
    </row>
    <row r="724" spans="1:4" x14ac:dyDescent="0.2">
      <c r="A724" s="5">
        <v>663</v>
      </c>
      <c r="B724" s="138">
        <f>'Expenditures 15-22'!C39</f>
        <v>56618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220832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110424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110424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128954</v>
      </c>
      <c r="D733" s="2" t="str">
        <f t="shared" si="10"/>
        <v>Error?</v>
      </c>
    </row>
    <row r="734" spans="1:4" x14ac:dyDescent="0.2">
      <c r="A734" s="5">
        <v>673</v>
      </c>
      <c r="B734" s="138">
        <f>'Expenditures 15-22'!C53</f>
        <v>128954</v>
      </c>
      <c r="C734" s="2" t="s">
        <v>573</v>
      </c>
      <c r="D734" s="2" t="str">
        <f t="shared" si="10"/>
        <v>Error?</v>
      </c>
    </row>
    <row r="735" spans="1:4" x14ac:dyDescent="0.2">
      <c r="A735" s="5">
        <v>674</v>
      </c>
      <c r="B735" s="138">
        <f>'Expenditures 15-22'!C55</f>
        <v>222812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222812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127011</v>
      </c>
      <c r="D739" s="2" t="str">
        <f t="shared" si="10"/>
        <v>Error?</v>
      </c>
    </row>
    <row r="740" spans="1:4" x14ac:dyDescent="0.2">
      <c r="A740" s="5">
        <v>679</v>
      </c>
      <c r="B740" s="138">
        <f>'Expenditures 15-22'!C61</f>
        <v>275693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74711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477415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11420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11712</v>
      </c>
      <c r="D749" s="2" t="str">
        <f t="shared" si="10"/>
        <v>Error?</v>
      </c>
    </row>
    <row r="750" spans="1:4" x14ac:dyDescent="0.2">
      <c r="A750" s="10">
        <v>689</v>
      </c>
      <c r="D750" s="2" t="str">
        <f t="shared" si="10"/>
        <v>OK</v>
      </c>
    </row>
    <row r="751" spans="1:4" x14ac:dyDescent="0.2">
      <c r="A751" s="5">
        <v>690</v>
      </c>
      <c r="B751" s="138">
        <f>'Expenditures 15-22'!C71</f>
        <v>9128</v>
      </c>
      <c r="D751" s="2" t="str">
        <f t="shared" si="10"/>
        <v>Error?</v>
      </c>
    </row>
    <row r="752" spans="1:4" x14ac:dyDescent="0.2">
      <c r="A752" s="10">
        <v>691</v>
      </c>
      <c r="D752" s="2" t="str">
        <f t="shared" si="10"/>
        <v>OK</v>
      </c>
    </row>
    <row r="753" spans="1:4" x14ac:dyDescent="0.2">
      <c r="A753" s="5">
        <v>692</v>
      </c>
      <c r="B753" s="138">
        <f>'Expenditures 15-22'!C72</f>
        <v>32260</v>
      </c>
      <c r="C753" s="2" t="s">
        <v>573</v>
      </c>
      <c r="D753" s="2" t="str">
        <f t="shared" si="10"/>
        <v>Error?</v>
      </c>
    </row>
    <row r="754" spans="1:4" x14ac:dyDescent="0.2">
      <c r="A754" s="5">
        <v>693</v>
      </c>
      <c r="B754" s="138">
        <f>'Expenditures 15-22'!C73</f>
        <v>6190</v>
      </c>
      <c r="D754" s="2" t="str">
        <f t="shared" si="10"/>
        <v>Error?</v>
      </c>
    </row>
    <row r="755" spans="1:4" x14ac:dyDescent="0.2">
      <c r="A755" s="5">
        <v>694</v>
      </c>
      <c r="B755" s="138">
        <f>'Expenditures 15-22'!C74</f>
        <v>1198887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4005062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422848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93660</v>
      </c>
      <c r="D775" s="2" t="str">
        <f t="shared" si="11"/>
        <v>Error?</v>
      </c>
    </row>
    <row r="776" spans="1:4" x14ac:dyDescent="0.2">
      <c r="A776" s="5">
        <v>715</v>
      </c>
      <c r="B776" s="138">
        <f>'Expenditures 15-22'!D14</f>
        <v>18953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682561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26220</v>
      </c>
      <c r="D780" s="2" t="str">
        <f t="shared" si="11"/>
        <v>Error?</v>
      </c>
    </row>
    <row r="781" spans="1:4" x14ac:dyDescent="0.2">
      <c r="A781" s="5">
        <v>720</v>
      </c>
      <c r="B781" s="138">
        <f>'Expenditures 15-22'!D38</f>
        <v>22407</v>
      </c>
      <c r="D781" s="2" t="str">
        <f t="shared" si="11"/>
        <v>Error?</v>
      </c>
    </row>
    <row r="782" spans="1:4" x14ac:dyDescent="0.2">
      <c r="A782" s="5">
        <v>721</v>
      </c>
      <c r="B782" s="138">
        <f>'Expenditures 15-22'!D39</f>
        <v>12513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61140</v>
      </c>
      <c r="C785" s="2" t="s">
        <v>573</v>
      </c>
      <c r="D785" s="2" t="str">
        <f t="shared" si="11"/>
        <v>Error?</v>
      </c>
    </row>
    <row r="786" spans="1:4" x14ac:dyDescent="0.2">
      <c r="A786" s="5">
        <v>725</v>
      </c>
      <c r="B786" s="138">
        <f>'Expenditures 15-22'!D44</f>
        <v>1400</v>
      </c>
      <c r="D786" s="2" t="str">
        <f t="shared" si="11"/>
        <v>Error?</v>
      </c>
    </row>
    <row r="787" spans="1:4" x14ac:dyDescent="0.2">
      <c r="A787" s="5">
        <v>726</v>
      </c>
      <c r="B787" s="138">
        <f>'Expenditures 15-22'!D45</f>
        <v>32002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33402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22118</v>
      </c>
      <c r="D791" s="2" t="str">
        <f t="shared" si="11"/>
        <v>Error?</v>
      </c>
    </row>
    <row r="792" spans="1:4" x14ac:dyDescent="0.2">
      <c r="A792" s="5">
        <v>731</v>
      </c>
      <c r="B792" s="138">
        <f>'Expenditures 15-22'!D53</f>
        <v>22118</v>
      </c>
      <c r="C792" s="2" t="s">
        <v>573</v>
      </c>
      <c r="D792" s="2" t="str">
        <f t="shared" si="11"/>
        <v>Error?</v>
      </c>
    </row>
    <row r="793" spans="1:4" x14ac:dyDescent="0.2">
      <c r="A793" s="5">
        <v>732</v>
      </c>
      <c r="B793" s="138">
        <f>'Expenditures 15-22'!D55</f>
        <v>47502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47502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18498</v>
      </c>
      <c r="D797" s="2" t="str">
        <f t="shared" si="11"/>
        <v>Error?</v>
      </c>
    </row>
    <row r="798" spans="1:4" x14ac:dyDescent="0.2">
      <c r="A798" s="5">
        <v>737</v>
      </c>
      <c r="B798" s="138">
        <f>'Expenditures 15-22'!D61</f>
        <v>71192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13534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103224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2540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2383</v>
      </c>
      <c r="D807" s="2" t="str">
        <f t="shared" si="11"/>
        <v>Error?</v>
      </c>
    </row>
    <row r="808" spans="1:4" x14ac:dyDescent="0.2">
      <c r="A808" s="10">
        <v>747</v>
      </c>
      <c r="D808" s="2" t="str">
        <f t="shared" si="11"/>
        <v>OK</v>
      </c>
    </row>
    <row r="809" spans="1:4" x14ac:dyDescent="0.2">
      <c r="A809" s="5">
        <v>748</v>
      </c>
      <c r="B809" s="138">
        <f>'Expenditures 15-22'!D71</f>
        <v>1977</v>
      </c>
      <c r="D809" s="2" t="str">
        <f t="shared" si="11"/>
        <v>Error?</v>
      </c>
    </row>
    <row r="810" spans="1:4" x14ac:dyDescent="0.2">
      <c r="A810" s="10">
        <v>749</v>
      </c>
      <c r="D810" s="2" t="str">
        <f t="shared" si="11"/>
        <v>OK</v>
      </c>
    </row>
    <row r="811" spans="1:4" x14ac:dyDescent="0.2">
      <c r="A811" s="5">
        <v>750</v>
      </c>
      <c r="B811" s="138">
        <f>'Expenditures 15-22'!D72</f>
        <v>6900</v>
      </c>
      <c r="C811" s="2" t="s">
        <v>573</v>
      </c>
      <c r="D811" s="2" t="str">
        <f t="shared" si="11"/>
        <v>Error?</v>
      </c>
    </row>
    <row r="812" spans="1:4" x14ac:dyDescent="0.2">
      <c r="A812" s="5">
        <v>751</v>
      </c>
      <c r="B812" s="138">
        <f>'Expenditures 15-22'!D73</f>
        <v>1352</v>
      </c>
      <c r="D812" s="2" t="str">
        <f t="shared" si="11"/>
        <v>Error?</v>
      </c>
    </row>
    <row r="813" spans="1:4" x14ac:dyDescent="0.2">
      <c r="A813" s="5">
        <v>752</v>
      </c>
      <c r="B813" s="138">
        <f>'Expenditures 15-22'!D74</f>
        <v>275638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958199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1041</v>
      </c>
      <c r="D833" s="2" t="str">
        <f t="shared" si="12"/>
        <v>Error?</v>
      </c>
    </row>
    <row r="834" spans="1:4" x14ac:dyDescent="0.2">
      <c r="A834" s="5">
        <v>773</v>
      </c>
      <c r="B834" s="138">
        <f>'Expenditures 15-22'!E14</f>
        <v>53758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71969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76</v>
      </c>
      <c r="D838" s="2" t="str">
        <f t="shared" si="12"/>
        <v>Error?</v>
      </c>
    </row>
    <row r="839" spans="1:4" x14ac:dyDescent="0.2">
      <c r="A839" s="5">
        <v>778</v>
      </c>
      <c r="B839" s="138">
        <f>'Expenditures 15-22'!E38</f>
        <v>59</v>
      </c>
      <c r="D839" s="2" t="str">
        <f t="shared" si="12"/>
        <v>Error?</v>
      </c>
    </row>
    <row r="840" spans="1:4" x14ac:dyDescent="0.2">
      <c r="A840" s="5">
        <v>779</v>
      </c>
      <c r="B840" s="138">
        <f>'Expenditures 15-22'!E39</f>
        <v>931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1066</v>
      </c>
      <c r="C843" s="2" t="s">
        <v>573</v>
      </c>
      <c r="D843" s="2" t="str">
        <f t="shared" si="12"/>
        <v>Error?</v>
      </c>
    </row>
    <row r="844" spans="1:4" x14ac:dyDescent="0.2">
      <c r="A844" s="5">
        <v>783</v>
      </c>
      <c r="B844" s="138">
        <f>'Expenditures 15-22'!E44</f>
        <v>11763</v>
      </c>
      <c r="D844" s="2" t="str">
        <f t="shared" si="12"/>
        <v>Error?</v>
      </c>
    </row>
    <row r="845" spans="1:4" x14ac:dyDescent="0.2">
      <c r="A845" s="5">
        <v>784</v>
      </c>
      <c r="B845" s="138">
        <f>'Expenditures 15-22'!E45</f>
        <v>11393</v>
      </c>
      <c r="D845" s="2" t="str">
        <f t="shared" si="12"/>
        <v>Error?</v>
      </c>
    </row>
    <row r="846" spans="1:4" x14ac:dyDescent="0.2">
      <c r="A846" s="5">
        <v>785</v>
      </c>
      <c r="B846" s="138">
        <f>'Expenditures 15-22'!E46</f>
        <v>1066</v>
      </c>
      <c r="D846" s="2" t="str">
        <f t="shared" si="12"/>
        <v>Error?</v>
      </c>
    </row>
    <row r="847" spans="1:4" x14ac:dyDescent="0.2">
      <c r="A847" s="5">
        <v>786</v>
      </c>
      <c r="B847" s="138">
        <f>'Expenditures 15-22'!E47</f>
        <v>24222</v>
      </c>
      <c r="C847" s="2" t="s">
        <v>573</v>
      </c>
      <c r="D847" s="2" t="str">
        <f t="shared" si="12"/>
        <v>Error?</v>
      </c>
    </row>
    <row r="848" spans="1:4" x14ac:dyDescent="0.2">
      <c r="A848" s="5">
        <v>787</v>
      </c>
      <c r="B848" s="138">
        <f>'Expenditures 15-22'!E49</f>
        <v>22145</v>
      </c>
      <c r="D848" s="2" t="str">
        <f t="shared" si="12"/>
        <v>Error?</v>
      </c>
    </row>
    <row r="849" spans="1:4" x14ac:dyDescent="0.2">
      <c r="A849" s="5">
        <v>788</v>
      </c>
      <c r="B849" s="138">
        <f>'Expenditures 15-22'!E50</f>
        <v>616</v>
      </c>
      <c r="D849" s="2" t="str">
        <f t="shared" si="12"/>
        <v>Error?</v>
      </c>
    </row>
    <row r="850" spans="1:4" x14ac:dyDescent="0.2">
      <c r="A850" s="5">
        <v>789</v>
      </c>
      <c r="B850" s="138">
        <f>'Expenditures 15-22'!E53</f>
        <v>22761</v>
      </c>
      <c r="C850" s="2" t="s">
        <v>573</v>
      </c>
      <c r="D850" s="2" t="str">
        <f t="shared" si="12"/>
        <v>Error?</v>
      </c>
    </row>
    <row r="851" spans="1:4" x14ac:dyDescent="0.2">
      <c r="A851" s="5">
        <v>790</v>
      </c>
      <c r="B851" s="138">
        <f>'Expenditures 15-22'!E55</f>
        <v>14102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14102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v>
      </c>
      <c r="D855" s="2" t="str">
        <f t="shared" si="12"/>
        <v>Error?</v>
      </c>
    </row>
    <row r="856" spans="1:4" x14ac:dyDescent="0.2">
      <c r="A856" s="5">
        <v>795</v>
      </c>
      <c r="B856" s="138">
        <f>'Expenditures 15-22'!E61</f>
        <v>2550</v>
      </c>
      <c r="D856" s="2" t="str">
        <f t="shared" si="12"/>
        <v>Error?</v>
      </c>
    </row>
    <row r="857" spans="1:4" x14ac:dyDescent="0.2">
      <c r="A857" s="5">
        <v>796</v>
      </c>
      <c r="B857" s="138">
        <f>'Expenditures 15-22'!E62</f>
        <v>366</v>
      </c>
      <c r="D857" s="2" t="str">
        <f t="shared" si="12"/>
        <v>Error?</v>
      </c>
    </row>
    <row r="858" spans="1:4" x14ac:dyDescent="0.2">
      <c r="A858" s="5">
        <v>797</v>
      </c>
      <c r="B858" s="138">
        <f>'Expenditures 15-22'!E63</f>
        <v>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3052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75203</v>
      </c>
      <c r="C871" s="2" t="s">
        <v>573</v>
      </c>
      <c r="D871" s="2" t="str">
        <f t="shared" si="12"/>
        <v>Error?</v>
      </c>
    </row>
    <row r="872" spans="1:4" x14ac:dyDescent="0.2">
      <c r="A872" s="5">
        <v>811</v>
      </c>
      <c r="B872" s="138">
        <f>'Expenditures 15-22'!E75</f>
        <v>300</v>
      </c>
      <c r="D872" s="2" t="str">
        <f t="shared" si="12"/>
        <v>Error?</v>
      </c>
    </row>
    <row r="873" spans="1:4" x14ac:dyDescent="0.2">
      <c r="A873" s="5">
        <v>812</v>
      </c>
      <c r="B873" s="138">
        <f>'Expenditures 15-22'!E114</f>
        <v>234288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68656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38450</v>
      </c>
      <c r="D891" s="2" t="str">
        <f t="shared" si="12"/>
        <v>Error?</v>
      </c>
    </row>
    <row r="892" spans="1:4" x14ac:dyDescent="0.2">
      <c r="A892" s="5">
        <v>831</v>
      </c>
      <c r="B892" s="138">
        <f>'Expenditures 15-22'!F14</f>
        <v>31766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201418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2585</v>
      </c>
      <c r="D896" s="2" t="str">
        <f t="shared" si="13"/>
        <v>Error?</v>
      </c>
    </row>
    <row r="897" spans="1:4" x14ac:dyDescent="0.2">
      <c r="A897" s="5">
        <v>836</v>
      </c>
      <c r="B897" s="138">
        <f>'Expenditures 15-22'!F38</f>
        <v>3913</v>
      </c>
      <c r="D897" s="2" t="str">
        <f t="shared" si="13"/>
        <v>Error?</v>
      </c>
    </row>
    <row r="898" spans="1:4" x14ac:dyDescent="0.2">
      <c r="A898" s="5">
        <v>837</v>
      </c>
      <c r="B898" s="138">
        <f>'Expenditures 15-22'!F39</f>
        <v>850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7348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11027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11027</v>
      </c>
      <c r="C905" s="2" t="s">
        <v>573</v>
      </c>
      <c r="D905" s="2" t="str">
        <f t="shared" si="13"/>
        <v>Error?</v>
      </c>
    </row>
    <row r="906" spans="1:4" x14ac:dyDescent="0.2">
      <c r="A906" s="5">
        <v>845</v>
      </c>
      <c r="B906" s="138">
        <f>'Expenditures 15-22'!F49</f>
        <v>1698</v>
      </c>
      <c r="D906" s="2" t="str">
        <f t="shared" si="13"/>
        <v>Error?</v>
      </c>
    </row>
    <row r="907" spans="1:4" x14ac:dyDescent="0.2">
      <c r="A907" s="5">
        <v>846</v>
      </c>
      <c r="B907" s="138">
        <f>'Expenditures 15-22'!F50</f>
        <v>465</v>
      </c>
      <c r="D907" s="2" t="str">
        <f t="shared" si="13"/>
        <v>Error?</v>
      </c>
    </row>
    <row r="908" spans="1:4" x14ac:dyDescent="0.2">
      <c r="A908" s="5">
        <v>847</v>
      </c>
      <c r="B908" s="138">
        <f>'Expenditures 15-22'!F53</f>
        <v>2163</v>
      </c>
      <c r="C908" s="2" t="s">
        <v>573</v>
      </c>
      <c r="D908" s="2" t="str">
        <f t="shared" si="13"/>
        <v>Error?</v>
      </c>
    </row>
    <row r="909" spans="1:4" x14ac:dyDescent="0.2">
      <c r="A909" s="5">
        <v>848</v>
      </c>
      <c r="B909" s="138">
        <f>'Expenditures 15-22'!F55</f>
        <v>19111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19111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2393</v>
      </c>
      <c r="D913" s="2" t="str">
        <f t="shared" si="13"/>
        <v>Error?</v>
      </c>
    </row>
    <row r="914" spans="1:4" x14ac:dyDescent="0.2">
      <c r="A914" s="5">
        <v>853</v>
      </c>
      <c r="B914" s="138">
        <f>'Expenditures 15-22'!F61</f>
        <v>4800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86917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94110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1047</v>
      </c>
      <c r="D928" s="2" t="str">
        <f t="shared" si="13"/>
        <v>Error?</v>
      </c>
    </row>
    <row r="929" spans="1:4" x14ac:dyDescent="0.2">
      <c r="A929" s="5">
        <v>868</v>
      </c>
      <c r="B929" s="138">
        <f>'Expenditures 15-22'!F74</f>
        <v>134806</v>
      </c>
      <c r="C929" s="2" t="s">
        <v>573</v>
      </c>
      <c r="D929" s="2" t="str">
        <f t="shared" si="13"/>
        <v>Error?</v>
      </c>
    </row>
    <row r="930" spans="1:4" x14ac:dyDescent="0.2">
      <c r="A930" s="5">
        <v>869</v>
      </c>
      <c r="B930" s="138">
        <f>'Expenditures 15-22'!F75</f>
        <v>60</v>
      </c>
      <c r="D930" s="2" t="str">
        <f t="shared" si="13"/>
        <v>Error?</v>
      </c>
    </row>
    <row r="931" spans="1:4" x14ac:dyDescent="0.2">
      <c r="A931" s="5">
        <v>870</v>
      </c>
      <c r="B931" s="138">
        <f>'Expenditures 15-22'!F114</f>
        <v>336284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23551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7308</v>
      </c>
      <c r="D949" s="2" t="str">
        <f t="shared" si="13"/>
        <v>Error?</v>
      </c>
    </row>
    <row r="950" spans="1:4" x14ac:dyDescent="0.2">
      <c r="A950" s="5">
        <v>889</v>
      </c>
      <c r="B950" s="138">
        <f>'Expenditures 15-22'!G14</f>
        <v>3594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37782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1312</v>
      </c>
      <c r="D954" s="2" t="str">
        <f t="shared" si="13"/>
        <v>Error?</v>
      </c>
    </row>
    <row r="955" spans="1:4" x14ac:dyDescent="0.2">
      <c r="A955" s="5">
        <v>894</v>
      </c>
      <c r="B955" s="138">
        <f>'Expenditures 15-22'!G38</f>
        <v>352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1664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37472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37472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594</v>
      </c>
      <c r="D965" s="2" t="str">
        <f t="shared" si="14"/>
        <v>Error?</v>
      </c>
    </row>
    <row r="966" spans="1:4" x14ac:dyDescent="0.2">
      <c r="A966" s="5">
        <v>905</v>
      </c>
      <c r="B966" s="138">
        <f>'Expenditures 15-22'!G53</f>
        <v>594</v>
      </c>
      <c r="C966" s="2" t="s">
        <v>573</v>
      </c>
      <c r="D966" s="2" t="str">
        <f t="shared" si="14"/>
        <v>Error?</v>
      </c>
    </row>
    <row r="967" spans="1:4" x14ac:dyDescent="0.2">
      <c r="A967" s="5">
        <v>906</v>
      </c>
      <c r="B967" s="138">
        <f>'Expenditures 15-22'!G55</f>
        <v>475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475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9642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9642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49847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87629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370</v>
      </c>
      <c r="D1007" s="2" t="str">
        <f t="shared" si="14"/>
        <v>Error?</v>
      </c>
    </row>
    <row r="1008" spans="1:4" x14ac:dyDescent="0.2">
      <c r="A1008" s="5">
        <v>947</v>
      </c>
      <c r="B1008" s="138">
        <f>'Expenditures 15-22'!H14</f>
        <v>8630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9632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70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6751</v>
      </c>
      <c r="D1022" s="2" t="str">
        <f t="shared" si="14"/>
        <v>Error?</v>
      </c>
    </row>
    <row r="1023" spans="1:4" x14ac:dyDescent="0.2">
      <c r="A1023" s="5">
        <v>962</v>
      </c>
      <c r="B1023" s="138">
        <f>'Expenditures 15-22'!H50</f>
        <v>420</v>
      </c>
      <c r="D1023" s="2" t="str">
        <f t="shared" ref="D1023:D1086" si="15">IF(ISBLANK(B1023),"OK",IF(A1023-B1023=0,"OK","Error?"))</f>
        <v>Error?</v>
      </c>
    </row>
    <row r="1024" spans="1:4" x14ac:dyDescent="0.2">
      <c r="A1024" s="5">
        <v>963</v>
      </c>
      <c r="B1024" s="138">
        <f>'Expenditures 15-22'!H53</f>
        <v>7171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15148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15148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22389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318073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350094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2174728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476305</v>
      </c>
      <c r="C1105" s="2" t="s">
        <v>573</v>
      </c>
      <c r="D1105" s="2" t="str">
        <f t="shared" si="16"/>
        <v>Error?</v>
      </c>
    </row>
    <row r="1106" spans="1:4" x14ac:dyDescent="0.2">
      <c r="A1106" s="5">
        <v>1045</v>
      </c>
      <c r="B1106" s="138">
        <f>'Expenditures 15-22'!K14</f>
        <v>301250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3809537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135122</v>
      </c>
      <c r="C1110" s="2" t="s">
        <v>573</v>
      </c>
      <c r="D1110" s="2" t="str">
        <f t="shared" si="16"/>
        <v>Error?</v>
      </c>
    </row>
    <row r="1111" spans="1:4" x14ac:dyDescent="0.2">
      <c r="A1111" s="5">
        <v>1050</v>
      </c>
      <c r="B1111" s="138">
        <f>'Expenditures 15-22'!K38</f>
        <v>86086</v>
      </c>
      <c r="C1111" s="2" t="s">
        <v>573</v>
      </c>
      <c r="D1111" s="2" t="str">
        <f t="shared" si="16"/>
        <v>Error?</v>
      </c>
    </row>
    <row r="1112" spans="1:4" x14ac:dyDescent="0.2">
      <c r="A1112" s="5">
        <v>1051</v>
      </c>
      <c r="B1112" s="138">
        <f>'Expenditures 15-22'!K39</f>
        <v>70912</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292120</v>
      </c>
      <c r="C1115" s="2" t="s">
        <v>573</v>
      </c>
      <c r="D1115" s="2" t="str">
        <f t="shared" si="16"/>
        <v>Error?</v>
      </c>
    </row>
    <row r="1116" spans="1:4" x14ac:dyDescent="0.2">
      <c r="A1116" s="5">
        <v>1055</v>
      </c>
      <c r="B1116" s="138">
        <f>'Expenditures 15-22'!K44</f>
        <v>13163</v>
      </c>
      <c r="C1116" s="2" t="s">
        <v>573</v>
      </c>
      <c r="D1116" s="2" t="str">
        <f t="shared" si="16"/>
        <v>Error?</v>
      </c>
    </row>
    <row r="1117" spans="1:4" x14ac:dyDescent="0.2">
      <c r="A1117" s="5">
        <v>1056</v>
      </c>
      <c r="B1117" s="138">
        <f>'Expenditures 15-22'!K45</f>
        <v>202318</v>
      </c>
      <c r="C1117" s="2" t="s">
        <v>573</v>
      </c>
      <c r="D1117" s="2" t="str">
        <f t="shared" si="16"/>
        <v>Error?</v>
      </c>
    </row>
    <row r="1118" spans="1:4" x14ac:dyDescent="0.2">
      <c r="A1118" s="5">
        <v>1057</v>
      </c>
      <c r="B1118" s="138">
        <f>'Expenditures 15-22'!K46</f>
        <v>1066</v>
      </c>
      <c r="C1118" s="2" t="s">
        <v>573</v>
      </c>
      <c r="D1118" s="2" t="str">
        <f t="shared" si="16"/>
        <v>Error?</v>
      </c>
    </row>
    <row r="1119" spans="1:4" x14ac:dyDescent="0.2">
      <c r="A1119" s="5">
        <v>1058</v>
      </c>
      <c r="B1119" s="138">
        <f>'Expenditures 15-22'!K47</f>
        <v>216547</v>
      </c>
      <c r="C1119" s="2" t="s">
        <v>573</v>
      </c>
      <c r="D1119" s="2" t="str">
        <f t="shared" si="16"/>
        <v>Error?</v>
      </c>
    </row>
    <row r="1120" spans="1:4" x14ac:dyDescent="0.2">
      <c r="A1120" s="5">
        <v>1059</v>
      </c>
      <c r="B1120" s="138">
        <f>'Expenditures 15-22'!K49</f>
        <v>30594</v>
      </c>
      <c r="C1120" s="2" t="s">
        <v>573</v>
      </c>
      <c r="D1120" s="2" t="str">
        <f t="shared" si="16"/>
        <v>Error?</v>
      </c>
    </row>
    <row r="1121" spans="1:4" x14ac:dyDescent="0.2">
      <c r="A1121" s="5">
        <v>1060</v>
      </c>
      <c r="B1121" s="138">
        <f>'Expenditures 15-22'!K50</f>
        <v>153167</v>
      </c>
      <c r="C1121" s="2" t="s">
        <v>573</v>
      </c>
      <c r="D1121" s="2" t="str">
        <f t="shared" si="16"/>
        <v>Error?</v>
      </c>
    </row>
    <row r="1122" spans="1:4" x14ac:dyDescent="0.2">
      <c r="A1122" s="5">
        <v>1061</v>
      </c>
      <c r="B1122" s="138">
        <f>'Expenditures 15-22'!K53</f>
        <v>183761</v>
      </c>
      <c r="C1122" s="2" t="s">
        <v>573</v>
      </c>
      <c r="D1122" s="2" t="str">
        <f t="shared" si="16"/>
        <v>Error?</v>
      </c>
    </row>
    <row r="1123" spans="1:4" x14ac:dyDescent="0.2">
      <c r="A1123" s="5">
        <v>1062</v>
      </c>
      <c r="B1123" s="138">
        <f>'Expenditures 15-22'!K55</f>
        <v>304002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304002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163099</v>
      </c>
      <c r="C1127" s="2" t="s">
        <v>573</v>
      </c>
      <c r="D1127" s="2" t="str">
        <f t="shared" si="16"/>
        <v>Error?</v>
      </c>
    </row>
    <row r="1128" spans="1:4" x14ac:dyDescent="0.2">
      <c r="A1128" s="5">
        <v>1067</v>
      </c>
      <c r="B1128" s="138">
        <f>'Expenditures 15-22'!K61</f>
        <v>354235</v>
      </c>
      <c r="C1128" s="2" t="s">
        <v>573</v>
      </c>
      <c r="D1128" s="2" t="str">
        <f t="shared" si="16"/>
        <v>Error?</v>
      </c>
    </row>
    <row r="1129" spans="1:4" x14ac:dyDescent="0.2">
      <c r="A1129" s="5">
        <v>1068</v>
      </c>
      <c r="B1129" s="138">
        <f>'Expenditures 15-22'!K62</f>
        <v>366</v>
      </c>
      <c r="C1129" s="2" t="s">
        <v>573</v>
      </c>
      <c r="D1129" s="2" t="str">
        <f t="shared" si="16"/>
        <v>Error?</v>
      </c>
    </row>
    <row r="1130" spans="1:4" x14ac:dyDescent="0.2">
      <c r="A1130" s="5">
        <v>1069</v>
      </c>
      <c r="B1130" s="138">
        <f>'Expenditures 15-22'!K63</f>
        <v>184891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702591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23960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14095</v>
      </c>
      <c r="C1137" s="2" t="s">
        <v>573</v>
      </c>
      <c r="D1137" s="2" t="str">
        <f t="shared" si="16"/>
        <v>Error?</v>
      </c>
    </row>
    <row r="1138" spans="1:4" x14ac:dyDescent="0.2">
      <c r="A1138" s="10">
        <v>1077</v>
      </c>
      <c r="D1138" s="2" t="str">
        <f t="shared" si="16"/>
        <v>OK</v>
      </c>
    </row>
    <row r="1139" spans="1:4" x14ac:dyDescent="0.2">
      <c r="A1139" s="5">
        <v>1078</v>
      </c>
      <c r="B1139" s="138">
        <f>'Expenditures 15-22'!K71</f>
        <v>11105</v>
      </c>
      <c r="C1139" s="2" t="s">
        <v>573</v>
      </c>
      <c r="D1139" s="2" t="str">
        <f t="shared" si="16"/>
        <v>Error?</v>
      </c>
    </row>
    <row r="1140" spans="1:4" x14ac:dyDescent="0.2">
      <c r="A1140" s="10">
        <v>1079</v>
      </c>
      <c r="D1140" s="2" t="str">
        <f t="shared" si="16"/>
        <v>OK</v>
      </c>
    </row>
    <row r="1141" spans="1:4" x14ac:dyDescent="0.2">
      <c r="A1141" s="5">
        <v>1080</v>
      </c>
      <c r="B1141" s="138">
        <f>'Expenditures 15-22'!K72</f>
        <v>49160</v>
      </c>
      <c r="C1141" s="2" t="s">
        <v>573</v>
      </c>
      <c r="D1141" s="2" t="str">
        <f t="shared" si="16"/>
        <v>Error?</v>
      </c>
    </row>
    <row r="1142" spans="1:4" x14ac:dyDescent="0.2">
      <c r="A1142" s="5">
        <v>1081</v>
      </c>
      <c r="B1142" s="138">
        <f>'Expenditures 15-22'!K73</f>
        <v>8589</v>
      </c>
      <c r="C1142" s="2" t="s">
        <v>573</v>
      </c>
      <c r="D1142" s="2" t="str">
        <f t="shared" si="16"/>
        <v>Error?</v>
      </c>
    </row>
    <row r="1143" spans="1:4" x14ac:dyDescent="0.2">
      <c r="A1143" s="5">
        <v>1082</v>
      </c>
      <c r="B1143" s="138">
        <f>'Expenditures 15-22'!K74</f>
        <v>1756770</v>
      </c>
      <c r="C1143" s="2" t="s">
        <v>573</v>
      </c>
      <c r="D1143" s="2" t="str">
        <f t="shared" si="16"/>
        <v>Error?</v>
      </c>
    </row>
    <row r="1144" spans="1:4" x14ac:dyDescent="0.2">
      <c r="A1144" s="5">
        <v>1083</v>
      </c>
      <c r="B1144" s="138">
        <f>'Expenditures 15-22'!K75</f>
        <v>360</v>
      </c>
      <c r="C1144" s="2" t="s">
        <v>573</v>
      </c>
      <c r="D1144" s="2" t="str">
        <f t="shared" si="16"/>
        <v>Error?</v>
      </c>
    </row>
    <row r="1145" spans="1:4" x14ac:dyDescent="0.2">
      <c r="A1145" s="5">
        <v>1084</v>
      </c>
      <c r="B1145" s="138">
        <f>'Expenditures 15-22'!K102</f>
        <v>404889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5971556</v>
      </c>
      <c r="C1152" s="2" t="s">
        <v>573</v>
      </c>
      <c r="D1152" s="2" t="str">
        <f t="shared" si="17"/>
        <v>Error?</v>
      </c>
    </row>
    <row r="1153" spans="1:4" x14ac:dyDescent="0.2">
      <c r="A1153" s="5">
        <v>1092</v>
      </c>
      <c r="B1153" s="138">
        <f>'Expenditures 15-22'!K115</f>
        <v>409061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231903</v>
      </c>
      <c r="D1237" s="2" t="str">
        <f t="shared" si="18"/>
        <v>Error?</v>
      </c>
    </row>
    <row r="1238" spans="1:4" x14ac:dyDescent="0.2">
      <c r="A1238" s="10">
        <v>1177</v>
      </c>
      <c r="D1238" s="2" t="str">
        <f t="shared" si="18"/>
        <v>OK</v>
      </c>
    </row>
    <row r="1239" spans="1:4" x14ac:dyDescent="0.2">
      <c r="A1239" s="5">
        <v>1178</v>
      </c>
      <c r="B1239" s="138">
        <f>'Expenditures 15-22'!E127</f>
        <v>231903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231903</v>
      </c>
      <c r="C1241" s="2" t="s">
        <v>573</v>
      </c>
      <c r="D1241" s="2" t="str">
        <f t="shared" si="18"/>
        <v>Error?</v>
      </c>
    </row>
    <row r="1242" spans="1:4" x14ac:dyDescent="0.2">
      <c r="A1242" s="5">
        <v>1181</v>
      </c>
      <c r="B1242" s="138">
        <f>'Expenditures 15-22'!E151</f>
        <v>231903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249201</v>
      </c>
      <c r="D1245" s="2" t="str">
        <f t="shared" si="18"/>
        <v>Error?</v>
      </c>
    </row>
    <row r="1246" spans="1:4" x14ac:dyDescent="0.2">
      <c r="A1246" s="10">
        <v>1185</v>
      </c>
      <c r="D1246" s="2" t="str">
        <f t="shared" si="18"/>
        <v>OK</v>
      </c>
    </row>
    <row r="1247" spans="1:4" x14ac:dyDescent="0.2">
      <c r="A1247" s="5">
        <v>1186</v>
      </c>
      <c r="B1247" s="138">
        <f>'Expenditures 15-22'!F127</f>
        <v>249201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249201</v>
      </c>
      <c r="C1249" s="2" t="s">
        <v>573</v>
      </c>
      <c r="D1249" s="2" t="str">
        <f t="shared" si="18"/>
        <v>Error?</v>
      </c>
    </row>
    <row r="1250" spans="1:4" x14ac:dyDescent="0.2">
      <c r="A1250" s="5">
        <v>1189</v>
      </c>
      <c r="B1250" s="138">
        <f>'Expenditures 15-22'!F151</f>
        <v>249201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37021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37021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37021</v>
      </c>
      <c r="C1258" s="2" t="s">
        <v>573</v>
      </c>
      <c r="D1258" s="2" t="str">
        <f t="shared" si="18"/>
        <v>Error?</v>
      </c>
    </row>
    <row r="1259" spans="1:4" x14ac:dyDescent="0.2">
      <c r="A1259" s="5">
        <v>1198</v>
      </c>
      <c r="B1259" s="138">
        <f>'Expenditures 15-22'!G151</f>
        <v>37021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3698</v>
      </c>
      <c r="D1262" s="2" t="str">
        <f t="shared" si="18"/>
        <v>Error?</v>
      </c>
    </row>
    <row r="1263" spans="1:4" x14ac:dyDescent="0.2">
      <c r="A1263" s="10">
        <v>1202</v>
      </c>
      <c r="D1263" s="2" t="str">
        <f t="shared" si="18"/>
        <v>OK</v>
      </c>
    </row>
    <row r="1264" spans="1:4" x14ac:dyDescent="0.2">
      <c r="A1264" s="5">
        <v>1203</v>
      </c>
      <c r="B1264" s="138">
        <f>'Expenditures 15-22'!H127</f>
        <v>3698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3698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3698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521823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521823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521823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521823</v>
      </c>
      <c r="C1288" s="2" t="s">
        <v>573</v>
      </c>
      <c r="D1288" s="2" t="str">
        <f t="shared" si="19"/>
        <v>Error?</v>
      </c>
    </row>
    <row r="1289" spans="1:4" x14ac:dyDescent="0.2">
      <c r="A1289" s="5">
        <v>1228</v>
      </c>
      <c r="B1289" s="138">
        <f>'Expenditures 15-22'!K152</f>
        <v>174273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123986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90964</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215700</v>
      </c>
      <c r="C1317" s="2" t="s">
        <v>573</v>
      </c>
      <c r="D1317" s="2" t="str">
        <f t="shared" si="19"/>
        <v>Error?</v>
      </c>
    </row>
    <row r="1318" spans="1:4" x14ac:dyDescent="0.2">
      <c r="A1318" s="5">
        <v>1257</v>
      </c>
      <c r="B1318" s="138">
        <f>'Expenditures 15-22'!H174</f>
        <v>215700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123986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90964</v>
      </c>
      <c r="C1329" s="2" t="s">
        <v>573</v>
      </c>
      <c r="D1329" s="2" t="str">
        <f t="shared" si="19"/>
        <v>Error?</v>
      </c>
    </row>
    <row r="1330" spans="1:4" x14ac:dyDescent="0.2">
      <c r="A1330" s="5">
        <v>1269</v>
      </c>
      <c r="B1330" s="138">
        <f>'Expenditures 15-22'!K171</f>
        <v>750</v>
      </c>
      <c r="C1330" s="2" t="s">
        <v>573</v>
      </c>
      <c r="D1330" s="2" t="str">
        <f t="shared" si="19"/>
        <v>Error?</v>
      </c>
    </row>
    <row r="1331" spans="1:4" x14ac:dyDescent="0.2">
      <c r="A1331" s="5">
        <v>1270</v>
      </c>
      <c r="B1331" s="138">
        <f>'Expenditures 15-22'!K172</f>
        <v>215700</v>
      </c>
      <c r="C1331" s="2" t="s">
        <v>573</v>
      </c>
      <c r="D1331" s="2" t="str">
        <f t="shared" si="19"/>
        <v>Error?</v>
      </c>
    </row>
    <row r="1332" spans="1:4" x14ac:dyDescent="0.2">
      <c r="A1332" s="5">
        <v>1271</v>
      </c>
      <c r="B1332" s="138">
        <f>'Expenditures 15-22'!K174</f>
        <v>215700</v>
      </c>
      <c r="C1332" s="2" t="s">
        <v>573</v>
      </c>
      <c r="D1332" s="2" t="str">
        <f t="shared" si="19"/>
        <v>Error?</v>
      </c>
    </row>
    <row r="1333" spans="1:4" x14ac:dyDescent="0.2">
      <c r="A1333" s="5">
        <v>1272</v>
      </c>
      <c r="B1333" s="138">
        <f>'Expenditures 15-22'!K175</f>
        <v>5312</v>
      </c>
      <c r="C1333" s="2" t="s">
        <v>573</v>
      </c>
      <c r="D1333" s="2" t="str">
        <f t="shared" si="19"/>
        <v>Error?</v>
      </c>
    </row>
    <row r="1334" spans="1:4" x14ac:dyDescent="0.2">
      <c r="A1334" s="10">
        <v>1273</v>
      </c>
      <c r="D1334" s="2" t="str">
        <f t="shared" si="19"/>
        <v>OK</v>
      </c>
    </row>
    <row r="1335" spans="1:4" x14ac:dyDescent="0.2">
      <c r="A1335" s="5">
        <v>1274</v>
      </c>
      <c r="B1335" s="138">
        <f>'Expenditures 15-22'!C182</f>
        <v>164033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164033</v>
      </c>
      <c r="C1339" s="2" t="s">
        <v>573</v>
      </c>
      <c r="D1339" s="2" t="str">
        <f t="shared" si="19"/>
        <v>Error?</v>
      </c>
    </row>
    <row r="1340" spans="1:4" x14ac:dyDescent="0.2">
      <c r="A1340" s="5">
        <v>1279</v>
      </c>
      <c r="B1340" s="138">
        <f>'Expenditures 15-22'!C210</f>
        <v>164033</v>
      </c>
      <c r="C1340" s="2" t="s">
        <v>573</v>
      </c>
      <c r="D1340" s="2" t="str">
        <f t="shared" si="19"/>
        <v>Error?</v>
      </c>
    </row>
    <row r="1341" spans="1:4" x14ac:dyDescent="0.2">
      <c r="A1341" s="5">
        <v>1280</v>
      </c>
      <c r="B1341" s="138">
        <f>'Expenditures 15-22'!D182</f>
        <v>47353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47353</v>
      </c>
      <c r="C1345" s="2" t="s">
        <v>573</v>
      </c>
      <c r="D1345" s="2" t="str">
        <f t="shared" si="20"/>
        <v>Error?</v>
      </c>
    </row>
    <row r="1346" spans="1:4" x14ac:dyDescent="0.2">
      <c r="A1346" s="5">
        <v>1285</v>
      </c>
      <c r="B1346" s="138">
        <f>'Expenditures 15-22'!D210</f>
        <v>47353</v>
      </c>
      <c r="C1346" s="2" t="s">
        <v>573</v>
      </c>
      <c r="D1346" s="2" t="str">
        <f t="shared" si="20"/>
        <v>Error?</v>
      </c>
    </row>
    <row r="1347" spans="1:4" x14ac:dyDescent="0.2">
      <c r="A1347" s="5">
        <v>1286</v>
      </c>
      <c r="B1347" s="138">
        <f>'Expenditures 15-22'!E182</f>
        <v>52100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52100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52100</v>
      </c>
      <c r="C1353" s="2" t="s">
        <v>573</v>
      </c>
      <c r="D1353" s="2" t="str">
        <f t="shared" si="20"/>
        <v>Error?</v>
      </c>
    </row>
    <row r="1354" spans="1:4" x14ac:dyDescent="0.2">
      <c r="A1354" s="5">
        <v>1293</v>
      </c>
      <c r="B1354" s="138">
        <f>'Expenditures 15-22'!F182</f>
        <v>36371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36371</v>
      </c>
      <c r="C1358" s="2" t="s">
        <v>573</v>
      </c>
      <c r="D1358" s="2" t="str">
        <f t="shared" si="20"/>
        <v>Error?</v>
      </c>
    </row>
    <row r="1359" spans="1:4" x14ac:dyDescent="0.2">
      <c r="A1359" s="5">
        <v>1298</v>
      </c>
      <c r="B1359" s="138">
        <f>'Expenditures 15-22'!F210</f>
        <v>36371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299857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299857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299857</v>
      </c>
      <c r="C1388" s="2" t="s">
        <v>573</v>
      </c>
      <c r="D1388" s="2" t="str">
        <f t="shared" si="20"/>
        <v>Error?</v>
      </c>
    </row>
    <row r="1389" spans="1:4" x14ac:dyDescent="0.2">
      <c r="A1389" s="5">
        <v>1328</v>
      </c>
      <c r="B1389" s="138">
        <f>'Expenditures 15-22'!K211</f>
        <v>106532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4503</v>
      </c>
      <c r="D1407" s="2" t="str">
        <f t="shared" ref="D1407:D1470" si="21">IF(ISBLANK(B1407),"OK",IF(A1407-B1407=0,"OK","Error?"))</f>
        <v>Error?</v>
      </c>
    </row>
    <row r="1408" spans="1:4" x14ac:dyDescent="0.2">
      <c r="A1408" s="5">
        <v>1347</v>
      </c>
      <c r="B1408" s="138">
        <f>'Expenditures 15-22'!D223</f>
        <v>14396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86097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8419</v>
      </c>
      <c r="D1412" s="2" t="str">
        <f t="shared" si="21"/>
        <v>Error?</v>
      </c>
    </row>
    <row r="1413" spans="1:4" x14ac:dyDescent="0.2">
      <c r="A1413" s="5">
        <v>1352</v>
      </c>
      <c r="B1413" s="138">
        <f>'Expenditures 15-22'!D234</f>
        <v>1644</v>
      </c>
      <c r="D1413" s="2" t="str">
        <f t="shared" si="21"/>
        <v>Error?</v>
      </c>
    </row>
    <row r="1414" spans="1:4" x14ac:dyDescent="0.2">
      <c r="A1414" s="5">
        <v>1353</v>
      </c>
      <c r="B1414" s="138">
        <f>'Expenditures 15-22'!D235</f>
        <v>789</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10852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7806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7806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1839</v>
      </c>
      <c r="D1423" s="2" t="str">
        <f t="shared" si="21"/>
        <v>Error?</v>
      </c>
    </row>
    <row r="1424" spans="1:4" x14ac:dyDescent="0.2">
      <c r="A1424" s="5">
        <v>1363</v>
      </c>
      <c r="B1424" s="138">
        <f>'Expenditures 15-22'!D257</f>
        <v>1839</v>
      </c>
      <c r="C1424" s="2" t="s">
        <v>573</v>
      </c>
      <c r="D1424" s="2" t="str">
        <f t="shared" si="21"/>
        <v>Error?</v>
      </c>
    </row>
    <row r="1425" spans="1:4" x14ac:dyDescent="0.2">
      <c r="A1425" s="5">
        <v>1364</v>
      </c>
      <c r="B1425" s="138">
        <f>'Expenditures 15-22'!D259</f>
        <v>16489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16489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21005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45546</v>
      </c>
      <c r="D1431" s="2" t="str">
        <f t="shared" si="21"/>
        <v>Error?</v>
      </c>
    </row>
    <row r="1432" spans="1:4" x14ac:dyDescent="0.2">
      <c r="A1432" s="5">
        <v>1371</v>
      </c>
      <c r="B1432" s="138">
        <f>'Expenditures 15-22'!D267</f>
        <v>19686</v>
      </c>
      <c r="D1432" s="2" t="str">
        <f t="shared" si="21"/>
        <v>Error?</v>
      </c>
    </row>
    <row r="1433" spans="1:4" x14ac:dyDescent="0.2">
      <c r="A1433" s="5">
        <v>1372</v>
      </c>
      <c r="B1433" s="138">
        <f>'Expenditures 15-22'!D268</f>
        <v>12341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98578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21</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162</v>
      </c>
      <c r="D1440" s="2" t="str">
        <f t="shared" si="21"/>
        <v>Error?</v>
      </c>
    </row>
    <row r="1441" spans="1:4" x14ac:dyDescent="0.2">
      <c r="A1441" s="10">
        <v>1380</v>
      </c>
      <c r="D1441" s="2" t="str">
        <f t="shared" si="21"/>
        <v>OK</v>
      </c>
    </row>
    <row r="1442" spans="1:4" x14ac:dyDescent="0.2">
      <c r="A1442" s="5">
        <v>1381</v>
      </c>
      <c r="B1442" s="138">
        <f>'Expenditures 15-22'!D276</f>
        <v>125</v>
      </c>
      <c r="D1442" s="2" t="str">
        <f t="shared" si="21"/>
        <v>Error?</v>
      </c>
    </row>
    <row r="1443" spans="1:4" x14ac:dyDescent="0.2">
      <c r="A1443" s="10">
        <v>1382</v>
      </c>
      <c r="D1443" s="2" t="str">
        <f t="shared" si="21"/>
        <v>OK</v>
      </c>
    </row>
    <row r="1444" spans="1:4" x14ac:dyDescent="0.2">
      <c r="A1444" s="5">
        <v>1383</v>
      </c>
      <c r="B1444" s="138">
        <f>'Expenditures 15-22'!D277</f>
        <v>308</v>
      </c>
      <c r="C1444" s="2" t="s">
        <v>573</v>
      </c>
      <c r="D1444" s="2" t="str">
        <f t="shared" si="21"/>
        <v>Error?</v>
      </c>
    </row>
    <row r="1445" spans="1:4" x14ac:dyDescent="0.2">
      <c r="A1445" s="5">
        <v>1384</v>
      </c>
      <c r="B1445" s="138">
        <f>'Expenditures 15-22'!D278</f>
        <v>90</v>
      </c>
      <c r="D1445" s="2" t="str">
        <f t="shared" si="21"/>
        <v>Error?</v>
      </c>
    </row>
    <row r="1446" spans="1:4" x14ac:dyDescent="0.2">
      <c r="A1446" s="5">
        <v>1385</v>
      </c>
      <c r="B1446" s="138">
        <f>'Expenditures 15-22'!D279</f>
        <v>135962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222059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4503</v>
      </c>
      <c r="C1471" s="2" t="s">
        <v>573</v>
      </c>
      <c r="D1471" s="2" t="str">
        <f t="shared" ref="D1471:D1534" si="22">IF(ISBLANK(B1471),"OK",IF(A1471-B1471=0,"OK","Error?"))</f>
        <v>Error?</v>
      </c>
    </row>
    <row r="1472" spans="1:4" x14ac:dyDescent="0.2">
      <c r="A1472" s="5">
        <v>1411</v>
      </c>
      <c r="B1472" s="138">
        <f>'Expenditures 15-22'!K223</f>
        <v>14396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86097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8419</v>
      </c>
      <c r="C1476" s="2" t="s">
        <v>573</v>
      </c>
      <c r="D1476" s="2" t="str">
        <f t="shared" si="22"/>
        <v>Error?</v>
      </c>
    </row>
    <row r="1477" spans="1:4" x14ac:dyDescent="0.2">
      <c r="A1477" s="5">
        <v>1416</v>
      </c>
      <c r="B1477" s="138">
        <f>'Expenditures 15-22'!K234</f>
        <v>1644</v>
      </c>
      <c r="C1477" s="2" t="s">
        <v>573</v>
      </c>
      <c r="D1477" s="2" t="str">
        <f t="shared" si="22"/>
        <v>Error?</v>
      </c>
    </row>
    <row r="1478" spans="1:4" x14ac:dyDescent="0.2">
      <c r="A1478" s="5">
        <v>1417</v>
      </c>
      <c r="B1478" s="138">
        <f>'Expenditures 15-22'!K235</f>
        <v>789</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10852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7806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7806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1839</v>
      </c>
      <c r="C1487" s="2" t="s">
        <v>573</v>
      </c>
      <c r="D1487" s="2" t="str">
        <f t="shared" si="22"/>
        <v>Error?</v>
      </c>
    </row>
    <row r="1488" spans="1:4" x14ac:dyDescent="0.2">
      <c r="A1488" s="5">
        <v>1427</v>
      </c>
      <c r="B1488" s="138">
        <f>'Expenditures 15-22'!K257</f>
        <v>1839</v>
      </c>
      <c r="C1488" s="2" t="s">
        <v>573</v>
      </c>
      <c r="D1488" s="2" t="str">
        <f t="shared" si="22"/>
        <v>Error?</v>
      </c>
    </row>
    <row r="1489" spans="1:4" x14ac:dyDescent="0.2">
      <c r="A1489" s="5">
        <v>1428</v>
      </c>
      <c r="B1489" s="138">
        <f>'Expenditures 15-22'!K259</f>
        <v>16489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16489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21005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45546</v>
      </c>
      <c r="C1495" s="2" t="s">
        <v>573</v>
      </c>
      <c r="D1495" s="2" t="str">
        <f t="shared" si="22"/>
        <v>Error?</v>
      </c>
    </row>
    <row r="1496" spans="1:4" x14ac:dyDescent="0.2">
      <c r="A1496" s="5">
        <v>1435</v>
      </c>
      <c r="B1496" s="138">
        <f>'Expenditures 15-22'!K267</f>
        <v>19686</v>
      </c>
      <c r="C1496" s="2" t="s">
        <v>573</v>
      </c>
      <c r="D1496" s="2" t="str">
        <f t="shared" si="22"/>
        <v>Error?</v>
      </c>
    </row>
    <row r="1497" spans="1:4" x14ac:dyDescent="0.2">
      <c r="A1497" s="5">
        <v>1436</v>
      </c>
      <c r="B1497" s="138">
        <f>'Expenditures 15-22'!K268</f>
        <v>12341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98578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21</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162</v>
      </c>
      <c r="C1504" s="2" t="s">
        <v>573</v>
      </c>
      <c r="D1504" s="2" t="str">
        <f t="shared" si="22"/>
        <v>Error?</v>
      </c>
    </row>
    <row r="1505" spans="1:4" x14ac:dyDescent="0.2">
      <c r="A1505" s="10">
        <v>1444</v>
      </c>
      <c r="D1505" s="2" t="str">
        <f t="shared" si="22"/>
        <v>OK</v>
      </c>
    </row>
    <row r="1506" spans="1:4" x14ac:dyDescent="0.2">
      <c r="A1506" s="5">
        <v>1445</v>
      </c>
      <c r="B1506" s="138">
        <f>'Expenditures 15-22'!K276</f>
        <v>125</v>
      </c>
      <c r="C1506" s="2" t="s">
        <v>573</v>
      </c>
      <c r="D1506" s="2" t="str">
        <f t="shared" si="22"/>
        <v>Error?</v>
      </c>
    </row>
    <row r="1507" spans="1:4" x14ac:dyDescent="0.2">
      <c r="A1507" s="10">
        <v>1446</v>
      </c>
      <c r="D1507" s="2" t="str">
        <f t="shared" si="22"/>
        <v>OK</v>
      </c>
    </row>
    <row r="1508" spans="1:4" x14ac:dyDescent="0.2">
      <c r="A1508" s="5">
        <v>1447</v>
      </c>
      <c r="B1508" s="138">
        <f>'Expenditures 15-22'!K277</f>
        <v>308</v>
      </c>
      <c r="C1508" s="2" t="s">
        <v>573</v>
      </c>
      <c r="D1508" s="2" t="str">
        <f t="shared" si="22"/>
        <v>Error?</v>
      </c>
    </row>
    <row r="1509" spans="1:4" x14ac:dyDescent="0.2">
      <c r="A1509" s="5">
        <v>1448</v>
      </c>
      <c r="B1509" s="138">
        <f>'Expenditures 15-22'!K278</f>
        <v>90</v>
      </c>
      <c r="C1509" s="2" t="s">
        <v>573</v>
      </c>
      <c r="D1509" s="2" t="str">
        <f t="shared" si="22"/>
        <v>Error?</v>
      </c>
    </row>
    <row r="1510" spans="1:4" x14ac:dyDescent="0.2">
      <c r="A1510" s="5">
        <v>1449</v>
      </c>
      <c r="B1510" s="138">
        <f>'Expenditures 15-22'!K279</f>
        <v>135962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222059</v>
      </c>
      <c r="C1517" s="2" t="s">
        <v>573</v>
      </c>
      <c r="D1517" s="2" t="str">
        <f t="shared" si="22"/>
        <v>Error?</v>
      </c>
    </row>
    <row r="1518" spans="1:4" x14ac:dyDescent="0.2">
      <c r="A1518" s="5">
        <v>1457</v>
      </c>
      <c r="B1518" s="138">
        <f>'Expenditures 15-22'!K296</f>
        <v>56334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62172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62172</v>
      </c>
      <c r="C1535" s="2" t="s">
        <v>573</v>
      </c>
      <c r="D1535" s="2" t="str">
        <f t="shared" ref="D1535:D1598" si="23">IF(ISBLANK(B1535),"OK",IF(A1535-B1535=0,"OK","Error?"))</f>
        <v>Error?</v>
      </c>
    </row>
    <row r="1536" spans="1:4" x14ac:dyDescent="0.2">
      <c r="A1536" s="5">
        <v>1475</v>
      </c>
      <c r="B1536" s="138">
        <f>'Expenditures 15-22'!E312</f>
        <v>62172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62172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62172</v>
      </c>
      <c r="C1559" s="2" t="s">
        <v>573</v>
      </c>
      <c r="D1559" s="2" t="str">
        <f t="shared" si="23"/>
        <v>Error?</v>
      </c>
    </row>
    <row r="1560" spans="1:4" x14ac:dyDescent="0.2">
      <c r="A1560" s="5">
        <v>1499</v>
      </c>
      <c r="B1560" s="138">
        <f>'Expenditures 15-22'!K312</f>
        <v>62172</v>
      </c>
      <c r="C1560" s="2" t="s">
        <v>573</v>
      </c>
      <c r="D1560" s="2" t="str">
        <f t="shared" si="23"/>
        <v>Error?</v>
      </c>
    </row>
    <row r="1561" spans="1:4" x14ac:dyDescent="0.2">
      <c r="A1561" s="5">
        <v>1500</v>
      </c>
      <c r="B1561" s="138">
        <f>'Expenditures 15-22'!K313</f>
        <v>711889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2970293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3379354</v>
      </c>
      <c r="C1630" s="2" t="s">
        <v>573</v>
      </c>
      <c r="D1630" s="2" t="str">
        <f t="shared" si="24"/>
        <v>Error?</v>
      </c>
    </row>
    <row r="1631" spans="1:4" x14ac:dyDescent="0.2">
      <c r="A1631" s="5">
        <v>1570</v>
      </c>
      <c r="B1631" s="138">
        <f>'Acct Summary 7-8'!D79</f>
        <v>618538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792811</v>
      </c>
      <c r="C1644" s="2" t="s">
        <v>573</v>
      </c>
      <c r="D1644" s="2" t="str">
        <f t="shared" si="24"/>
        <v>Error?</v>
      </c>
    </row>
    <row r="1645" spans="1:4" x14ac:dyDescent="0.2">
      <c r="A1645" s="5">
        <v>1584</v>
      </c>
      <c r="B1645" s="138">
        <f>'Acct Summary 7-8'!E79</f>
        <v>113775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119087</v>
      </c>
      <c r="C1658" s="2" t="s">
        <v>573</v>
      </c>
      <c r="D1658" s="2" t="str">
        <f t="shared" si="24"/>
        <v>Error?</v>
      </c>
    </row>
    <row r="1659" spans="1:4" x14ac:dyDescent="0.2">
      <c r="A1659" s="5">
        <v>1598</v>
      </c>
      <c r="B1659" s="138">
        <f>'Acct Summary 7-8'!F79</f>
        <v>696207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802739</v>
      </c>
      <c r="C1672" s="2" t="s">
        <v>573</v>
      </c>
      <c r="D1672" s="2" t="str">
        <f t="shared" si="25"/>
        <v>Error?</v>
      </c>
    </row>
    <row r="1673" spans="1:4" x14ac:dyDescent="0.2">
      <c r="A1673" s="5">
        <v>1612</v>
      </c>
      <c r="B1673" s="138">
        <f>'Acct Summary 7-8'!G79</f>
        <v>194769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251103</v>
      </c>
      <c r="C1686" s="2" t="s">
        <v>573</v>
      </c>
      <c r="D1686" s="2" t="str">
        <f t="shared" si="25"/>
        <v>Error?</v>
      </c>
    </row>
    <row r="1687" spans="1:4" x14ac:dyDescent="0.2">
      <c r="A1687" s="5">
        <v>1626</v>
      </c>
      <c r="B1687" s="138">
        <f>'Acct Summary 7-8'!H79</f>
        <v>53580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765469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2137795</v>
      </c>
      <c r="C1744" s="2" t="s">
        <v>573</v>
      </c>
      <c r="D1744" s="2" t="str">
        <f t="shared" si="26"/>
        <v>Error?</v>
      </c>
    </row>
    <row r="1745" spans="1:5" x14ac:dyDescent="0.2">
      <c r="A1745" s="5">
        <v>1684</v>
      </c>
      <c r="B1745" s="138">
        <f>'Tax Sched 23'!B5</f>
        <v>360393</v>
      </c>
      <c r="C1745" s="2" t="s">
        <v>573</v>
      </c>
      <c r="D1745" s="2" t="str">
        <f t="shared" si="26"/>
        <v>Error?</v>
      </c>
    </row>
    <row r="1746" spans="1:5" x14ac:dyDescent="0.2">
      <c r="A1746" s="5">
        <v>1685</v>
      </c>
      <c r="B1746" s="138">
        <f>'Tax Sched 23'!B6</f>
        <v>143344</v>
      </c>
      <c r="C1746" s="2" t="s">
        <v>573</v>
      </c>
      <c r="D1746" s="2" t="str">
        <f t="shared" si="26"/>
        <v>Error?</v>
      </c>
    </row>
    <row r="1747" spans="1:5" x14ac:dyDescent="0.2">
      <c r="A1747" s="5">
        <v>1686</v>
      </c>
      <c r="B1747" s="138">
        <f>'Tax Sched 23'!B7</f>
        <v>227847</v>
      </c>
      <c r="C1747" s="2" t="s">
        <v>573</v>
      </c>
      <c r="D1747" s="2" t="str">
        <f t="shared" si="26"/>
        <v>Error?</v>
      </c>
    </row>
    <row r="1748" spans="1:5" x14ac:dyDescent="0.2">
      <c r="A1748" s="5">
        <v>1687</v>
      </c>
      <c r="B1748" s="138">
        <f>'Tax Sched 23'!B8</f>
        <v>137709</v>
      </c>
      <c r="C1748" s="2" t="s">
        <v>573</v>
      </c>
      <c r="D1748" s="2" t="str">
        <f t="shared" si="26"/>
        <v>Error?</v>
      </c>
    </row>
    <row r="1749" spans="1:5" x14ac:dyDescent="0.2">
      <c r="A1749" s="5">
        <v>1688</v>
      </c>
      <c r="B1749" s="138">
        <f>'Tax Sched 23'!B10</f>
        <v>68074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147101</v>
      </c>
      <c r="C1752" s="2" t="s">
        <v>573</v>
      </c>
      <c r="D1752" s="2" t="str">
        <f t="shared" si="26"/>
        <v>Error?</v>
      </c>
    </row>
    <row r="1753" spans="1:5" x14ac:dyDescent="0.2">
      <c r="A1753" s="5">
        <v>1692</v>
      </c>
      <c r="B1753" s="138">
        <f>'Tax Sched 23'!B12</f>
        <v>58682</v>
      </c>
      <c r="C1753" s="2" t="s">
        <v>573</v>
      </c>
      <c r="D1753" s="2" t="str">
        <f t="shared" si="26"/>
        <v>Error?</v>
      </c>
    </row>
    <row r="1754" spans="1:5" x14ac:dyDescent="0.2">
      <c r="A1754" s="5">
        <v>1693</v>
      </c>
      <c r="B1754" s="138">
        <f>'Tax Sched 23'!B14</f>
        <v>30287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3438179</v>
      </c>
      <c r="C1759" s="2" t="s">
        <v>573</v>
      </c>
      <c r="D1759" s="2" t="str">
        <f t="shared" si="26"/>
        <v>Error?</v>
      </c>
    </row>
    <row r="1760" spans="1:5" x14ac:dyDescent="0.2">
      <c r="A1760" s="5">
        <v>1699</v>
      </c>
      <c r="B1760" s="138">
        <f>'Tax Sched 23'!D4</f>
        <v>2137795</v>
      </c>
      <c r="C1760" s="2" t="s">
        <v>573</v>
      </c>
      <c r="D1760" s="2" t="str">
        <f t="shared" si="26"/>
        <v>Error?</v>
      </c>
    </row>
    <row r="1761" spans="1:5" x14ac:dyDescent="0.2">
      <c r="A1761" s="5">
        <v>1700</v>
      </c>
      <c r="B1761" s="138">
        <f>'Tax Sched 23'!D5</f>
        <v>360393</v>
      </c>
      <c r="C1761" s="2" t="s">
        <v>573</v>
      </c>
      <c r="D1761" s="2" t="str">
        <f t="shared" si="26"/>
        <v>Error?</v>
      </c>
    </row>
    <row r="1762" spans="1:5" s="8" customFormat="1" x14ac:dyDescent="0.2">
      <c r="A1762" s="5">
        <v>1701</v>
      </c>
      <c r="B1762" s="138">
        <f>'Tax Sched 23'!D6</f>
        <v>143344</v>
      </c>
      <c r="C1762" s="2" t="s">
        <v>573</v>
      </c>
      <c r="D1762" s="2" t="str">
        <f t="shared" si="26"/>
        <v>Error?</v>
      </c>
      <c r="E1762" s="9"/>
    </row>
    <row r="1763" spans="1:5" x14ac:dyDescent="0.2">
      <c r="A1763" s="5">
        <v>1702</v>
      </c>
      <c r="B1763" s="138">
        <f>'Tax Sched 23'!D7</f>
        <v>227847</v>
      </c>
      <c r="C1763" s="2" t="s">
        <v>573</v>
      </c>
      <c r="D1763" s="2" t="str">
        <f t="shared" si="26"/>
        <v>Error?</v>
      </c>
    </row>
    <row r="1764" spans="1:5" x14ac:dyDescent="0.2">
      <c r="A1764" s="5">
        <v>1703</v>
      </c>
      <c r="B1764" s="138">
        <f>'Tax Sched 23'!D8</f>
        <v>137709</v>
      </c>
      <c r="C1764" s="2" t="s">
        <v>573</v>
      </c>
      <c r="D1764" s="2" t="str">
        <f t="shared" si="26"/>
        <v>Error?</v>
      </c>
    </row>
    <row r="1765" spans="1:5" x14ac:dyDescent="0.2">
      <c r="A1765" s="5">
        <v>1704</v>
      </c>
      <c r="B1765" s="138">
        <f>'Tax Sched 23'!D10</f>
        <v>68074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147101</v>
      </c>
      <c r="C1768" s="2" t="s">
        <v>573</v>
      </c>
      <c r="D1768" s="2" t="str">
        <f t="shared" si="26"/>
        <v>Error?</v>
      </c>
    </row>
    <row r="1769" spans="1:5" x14ac:dyDescent="0.2">
      <c r="A1769" s="5">
        <v>1708</v>
      </c>
      <c r="B1769" s="138">
        <f>'Tax Sched 23'!D12</f>
        <v>58682</v>
      </c>
      <c r="C1769" s="2" t="s">
        <v>573</v>
      </c>
      <c r="D1769" s="2" t="str">
        <f t="shared" si="26"/>
        <v>Error?</v>
      </c>
    </row>
    <row r="1770" spans="1:5" x14ac:dyDescent="0.2">
      <c r="A1770" s="5">
        <v>1709</v>
      </c>
      <c r="B1770" s="138">
        <f>'Tax Sched 23'!D14</f>
        <v>30287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3438179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2383871</v>
      </c>
      <c r="C1792" s="2" t="s">
        <v>573</v>
      </c>
      <c r="D1792" s="2" t="str">
        <f t="shared" si="27"/>
        <v>Error?</v>
      </c>
    </row>
    <row r="1793" spans="1:4" x14ac:dyDescent="0.2">
      <c r="A1793" s="5">
        <v>1732</v>
      </c>
      <c r="B1793" s="138">
        <f>'Tax Sched 23'!F5</f>
        <v>401878</v>
      </c>
      <c r="C1793" s="2" t="s">
        <v>573</v>
      </c>
      <c r="D1793" s="2" t="str">
        <f t="shared" si="27"/>
        <v>Error?</v>
      </c>
    </row>
    <row r="1794" spans="1:4" x14ac:dyDescent="0.2">
      <c r="A1794" s="5">
        <v>1733</v>
      </c>
      <c r="B1794" s="138">
        <f>'Tax Sched 23'!F6</f>
        <v>145000</v>
      </c>
      <c r="C1794" s="2" t="s">
        <v>573</v>
      </c>
      <c r="D1794" s="2" t="str">
        <f t="shared" si="27"/>
        <v>Error?</v>
      </c>
    </row>
    <row r="1795" spans="1:4" x14ac:dyDescent="0.2">
      <c r="A1795" s="5">
        <v>1734</v>
      </c>
      <c r="B1795" s="138">
        <f>'Tax Sched 23'!F7</f>
        <v>254075</v>
      </c>
      <c r="C1795" s="2" t="s">
        <v>573</v>
      </c>
      <c r="D1795" s="2" t="str">
        <f t="shared" si="27"/>
        <v>Error?</v>
      </c>
    </row>
    <row r="1796" spans="1:4" x14ac:dyDescent="0.2">
      <c r="A1796" s="5">
        <v>1735</v>
      </c>
      <c r="B1796" s="138">
        <f>'Tax Sched 23'!F8</f>
        <v>153562</v>
      </c>
      <c r="C1796" s="2" t="s">
        <v>573</v>
      </c>
      <c r="D1796" s="2" t="str">
        <f t="shared" si="27"/>
        <v>Error?</v>
      </c>
    </row>
    <row r="1797" spans="1:4" x14ac:dyDescent="0.2">
      <c r="A1797" s="5">
        <v>1736</v>
      </c>
      <c r="B1797" s="138">
        <f>'Tax Sched 23'!F10</f>
        <v>75908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164032</v>
      </c>
      <c r="C1800" s="2" t="s">
        <v>573</v>
      </c>
      <c r="D1800" s="2" t="str">
        <f t="shared" si="27"/>
        <v>Error?</v>
      </c>
    </row>
    <row r="1801" spans="1:4" x14ac:dyDescent="0.2">
      <c r="A1801" s="5">
        <v>1740</v>
      </c>
      <c r="B1801" s="138">
        <f>'Tax Sched 23'!F12</f>
        <v>65438</v>
      </c>
      <c r="C1801" s="2" t="s">
        <v>573</v>
      </c>
      <c r="D1801" s="2" t="str">
        <f t="shared" si="27"/>
        <v>Error?</v>
      </c>
    </row>
    <row r="1802" spans="1:4" x14ac:dyDescent="0.2">
      <c r="A1802" s="5">
        <v>1741</v>
      </c>
      <c r="B1802" s="138">
        <f>'Tax Sched 23'!F14</f>
        <v>33679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3818615</v>
      </c>
      <c r="C1807" s="2" t="s">
        <v>573</v>
      </c>
      <c r="D1807" s="2" t="str">
        <f t="shared" si="27"/>
        <v>Error?</v>
      </c>
    </row>
    <row r="1808" spans="1:4" x14ac:dyDescent="0.2">
      <c r="A1808" s="5">
        <v>1747</v>
      </c>
      <c r="B1808" s="138">
        <f>'Tax Sched 23'!E4</f>
        <v>2383871</v>
      </c>
      <c r="D1808" s="2" t="str">
        <f t="shared" si="27"/>
        <v>Error?</v>
      </c>
    </row>
    <row r="1809" spans="1:4" x14ac:dyDescent="0.2">
      <c r="A1809" s="5">
        <v>1748</v>
      </c>
      <c r="B1809" s="138">
        <f>'Tax Sched 23'!E5</f>
        <v>401878</v>
      </c>
      <c r="D1809" s="2" t="str">
        <f t="shared" si="27"/>
        <v>Error?</v>
      </c>
    </row>
    <row r="1810" spans="1:4" x14ac:dyDescent="0.2">
      <c r="A1810" s="5">
        <v>1749</v>
      </c>
      <c r="B1810" s="138">
        <f>'Tax Sched 23'!E6</f>
        <v>145000</v>
      </c>
      <c r="D1810" s="2" t="str">
        <f t="shared" si="27"/>
        <v>Error?</v>
      </c>
    </row>
    <row r="1811" spans="1:4" x14ac:dyDescent="0.2">
      <c r="A1811" s="5">
        <v>1750</v>
      </c>
      <c r="B1811" s="138">
        <f>'Tax Sched 23'!E7</f>
        <v>254075</v>
      </c>
      <c r="D1811" s="2" t="str">
        <f t="shared" si="27"/>
        <v>Error?</v>
      </c>
    </row>
    <row r="1812" spans="1:4" x14ac:dyDescent="0.2">
      <c r="A1812" s="5">
        <v>1751</v>
      </c>
      <c r="B1812" s="138">
        <f>'Tax Sched 23'!E8</f>
        <v>153562</v>
      </c>
      <c r="D1812" s="2" t="str">
        <f t="shared" si="27"/>
        <v>Error?</v>
      </c>
    </row>
    <row r="1813" spans="1:4" x14ac:dyDescent="0.2">
      <c r="A1813" s="5">
        <v>1752</v>
      </c>
      <c r="B1813" s="138">
        <f>'Tax Sched 23'!E10</f>
        <v>75908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164032</v>
      </c>
      <c r="D1816" s="2" t="str">
        <f t="shared" si="27"/>
        <v>Error?</v>
      </c>
    </row>
    <row r="1817" spans="1:4" x14ac:dyDescent="0.2">
      <c r="A1817" s="5">
        <v>1756</v>
      </c>
      <c r="B1817" s="138">
        <f>'Tax Sched 23'!E12</f>
        <v>65438</v>
      </c>
      <c r="D1817" s="2" t="str">
        <f t="shared" si="27"/>
        <v>Error?</v>
      </c>
    </row>
    <row r="1818" spans="1:4" x14ac:dyDescent="0.2">
      <c r="A1818" s="5">
        <v>1757</v>
      </c>
      <c r="B1818" s="138">
        <f>'Tax Sched 23'!E14</f>
        <v>33679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3818615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838017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30827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30827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30827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203096</v>
      </c>
      <c r="D2008" s="2" t="str">
        <f t="shared" si="30"/>
        <v>Error?</v>
      </c>
    </row>
    <row r="2009" spans="1:4" x14ac:dyDescent="0.2">
      <c r="A2009" s="5">
        <v>1948</v>
      </c>
      <c r="B2009" s="138">
        <f>'Cap Outlay Deprec 26'!C8</f>
        <v>8217070</v>
      </c>
      <c r="D2009" s="2" t="str">
        <f t="shared" si="30"/>
        <v>Error?</v>
      </c>
    </row>
    <row r="2010" spans="1:4" x14ac:dyDescent="0.2">
      <c r="A2010" s="5">
        <v>1949</v>
      </c>
      <c r="B2010" s="138">
        <f>'Cap Outlay Deprec 26'!C10</f>
        <v>1059211</v>
      </c>
      <c r="D2010" s="2" t="str">
        <f t="shared" si="30"/>
        <v>Error?</v>
      </c>
    </row>
    <row r="2011" spans="1:4" x14ac:dyDescent="0.2">
      <c r="A2011" s="5">
        <v>1950</v>
      </c>
      <c r="B2011" s="138">
        <f>'Cap Outlay Deprec 26'!C12</f>
        <v>3982894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13462271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10000</v>
      </c>
      <c r="D2016" s="2" t="str">
        <f t="shared" si="30"/>
        <v>Error?</v>
      </c>
    </row>
    <row r="2017" spans="1:4" x14ac:dyDescent="0.2">
      <c r="A2017" s="5">
        <v>1956</v>
      </c>
      <c r="B2017" s="138">
        <f>'Cap Outlay Deprec 26'!D12</f>
        <v>114650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124650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203096</v>
      </c>
      <c r="C2026" s="2" t="s">
        <v>573</v>
      </c>
      <c r="D2026" s="2" t="str">
        <f t="shared" si="30"/>
        <v>Error?</v>
      </c>
    </row>
    <row r="2027" spans="1:4" x14ac:dyDescent="0.2">
      <c r="A2027" s="5">
        <v>1966</v>
      </c>
      <c r="B2027" s="138">
        <f>'Cap Outlay Deprec 26'!F8</f>
        <v>8217070</v>
      </c>
      <c r="C2027" s="2" t="s">
        <v>573</v>
      </c>
      <c r="D2027" s="2" t="str">
        <f t="shared" si="30"/>
        <v>Error?</v>
      </c>
    </row>
    <row r="2028" spans="1:4" x14ac:dyDescent="0.2">
      <c r="A2028" s="5">
        <v>1967</v>
      </c>
      <c r="B2028" s="138">
        <f>'Cap Outlay Deprec 26'!F10</f>
        <v>1069211</v>
      </c>
      <c r="C2028" s="2" t="s">
        <v>573</v>
      </c>
      <c r="D2028" s="2" t="str">
        <f t="shared" si="30"/>
        <v>Error?</v>
      </c>
    </row>
    <row r="2029" spans="1:4" x14ac:dyDescent="0.2">
      <c r="A2029" s="5">
        <v>1968</v>
      </c>
      <c r="B2029" s="138">
        <f>'Cap Outlay Deprec 26'!F12</f>
        <v>4097544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13586921</v>
      </c>
      <c r="C2031" s="2" t="s">
        <v>573</v>
      </c>
      <c r="D2031" s="2" t="str">
        <f t="shared" si="30"/>
        <v>Error?</v>
      </c>
    </row>
    <row r="2032" spans="1:4" x14ac:dyDescent="0.2">
      <c r="A2032" s="10">
        <v>1971</v>
      </c>
      <c r="D2032" s="2" t="str">
        <f t="shared" si="30"/>
        <v>OK</v>
      </c>
    </row>
    <row r="2033" spans="1:4" x14ac:dyDescent="0.2">
      <c r="A2033" s="5">
        <v>1972</v>
      </c>
      <c r="B2033" s="138">
        <f>'Cap Outlay Deprec 26'!H8</f>
        <v>4766474</v>
      </c>
      <c r="D2033" s="2" t="str">
        <f t="shared" si="30"/>
        <v>Error?</v>
      </c>
    </row>
    <row r="2034" spans="1:4" x14ac:dyDescent="0.2">
      <c r="A2034" s="5">
        <v>1973</v>
      </c>
      <c r="B2034" s="138">
        <f>'Cap Outlay Deprec 26'!H10</f>
        <v>239436</v>
      </c>
      <c r="D2034" s="2" t="str">
        <f t="shared" si="30"/>
        <v>Error?</v>
      </c>
    </row>
    <row r="2035" spans="1:4" x14ac:dyDescent="0.2">
      <c r="A2035" s="5">
        <v>1974</v>
      </c>
      <c r="B2035" s="138">
        <f>'Cap Outlay Deprec 26'!H12</f>
        <v>3732610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8738520</v>
      </c>
      <c r="C2037" s="2" t="s">
        <v>573</v>
      </c>
      <c r="D2037" s="2" t="str">
        <f t="shared" si="30"/>
        <v>Error?</v>
      </c>
    </row>
    <row r="2038" spans="1:4" x14ac:dyDescent="0.2">
      <c r="A2038" s="10">
        <v>1977</v>
      </c>
      <c r="D2038" s="2" t="str">
        <f t="shared" si="30"/>
        <v>OK</v>
      </c>
    </row>
    <row r="2039" spans="1:4" x14ac:dyDescent="0.2">
      <c r="A2039" s="5">
        <v>1978</v>
      </c>
      <c r="B2039" s="138">
        <f>'Cap Outlay Deprec 26'!I8</f>
        <v>227458</v>
      </c>
      <c r="D2039" s="2" t="str">
        <f t="shared" si="30"/>
        <v>Error?</v>
      </c>
    </row>
    <row r="2040" spans="1:4" x14ac:dyDescent="0.2">
      <c r="A2040" s="5">
        <v>1979</v>
      </c>
      <c r="B2040" s="138">
        <f>'Cap Outlay Deprec 26'!I10</f>
        <v>39906</v>
      </c>
      <c r="D2040" s="2" t="str">
        <f t="shared" si="30"/>
        <v>Error?</v>
      </c>
    </row>
    <row r="2041" spans="1:4" x14ac:dyDescent="0.2">
      <c r="A2041" s="5">
        <v>1980</v>
      </c>
      <c r="B2041" s="138">
        <f>'Cap Outlay Deprec 26'!I12</f>
        <v>38442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305806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4993932</v>
      </c>
      <c r="C2051" s="2" t="s">
        <v>573</v>
      </c>
      <c r="D2051" s="2" t="str">
        <f t="shared" si="31"/>
        <v>Error?</v>
      </c>
    </row>
    <row r="2052" spans="1:4" x14ac:dyDescent="0.2">
      <c r="A2052" s="5">
        <v>1991</v>
      </c>
      <c r="B2052" s="138">
        <f>'Cap Outlay Deprec 26'!K10</f>
        <v>279342</v>
      </c>
      <c r="C2052" s="2" t="s">
        <v>573</v>
      </c>
      <c r="D2052" s="2" t="str">
        <f t="shared" si="31"/>
        <v>Error?</v>
      </c>
    </row>
    <row r="2053" spans="1:4" x14ac:dyDescent="0.2">
      <c r="A2053" s="5">
        <v>1992</v>
      </c>
      <c r="B2053" s="138">
        <f>'Cap Outlay Deprec 26'!K12</f>
        <v>3771052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9044326</v>
      </c>
      <c r="C2055" s="2" t="s">
        <v>573</v>
      </c>
      <c r="D2055" s="2" t="str">
        <f t="shared" si="31"/>
        <v>Error?</v>
      </c>
    </row>
    <row r="2056" spans="1:4" x14ac:dyDescent="0.2">
      <c r="A2056" s="5">
        <v>1995</v>
      </c>
      <c r="B2056" s="138">
        <f>'Cap Outlay Deprec 26'!L5</f>
        <v>203096</v>
      </c>
      <c r="C2056" s="2" t="s">
        <v>573</v>
      </c>
      <c r="D2056" s="2" t="str">
        <f t="shared" si="31"/>
        <v>Error?</v>
      </c>
    </row>
    <row r="2057" spans="1:4" x14ac:dyDescent="0.2">
      <c r="A2057" s="5">
        <v>1996</v>
      </c>
      <c r="B2057" s="138">
        <f>'Cap Outlay Deprec 26'!L8</f>
        <v>3223138</v>
      </c>
      <c r="C2057" s="2" t="s">
        <v>573</v>
      </c>
      <c r="D2057" s="2" t="str">
        <f t="shared" si="31"/>
        <v>Error?</v>
      </c>
    </row>
    <row r="2058" spans="1:4" x14ac:dyDescent="0.2">
      <c r="A2058" s="5">
        <v>1997</v>
      </c>
      <c r="B2058" s="138">
        <f>'Cap Outlay Deprec 26'!L10</f>
        <v>789869</v>
      </c>
      <c r="C2058" s="2" t="s">
        <v>573</v>
      </c>
      <c r="D2058" s="2" t="str">
        <f t="shared" si="31"/>
        <v>Error?</v>
      </c>
    </row>
    <row r="2059" spans="1:4" x14ac:dyDescent="0.2">
      <c r="A2059" s="5">
        <v>1998</v>
      </c>
      <c r="B2059" s="138">
        <f>'Cap Outlay Deprec 26'!L12</f>
        <v>326492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4542595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109178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195994</v>
      </c>
      <c r="C2088" s="2" t="s">
        <v>573</v>
      </c>
      <c r="D2088" s="2" t="str">
        <f t="shared" si="31"/>
        <v>Error?</v>
      </c>
    </row>
    <row r="2089" spans="1:4" x14ac:dyDescent="0.2">
      <c r="A2089" s="5">
        <v>2028</v>
      </c>
      <c r="B2089" s="138">
        <f>'Expenditures 15-22'!K92</f>
        <v>208895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3005292</v>
      </c>
      <c r="C2551" s="2" t="s">
        <v>573</v>
      </c>
      <c r="D2551" s="2" t="str">
        <f t="shared" si="38"/>
        <v>Error?</v>
      </c>
    </row>
    <row r="2552" spans="1:4" x14ac:dyDescent="0.2">
      <c r="A2552" s="10">
        <v>2491</v>
      </c>
      <c r="D2552" s="2" t="str">
        <f t="shared" si="38"/>
        <v>OK</v>
      </c>
    </row>
    <row r="2553" spans="1:4" x14ac:dyDescent="0.2">
      <c r="A2553" s="5">
        <v>2492</v>
      </c>
      <c r="B2553" s="138">
        <f>'Acct Summary 7-8'!C6</f>
        <v>2744654</v>
      </c>
      <c r="C2553" s="2" t="s">
        <v>573</v>
      </c>
      <c r="D2553" s="2" t="str">
        <f t="shared" si="38"/>
        <v>Error?</v>
      </c>
    </row>
    <row r="2554" spans="1:4" x14ac:dyDescent="0.2">
      <c r="A2554" s="5">
        <v>2493</v>
      </c>
      <c r="B2554" s="138">
        <f>'Acct Summary 7-8'!C7</f>
        <v>630671</v>
      </c>
      <c r="C2554" s="2" t="s">
        <v>573</v>
      </c>
      <c r="D2554" s="2" t="str">
        <f t="shared" si="38"/>
        <v>Error?</v>
      </c>
    </row>
    <row r="2555" spans="1:4" x14ac:dyDescent="0.2">
      <c r="A2555" s="5">
        <v>2494</v>
      </c>
      <c r="B2555" s="138">
        <f>'Acct Summary 7-8'!C8</f>
        <v>6380617</v>
      </c>
      <c r="C2555" s="2" t="s">
        <v>573</v>
      </c>
      <c r="D2555" s="2" t="str">
        <f t="shared" si="38"/>
        <v>Error?</v>
      </c>
    </row>
    <row r="2556" spans="1:4" x14ac:dyDescent="0.2">
      <c r="A2556" s="5">
        <v>2495</v>
      </c>
      <c r="B2556" s="138">
        <f>'Acct Summary 7-8'!C12</f>
        <v>3809537</v>
      </c>
      <c r="C2556" s="2" t="s">
        <v>573</v>
      </c>
      <c r="D2556" s="2" t="str">
        <f t="shared" si="38"/>
        <v>Error?</v>
      </c>
    </row>
    <row r="2557" spans="1:4" x14ac:dyDescent="0.2">
      <c r="A2557" s="5">
        <v>2496</v>
      </c>
      <c r="B2557" s="138">
        <f>'Acct Summary 7-8'!C13</f>
        <v>1756770</v>
      </c>
      <c r="C2557" s="2" t="s">
        <v>573</v>
      </c>
      <c r="D2557" s="2" t="str">
        <f t="shared" si="38"/>
        <v>Error?</v>
      </c>
    </row>
    <row r="2558" spans="1:4" x14ac:dyDescent="0.2">
      <c r="A2558" s="5">
        <v>2497</v>
      </c>
      <c r="B2558" s="138">
        <f>'Acct Summary 7-8'!C14</f>
        <v>360</v>
      </c>
      <c r="C2558" s="2" t="s">
        <v>573</v>
      </c>
      <c r="D2558" s="2" t="str">
        <f t="shared" si="38"/>
        <v>Error?</v>
      </c>
    </row>
    <row r="2559" spans="1:4" x14ac:dyDescent="0.2">
      <c r="A2559" s="5">
        <v>2498</v>
      </c>
      <c r="B2559" s="138">
        <f>'Acct Summary 7-8'!C15</f>
        <v>404889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5971556</v>
      </c>
      <c r="C2561" s="2" t="s">
        <v>573</v>
      </c>
      <c r="D2561" s="2" t="str">
        <f t="shared" si="39"/>
        <v>Error?</v>
      </c>
    </row>
    <row r="2562" spans="1:4" x14ac:dyDescent="0.2">
      <c r="A2562" s="5">
        <v>2501</v>
      </c>
      <c r="B2562" s="138">
        <f>'Acct Summary 7-8'!C20</f>
        <v>409061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399435</v>
      </c>
      <c r="C2564" s="2" t="s">
        <v>573</v>
      </c>
      <c r="D2564" s="2" t="str">
        <f t="shared" si="39"/>
        <v>Error?</v>
      </c>
    </row>
    <row r="2565" spans="1:4" x14ac:dyDescent="0.2">
      <c r="A2565" s="10">
        <v>2504</v>
      </c>
      <c r="D2565" s="2" t="str">
        <f t="shared" si="39"/>
        <v>OK</v>
      </c>
    </row>
    <row r="2566" spans="1:4" x14ac:dyDescent="0.2">
      <c r="A2566" s="5">
        <v>2505</v>
      </c>
      <c r="B2566" s="138">
        <f>'Acct Summary 7-8'!D6</f>
        <v>296661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696096</v>
      </c>
      <c r="C2568" s="2" t="s">
        <v>573</v>
      </c>
      <c r="D2568" s="2" t="str">
        <f t="shared" si="39"/>
        <v>Error?</v>
      </c>
    </row>
    <row r="2569" spans="1:4" x14ac:dyDescent="0.2">
      <c r="A2569" s="5">
        <v>2508</v>
      </c>
      <c r="B2569" s="138">
        <f>'Acct Summary 7-8'!D13</f>
        <v>521823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521823</v>
      </c>
      <c r="C2573" s="2" t="s">
        <v>573</v>
      </c>
      <c r="D2573" s="2" t="str">
        <f t="shared" si="39"/>
        <v>Error?</v>
      </c>
    </row>
    <row r="2574" spans="1:4" x14ac:dyDescent="0.2">
      <c r="A2574" s="5">
        <v>2513</v>
      </c>
      <c r="B2574" s="138">
        <f>'Acct Summary 7-8'!D20</f>
        <v>174273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235988</v>
      </c>
      <c r="C2591" s="2" t="s">
        <v>573</v>
      </c>
      <c r="D2591" s="2" t="str">
        <f t="shared" si="39"/>
        <v>Error?</v>
      </c>
    </row>
    <row r="2592" spans="1:4" x14ac:dyDescent="0.2">
      <c r="A2592" s="10">
        <v>2531</v>
      </c>
      <c r="D2592" s="2" t="str">
        <f t="shared" si="39"/>
        <v>OK</v>
      </c>
    </row>
    <row r="2593" spans="1:4" x14ac:dyDescent="0.2">
      <c r="A2593" s="5">
        <v>2532</v>
      </c>
      <c r="B2593" s="138">
        <f>'Acct Summary 7-8'!F6</f>
        <v>169318</v>
      </c>
      <c r="C2593" s="2" t="s">
        <v>573</v>
      </c>
      <c r="D2593" s="2" t="str">
        <f t="shared" si="39"/>
        <v>Error?</v>
      </c>
    </row>
    <row r="2594" spans="1:4" x14ac:dyDescent="0.2">
      <c r="A2594" s="5">
        <v>2533</v>
      </c>
      <c r="B2594" s="138">
        <f>'Acct Summary 7-8'!F7</f>
        <v>1083</v>
      </c>
      <c r="C2594" s="2" t="s">
        <v>573</v>
      </c>
      <c r="D2594" s="2" t="str">
        <f t="shared" si="39"/>
        <v>Error?</v>
      </c>
    </row>
    <row r="2595" spans="1:4" x14ac:dyDescent="0.2">
      <c r="A2595" s="5">
        <v>2534</v>
      </c>
      <c r="B2595" s="138">
        <f>'Acct Summary 7-8'!F8</f>
        <v>406389</v>
      </c>
      <c r="C2595" s="2" t="s">
        <v>573</v>
      </c>
      <c r="D2595" s="2" t="str">
        <f t="shared" si="39"/>
        <v>Error?</v>
      </c>
    </row>
    <row r="2596" spans="1:4" x14ac:dyDescent="0.2">
      <c r="A2596" s="5">
        <v>2535</v>
      </c>
      <c r="B2596" s="138">
        <f>'Acct Summary 7-8'!F13</f>
        <v>299857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299857</v>
      </c>
      <c r="C2600" s="2" t="s">
        <v>573</v>
      </c>
      <c r="D2600" s="2" t="str">
        <f t="shared" si="39"/>
        <v>Error?</v>
      </c>
    </row>
    <row r="2601" spans="1:4" x14ac:dyDescent="0.2">
      <c r="A2601" s="5">
        <v>2540</v>
      </c>
      <c r="B2601" s="138">
        <f>'Acct Summary 7-8'!F20</f>
        <v>106532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278393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278393</v>
      </c>
      <c r="C2606" s="2" t="s">
        <v>573</v>
      </c>
      <c r="D2606" s="2" t="str">
        <f t="shared" si="39"/>
        <v>Error?</v>
      </c>
    </row>
    <row r="2607" spans="1:4" x14ac:dyDescent="0.2">
      <c r="A2607" s="5">
        <v>2546</v>
      </c>
      <c r="B2607" s="138">
        <f>'Acct Summary 7-8'!G12</f>
        <v>86097</v>
      </c>
      <c r="C2607" s="2" t="s">
        <v>573</v>
      </c>
      <c r="D2607" s="2" t="str">
        <f t="shared" si="39"/>
        <v>Error?</v>
      </c>
    </row>
    <row r="2608" spans="1:4" x14ac:dyDescent="0.2">
      <c r="A2608" s="5">
        <v>2547</v>
      </c>
      <c r="B2608" s="138">
        <f>'Acct Summary 7-8'!G13</f>
        <v>135962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222059</v>
      </c>
      <c r="C2612" s="2" t="s">
        <v>573</v>
      </c>
      <c r="D2612" s="2" t="str">
        <f t="shared" si="39"/>
        <v>Error?</v>
      </c>
    </row>
    <row r="2613" spans="1:4" x14ac:dyDescent="0.2">
      <c r="A2613" s="5">
        <v>2552</v>
      </c>
      <c r="B2613" s="138">
        <f>'Acct Summary 7-8'!G20</f>
        <v>56334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202299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221012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215700</v>
      </c>
      <c r="C2634" s="2" t="s">
        <v>573</v>
      </c>
      <c r="D2634" s="2" t="str">
        <f t="shared" si="40"/>
        <v>Error?</v>
      </c>
    </row>
    <row r="2635" spans="1:4" x14ac:dyDescent="0.2">
      <c r="A2635" s="5">
        <v>2574</v>
      </c>
      <c r="B2635" s="138">
        <f>'Acct Summary 7-8'!E17</f>
        <v>215700</v>
      </c>
      <c r="C2635" s="2" t="s">
        <v>573</v>
      </c>
      <c r="D2635" s="2" t="str">
        <f t="shared" si="40"/>
        <v>Error?</v>
      </c>
    </row>
    <row r="2636" spans="1:4" x14ac:dyDescent="0.2">
      <c r="A2636" s="5">
        <v>2575</v>
      </c>
      <c r="B2636" s="138">
        <f>'Acct Summary 7-8'!E20</f>
        <v>5312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180739</v>
      </c>
      <c r="C2655" s="2" t="s">
        <v>573</v>
      </c>
      <c r="D2655" s="2" t="str">
        <f t="shared" si="40"/>
        <v>Error?</v>
      </c>
    </row>
    <row r="2656" spans="1:4" x14ac:dyDescent="0.2">
      <c r="A2656" s="5">
        <v>2595</v>
      </c>
      <c r="B2656" s="138">
        <f>'Acct Summary 7-8'!H6</f>
        <v>593322</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774061</v>
      </c>
      <c r="C2658" s="2" t="s">
        <v>573</v>
      </c>
      <c r="D2658" s="2" t="str">
        <f t="shared" si="40"/>
        <v>Error?</v>
      </c>
    </row>
    <row r="2659" spans="1:4" x14ac:dyDescent="0.2">
      <c r="A2659" s="5">
        <v>2598</v>
      </c>
      <c r="B2659" s="138">
        <f>'Acct Summary 7-8'!H13</f>
        <v>62172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62172</v>
      </c>
      <c r="C2661" s="2" t="s">
        <v>573</v>
      </c>
      <c r="D2661" s="2" t="str">
        <f t="shared" si="40"/>
        <v>Error?</v>
      </c>
    </row>
    <row r="2662" spans="1:4" x14ac:dyDescent="0.2">
      <c r="A2662" s="5">
        <v>2601</v>
      </c>
      <c r="B2662" s="138">
        <f>'Acct Summary 7-8'!H20</f>
        <v>711889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86816</v>
      </c>
      <c r="C2789" s="2" t="s">
        <v>573</v>
      </c>
      <c r="D2789" s="2" t="str">
        <f t="shared" si="42"/>
        <v>Error?</v>
      </c>
    </row>
    <row r="2790" spans="1:4" x14ac:dyDescent="0.2">
      <c r="A2790" s="5">
        <v>2729</v>
      </c>
      <c r="B2790" s="138">
        <f>'Expenditures 15-22'!E102</f>
        <v>86816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923174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354763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923174</v>
      </c>
      <c r="D2912" s="2" t="str">
        <f t="shared" si="44"/>
        <v>Error?</v>
      </c>
    </row>
    <row r="2913" spans="1:4" x14ac:dyDescent="0.2">
      <c r="A2913" s="5">
        <v>2852</v>
      </c>
      <c r="B2913" s="138">
        <f>'Assets-Liab 5-6'!I41</f>
        <v>923174</v>
      </c>
      <c r="C2913" s="2" t="s">
        <v>573</v>
      </c>
      <c r="D2913" s="2" t="str">
        <f t="shared" si="44"/>
        <v>Error?</v>
      </c>
    </row>
    <row r="2914" spans="1:4" x14ac:dyDescent="0.2">
      <c r="A2914" s="5">
        <v>2853</v>
      </c>
      <c r="B2914" s="138">
        <f>'Assets-Liab 5-6'!L33</f>
        <v>354763</v>
      </c>
      <c r="D2914" s="2" t="str">
        <f t="shared" si="44"/>
        <v>Error?</v>
      </c>
    </row>
    <row r="2915" spans="1:4" x14ac:dyDescent="0.2">
      <c r="A2915" s="10">
        <v>2854</v>
      </c>
      <c r="D2915" s="2" t="str">
        <f t="shared" si="44"/>
        <v>OK</v>
      </c>
    </row>
    <row r="2916" spans="1:4" x14ac:dyDescent="0.2">
      <c r="A2916" s="5">
        <v>2855</v>
      </c>
      <c r="B2916" s="138">
        <f>'Assets-Liab 5-6'!L34</f>
        <v>354763</v>
      </c>
      <c r="C2916" s="2" t="s">
        <v>573</v>
      </c>
      <c r="D2916" s="2" t="str">
        <f t="shared" si="44"/>
        <v>Error?</v>
      </c>
    </row>
    <row r="2917" spans="1:4" x14ac:dyDescent="0.2">
      <c r="A2917" s="5">
        <v>2856</v>
      </c>
      <c r="B2917" s="138">
        <f>'Assets-Liab 5-6'!L41</f>
        <v>354763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55167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7404</v>
      </c>
      <c r="D2953" s="2" t="str">
        <f t="shared" si="45"/>
        <v>Error?</v>
      </c>
    </row>
    <row r="2954" spans="1:4" x14ac:dyDescent="0.2">
      <c r="A2954" s="5">
        <v>2893</v>
      </c>
      <c r="B2954" s="138">
        <f>'Expenditures 15-22'!E83</f>
        <v>24245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109178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55167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7404</v>
      </c>
      <c r="C2977" s="2" t="s">
        <v>573</v>
      </c>
      <c r="D2977" s="2" t="str">
        <f t="shared" si="45"/>
        <v>Error?</v>
      </c>
    </row>
    <row r="2978" spans="1:4" x14ac:dyDescent="0.2">
      <c r="A2978" s="5">
        <v>2917</v>
      </c>
      <c r="B2978" s="138">
        <f>'Expenditures 15-22'!K83</f>
        <v>133423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89187</v>
      </c>
      <c r="D3055" s="2" t="str">
        <f t="shared" si="46"/>
        <v>Error?</v>
      </c>
    </row>
    <row r="3056" spans="1:4" x14ac:dyDescent="0.2">
      <c r="A3056" s="5">
        <v>2995</v>
      </c>
      <c r="B3056" s="138">
        <f>'Expenditures 15-22'!D10</f>
        <v>19089</v>
      </c>
      <c r="D3056" s="2" t="str">
        <f t="shared" si="46"/>
        <v>Error?</v>
      </c>
    </row>
    <row r="3057" spans="1:4" x14ac:dyDescent="0.2">
      <c r="A3057" s="5">
        <v>2996</v>
      </c>
      <c r="B3057" s="138">
        <f>'Expenditures 15-22'!E10</f>
        <v>12481</v>
      </c>
      <c r="D3057" s="2" t="str">
        <f t="shared" si="46"/>
        <v>Error?</v>
      </c>
    </row>
    <row r="3058" spans="1:4" x14ac:dyDescent="0.2">
      <c r="A3058" s="5">
        <v>2997</v>
      </c>
      <c r="B3058" s="138">
        <f>'Expenditures 15-22'!F10</f>
        <v>55451</v>
      </c>
      <c r="D3058" s="2" t="str">
        <f t="shared" si="46"/>
        <v>Error?</v>
      </c>
    </row>
    <row r="3059" spans="1:4" x14ac:dyDescent="0.2">
      <c r="A3059" s="5">
        <v>2998</v>
      </c>
      <c r="B3059" s="138">
        <f>'Expenditures 15-22'!G10</f>
        <v>3329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179537</v>
      </c>
      <c r="C3062" s="2" t="s">
        <v>573</v>
      </c>
      <c r="D3062" s="2" t="str">
        <f t="shared" si="46"/>
        <v>Error?</v>
      </c>
    </row>
    <row r="3063" spans="1:4" x14ac:dyDescent="0.2">
      <c r="A3063" s="10">
        <v>3002</v>
      </c>
      <c r="D3063" s="2" t="str">
        <f t="shared" si="46"/>
        <v>OK</v>
      </c>
    </row>
    <row r="3064" spans="1:4" x14ac:dyDescent="0.2">
      <c r="A3064" s="5">
        <v>3003</v>
      </c>
      <c r="B3064" s="138">
        <f>'Expenditures 15-22'!D219</f>
        <v>15023</v>
      </c>
      <c r="D3064" s="2" t="str">
        <f t="shared" si="46"/>
        <v>Error?</v>
      </c>
    </row>
    <row r="3065" spans="1:4" x14ac:dyDescent="0.2">
      <c r="A3065" s="5">
        <v>3004</v>
      </c>
      <c r="B3065" s="138">
        <f>'Expenditures 15-22'!K219</f>
        <v>15023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78754</v>
      </c>
      <c r="C3225" s="2" t="s">
        <v>573</v>
      </c>
      <c r="D3225" s="2" t="str">
        <f t="shared" si="49"/>
        <v>Error?</v>
      </c>
    </row>
    <row r="3226" spans="1:4" x14ac:dyDescent="0.2">
      <c r="A3226" s="5">
        <v>3165</v>
      </c>
      <c r="B3226" s="138">
        <f>'Acct Summary 7-8'!I8</f>
        <v>78754</v>
      </c>
      <c r="C3226" s="2" t="s">
        <v>573</v>
      </c>
      <c r="D3226" s="2" t="str">
        <f t="shared" si="49"/>
        <v>Error?</v>
      </c>
    </row>
    <row r="3227" spans="1:4" x14ac:dyDescent="0.2">
      <c r="A3227" s="5">
        <v>3166</v>
      </c>
      <c r="B3227" s="138">
        <f>'Acct Summary 7-8'!I20</f>
        <v>78754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409061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174273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106532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56334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5312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711889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78754</v>
      </c>
      <c r="C3320" s="2" t="s">
        <v>573</v>
      </c>
      <c r="D3320" s="2" t="str">
        <f t="shared" si="50"/>
        <v>Error?</v>
      </c>
    </row>
    <row r="3321" spans="1:4" x14ac:dyDescent="0.2">
      <c r="A3321" s="5">
        <v>3260</v>
      </c>
      <c r="B3321" s="138">
        <f>'Acct Summary 7-8'!I79</f>
        <v>844420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923174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456094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103145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564185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23116</v>
      </c>
      <c r="D3387" s="2" t="str">
        <f t="shared" si="51"/>
        <v>Error?</v>
      </c>
    </row>
    <row r="3388" spans="1:4" x14ac:dyDescent="0.2">
      <c r="A3388" s="5">
        <v>3327</v>
      </c>
      <c r="B3388" s="138">
        <f>'Expenditures 15-22'!D217</f>
        <v>27966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23116</v>
      </c>
      <c r="C3390" s="2" t="s">
        <v>573</v>
      </c>
      <c r="D3390" s="2" t="str">
        <f t="shared" si="51"/>
        <v>Error?</v>
      </c>
    </row>
    <row r="3391" spans="1:4" x14ac:dyDescent="0.2">
      <c r="A3391" s="5">
        <v>3330</v>
      </c>
      <c r="B3391" s="138">
        <f>'Expenditures 15-22'!K217</f>
        <v>27966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3379354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792811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119087</v>
      </c>
      <c r="D3417" s="2" t="str">
        <f t="shared" si="52"/>
        <v>Error?</v>
      </c>
    </row>
    <row r="3418" spans="1:4" x14ac:dyDescent="0.2">
      <c r="A3418" s="10">
        <v>3357</v>
      </c>
      <c r="D3418" s="2" t="str">
        <f t="shared" si="52"/>
        <v>OK</v>
      </c>
    </row>
    <row r="3419" spans="1:4" x14ac:dyDescent="0.2">
      <c r="A3419" s="5">
        <v>3358</v>
      </c>
      <c r="B3419" s="138">
        <f>'Assets-Liab 5-6'!F4</f>
        <v>802739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251103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765469</v>
      </c>
      <c r="D3425" s="2" t="str">
        <f t="shared" si="52"/>
        <v>Error?</v>
      </c>
    </row>
    <row r="3426" spans="1:4" x14ac:dyDescent="0.2">
      <c r="A3426" s="10">
        <v>3365</v>
      </c>
      <c r="D3426" s="2" t="str">
        <f t="shared" si="52"/>
        <v>OK</v>
      </c>
    </row>
    <row r="3427" spans="1:4" x14ac:dyDescent="0.2">
      <c r="A3427" s="5">
        <v>3366</v>
      </c>
      <c r="B3427" s="138">
        <f>'Assets-Liab 5-6'!I4</f>
        <v>923174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354763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126947</v>
      </c>
      <c r="C3446" s="2" t="s">
        <v>573</v>
      </c>
      <c r="D3446" s="2" t="str">
        <f t="shared" si="52"/>
        <v>Error?</v>
      </c>
    </row>
    <row r="3447" spans="1:4" x14ac:dyDescent="0.2">
      <c r="A3447" s="5">
        <v>3386</v>
      </c>
      <c r="B3447" s="138">
        <f>'Tax Sched 23'!D16</f>
        <v>126947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141172</v>
      </c>
      <c r="C3449" s="2" t="s">
        <v>573</v>
      </c>
      <c r="D3449" s="2" t="str">
        <f t="shared" si="52"/>
        <v>Error?</v>
      </c>
    </row>
    <row r="3450" spans="1:4" x14ac:dyDescent="0.2">
      <c r="A3450" s="5">
        <v>3389</v>
      </c>
      <c r="B3450" s="138">
        <f>'Tax Sched 23'!E16</f>
        <v>141172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199554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199554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199554</v>
      </c>
      <c r="D3567" s="2" t="str">
        <f t="shared" si="54"/>
        <v>Error?</v>
      </c>
    </row>
    <row r="3568" spans="1:4" x14ac:dyDescent="0.2">
      <c r="A3568" s="5">
        <v>3507</v>
      </c>
      <c r="B3568" s="138">
        <f>'Assets-Liab 5-6'!K41</f>
        <v>199554</v>
      </c>
      <c r="C3568" s="2" t="s">
        <v>573</v>
      </c>
      <c r="D3568" s="2" t="str">
        <f t="shared" si="54"/>
        <v>Error?</v>
      </c>
    </row>
    <row r="3569" spans="1:4" x14ac:dyDescent="0.2">
      <c r="A3569" s="5">
        <v>3508</v>
      </c>
      <c r="B3569" s="138">
        <f>'Acct Summary 7-8'!K4</f>
        <v>59987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59987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59987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59987</v>
      </c>
      <c r="C3588" s="2" t="s">
        <v>573</v>
      </c>
      <c r="D3588" s="2" t="str">
        <f t="shared" si="55"/>
        <v>Error?</v>
      </c>
    </row>
    <row r="3589" spans="1:4" x14ac:dyDescent="0.2">
      <c r="A3589" s="5">
        <v>3528</v>
      </c>
      <c r="B3589" s="138">
        <f>'Acct Summary 7-8'!K79</f>
        <v>139567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199554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59987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87004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358637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6739254</v>
      </c>
      <c r="C4122" s="2" t="s">
        <v>573</v>
      </c>
      <c r="D4122" s="2" t="str">
        <f t="shared" si="63"/>
        <v>Error?</v>
      </c>
    </row>
    <row r="4123" spans="1:4" x14ac:dyDescent="0.2">
      <c r="A4123" s="5">
        <v>4062</v>
      </c>
      <c r="B4123" s="138">
        <f>'Acct Summary 7-8'!D10</f>
        <v>696096</v>
      </c>
      <c r="C4123" s="2" t="s">
        <v>573</v>
      </c>
      <c r="D4123" s="2" t="str">
        <f t="shared" si="63"/>
        <v>Error?</v>
      </c>
    </row>
    <row r="4124" spans="1:4" x14ac:dyDescent="0.2">
      <c r="A4124" s="5">
        <v>4063</v>
      </c>
      <c r="B4124" s="138">
        <f>'Acct Summary 7-8'!E10</f>
        <v>221012</v>
      </c>
      <c r="C4124" s="2" t="s">
        <v>573</v>
      </c>
      <c r="D4124" s="2" t="str">
        <f t="shared" si="63"/>
        <v>Error?</v>
      </c>
    </row>
    <row r="4125" spans="1:4" x14ac:dyDescent="0.2">
      <c r="A4125" s="5">
        <v>4064</v>
      </c>
      <c r="B4125" s="138">
        <f>'Acct Summary 7-8'!F10</f>
        <v>406389</v>
      </c>
      <c r="C4125" s="2" t="s">
        <v>573</v>
      </c>
      <c r="D4125" s="2" t="str">
        <f t="shared" si="63"/>
        <v>Error?</v>
      </c>
    </row>
    <row r="4126" spans="1:4" x14ac:dyDescent="0.2">
      <c r="A4126" s="5">
        <v>4065</v>
      </c>
      <c r="B4126" s="138">
        <f>'Acct Summary 7-8'!G10</f>
        <v>278393</v>
      </c>
      <c r="C4126" s="2" t="s">
        <v>573</v>
      </c>
      <c r="D4126" s="2" t="str">
        <f t="shared" si="63"/>
        <v>Error?</v>
      </c>
    </row>
    <row r="4127" spans="1:4" x14ac:dyDescent="0.2">
      <c r="A4127" s="5">
        <v>4066</v>
      </c>
      <c r="B4127" s="138">
        <f>'Acct Summary 7-8'!H10</f>
        <v>774061</v>
      </c>
      <c r="C4127" s="2" t="s">
        <v>573</v>
      </c>
      <c r="D4127" s="2" t="str">
        <f t="shared" si="63"/>
        <v>Error?</v>
      </c>
    </row>
    <row r="4128" spans="1:4" x14ac:dyDescent="0.2">
      <c r="A4128" s="5">
        <v>4067</v>
      </c>
      <c r="B4128" s="138">
        <f>'Acct Summary 7-8'!I10</f>
        <v>78754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59987</v>
      </c>
      <c r="C4130" s="2" t="s">
        <v>573</v>
      </c>
      <c r="D4130" s="2" t="str">
        <f t="shared" si="63"/>
        <v>Error?</v>
      </c>
    </row>
    <row r="4131" spans="1:4" x14ac:dyDescent="0.2">
      <c r="A4131" s="5">
        <v>4070</v>
      </c>
      <c r="B4131" s="138">
        <f>'Acct Summary 7-8'!C18</f>
        <v>358637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6330193</v>
      </c>
      <c r="C4136" s="2" t="s">
        <v>573</v>
      </c>
      <c r="D4136" s="2" t="str">
        <f t="shared" si="63"/>
        <v>Error?</v>
      </c>
    </row>
    <row r="4137" spans="1:4" x14ac:dyDescent="0.2">
      <c r="A4137" s="5">
        <v>4076</v>
      </c>
      <c r="B4137" s="138">
        <f>'Acct Summary 7-8'!D19</f>
        <v>521823</v>
      </c>
      <c r="C4137" s="2" t="s">
        <v>573</v>
      </c>
      <c r="D4137" s="2" t="str">
        <f t="shared" si="63"/>
        <v>Error?</v>
      </c>
    </row>
    <row r="4138" spans="1:4" x14ac:dyDescent="0.2">
      <c r="A4138" s="5">
        <v>4077</v>
      </c>
      <c r="B4138" s="138">
        <f>'Acct Summary 7-8'!E19</f>
        <v>215700</v>
      </c>
      <c r="C4138" s="2" t="s">
        <v>573</v>
      </c>
      <c r="D4138" s="2" t="str">
        <f t="shared" si="63"/>
        <v>Error?</v>
      </c>
    </row>
    <row r="4139" spans="1:4" x14ac:dyDescent="0.2">
      <c r="A4139" s="5">
        <v>4078</v>
      </c>
      <c r="B4139" s="138">
        <f>'Acct Summary 7-8'!F19</f>
        <v>299857</v>
      </c>
      <c r="C4139" s="2" t="s">
        <v>573</v>
      </c>
      <c r="D4139" s="2" t="str">
        <f t="shared" si="63"/>
        <v>Error?</v>
      </c>
    </row>
    <row r="4140" spans="1:4" x14ac:dyDescent="0.2">
      <c r="A4140" s="5">
        <v>4079</v>
      </c>
      <c r="B4140" s="138">
        <f>'Acct Summary 7-8'!G19</f>
        <v>222059</v>
      </c>
      <c r="C4140" s="2" t="s">
        <v>573</v>
      </c>
      <c r="D4140" s="2" t="str">
        <f t="shared" si="63"/>
        <v>Error?</v>
      </c>
    </row>
    <row r="4141" spans="1:4" x14ac:dyDescent="0.2">
      <c r="A4141" s="5">
        <v>4080</v>
      </c>
      <c r="B4141" s="138">
        <f>'Acct Summary 7-8'!H19</f>
        <v>62172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747053</v>
      </c>
      <c r="C4171" s="2" t="s">
        <v>573</v>
      </c>
      <c r="D4171" s="2" t="str">
        <f t="shared" si="64"/>
        <v>Error?</v>
      </c>
    </row>
    <row r="4172" spans="1:4" x14ac:dyDescent="0.2">
      <c r="A4172" s="5">
        <v>4111</v>
      </c>
      <c r="B4172" s="138">
        <f>'Short-Term Long-Term Debt 24'!J49</f>
        <v>627966</v>
      </c>
      <c r="C4172" s="2" t="s">
        <v>573</v>
      </c>
      <c r="D4172" s="2" t="str">
        <f t="shared" si="64"/>
        <v>Error?</v>
      </c>
    </row>
    <row r="4173" spans="1:4" x14ac:dyDescent="0.2">
      <c r="A4173" s="5">
        <v>4112</v>
      </c>
      <c r="B4173" s="138">
        <f>'Short-Term Long-Term Debt 24'!H49</f>
        <v>90964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1353.6</v>
      </c>
      <c r="C4265" s="2" t="s">
        <v>573</v>
      </c>
      <c r="D4265" s="2" t="str">
        <f t="shared" si="65"/>
        <v>Error?</v>
      </c>
      <c r="E4265" s="128"/>
    </row>
    <row r="4266" spans="1:5" x14ac:dyDescent="0.2">
      <c r="A4266" s="12">
        <v>4205</v>
      </c>
      <c r="B4266" s="138">
        <f>('FP Info 3'!F10)*100000</f>
        <v>228.20000000000002</v>
      </c>
      <c r="C4266" s="2" t="s">
        <v>573</v>
      </c>
      <c r="D4266" s="2" t="str">
        <f t="shared" si="65"/>
        <v>Error?</v>
      </c>
      <c r="E4266" s="128"/>
    </row>
    <row r="4267" spans="1:5" x14ac:dyDescent="0.2">
      <c r="A4267" s="12">
        <v>4206</v>
      </c>
      <c r="B4267" s="138">
        <f>('FP Info 3'!H10)*100000</f>
        <v>144.19999999999999</v>
      </c>
      <c r="C4267" s="2" t="s">
        <v>573</v>
      </c>
      <c r="D4267" s="2" t="str">
        <f t="shared" si="65"/>
        <v>Error?</v>
      </c>
      <c r="E4267" s="128"/>
    </row>
    <row r="4268" spans="1:5" x14ac:dyDescent="0.2">
      <c r="A4268" s="12">
        <v>4207</v>
      </c>
      <c r="B4268" s="138">
        <f>('FP Info 3'!J10)*100000</f>
        <v>1726</v>
      </c>
      <c r="C4268" s="2" t="s">
        <v>573</v>
      </c>
      <c r="D4268" s="2" t="str">
        <f t="shared" si="65"/>
        <v>Error?</v>
      </c>
    </row>
    <row r="4269" spans="1:5" x14ac:dyDescent="0.2">
      <c r="A4269" s="12">
        <v>4208</v>
      </c>
      <c r="B4269" s="138">
        <f>'FP Info 3'!J16</f>
        <v>5898078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24859</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23136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15815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2286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9831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9831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96987</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1083</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118787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1083</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28531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18713</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18713</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287365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166667174</v>
      </c>
      <c r="D4995" s="2" t="str">
        <f t="shared" si="77"/>
        <v>Error?</v>
      </c>
    </row>
    <row r="4996" spans="1:4" x14ac:dyDescent="0.2">
      <c r="A4996" s="12">
        <v>4935</v>
      </c>
      <c r="B4996" s="138">
        <f>'FP Info 3'!H31</f>
        <v>11500035.006000001</v>
      </c>
      <c r="D4996" s="2" t="str">
        <f t="shared" si="77"/>
        <v>Error?</v>
      </c>
    </row>
    <row r="4997" spans="1:4" x14ac:dyDescent="0.2">
      <c r="A4997" s="12">
        <v>4936</v>
      </c>
      <c r="B4997" s="138">
        <f>'FP Info 3'!H37</f>
        <v>747053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2137795</v>
      </c>
      <c r="D5061" s="2" t="str">
        <f t="shared" si="78"/>
        <v>Error?</v>
      </c>
    </row>
    <row r="5062" spans="1:4" x14ac:dyDescent="0.2">
      <c r="A5062" s="10">
        <v>5001</v>
      </c>
      <c r="D5062" s="2" t="str">
        <f t="shared" si="78"/>
        <v>OK</v>
      </c>
    </row>
    <row r="5063" spans="1:4" x14ac:dyDescent="0.2">
      <c r="A5063" s="5">
        <v>5002</v>
      </c>
      <c r="B5063" s="138">
        <f>'Revenues 9-14'!C7</f>
        <v>30287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2168082</v>
      </c>
      <c r="C5066" s="2" t="s">
        <v>573</v>
      </c>
      <c r="D5066" s="2" t="str">
        <f t="shared" si="78"/>
        <v>Error?</v>
      </c>
    </row>
    <row r="5067" spans="1:4" x14ac:dyDescent="0.2">
      <c r="A5067" s="5">
        <v>5006</v>
      </c>
      <c r="B5067" s="138">
        <f>'Revenues 9-14'!C14</f>
        <v>5892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198248</v>
      </c>
      <c r="D5069" s="2" t="str">
        <f t="shared" si="78"/>
        <v>Error?</v>
      </c>
    </row>
    <row r="5070" spans="1:4" x14ac:dyDescent="0.2">
      <c r="A5070" s="5">
        <v>5009</v>
      </c>
      <c r="B5070" s="138">
        <f>'Revenues 9-14'!C17</f>
        <v>475103</v>
      </c>
      <c r="D5070" s="2" t="str">
        <f t="shared" si="78"/>
        <v>Error?</v>
      </c>
    </row>
    <row r="5071" spans="1:4" x14ac:dyDescent="0.2">
      <c r="A5071" s="5">
        <v>5010</v>
      </c>
      <c r="B5071" s="138">
        <f>'Revenues 9-14'!C18</f>
        <v>679243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33669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33669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3914</v>
      </c>
      <c r="D5094" s="2" t="str">
        <f t="shared" si="78"/>
        <v>Error?</v>
      </c>
    </row>
    <row r="5095" spans="1:4" x14ac:dyDescent="0.2">
      <c r="A5095" s="5">
        <v>5034</v>
      </c>
      <c r="B5095" s="138">
        <f>'Revenues 9-14'!C74</f>
        <v>132</v>
      </c>
      <c r="D5095" s="2" t="str">
        <f t="shared" si="78"/>
        <v>Error?</v>
      </c>
    </row>
    <row r="5096" spans="1:4" x14ac:dyDescent="0.2">
      <c r="A5096" s="5">
        <v>5035</v>
      </c>
      <c r="B5096" s="138">
        <f>'Revenues 9-14'!C75</f>
        <v>53019</v>
      </c>
      <c r="C5096" s="2" t="s">
        <v>573</v>
      </c>
      <c r="D5096" s="2" t="str">
        <f t="shared" si="78"/>
        <v>Error?</v>
      </c>
    </row>
    <row r="5097" spans="1:4" x14ac:dyDescent="0.2">
      <c r="A5097" s="5">
        <v>5036</v>
      </c>
      <c r="B5097" s="138">
        <f>'Revenues 9-14'!C77</f>
        <v>46632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50552</v>
      </c>
      <c r="C5102" s="2" t="s">
        <v>573</v>
      </c>
      <c r="D5102" s="2" t="str">
        <f t="shared" si="78"/>
        <v>Error?</v>
      </c>
    </row>
    <row r="5103" spans="1:4" x14ac:dyDescent="0.2">
      <c r="A5103" s="5">
        <v>5042</v>
      </c>
      <c r="B5103" s="138">
        <f>'Revenues 9-14'!C84</f>
        <v>13170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13170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7557</v>
      </c>
      <c r="C5120" s="2" t="s">
        <v>573</v>
      </c>
      <c r="D5120" s="2" t="str">
        <f t="shared" si="79"/>
        <v>Error?</v>
      </c>
    </row>
    <row r="5121" spans="1:4" x14ac:dyDescent="0.2">
      <c r="A5121" s="5">
        <v>5060</v>
      </c>
      <c r="B5121" s="138">
        <f>'Revenues 9-14'!C109</f>
        <v>3005292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2373288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2373288</v>
      </c>
      <c r="C5132" s="2" t="s">
        <v>573</v>
      </c>
      <c r="D5132" s="2" t="str">
        <f t="shared" si="79"/>
        <v>Error?</v>
      </c>
    </row>
    <row r="5133" spans="1:4" x14ac:dyDescent="0.2">
      <c r="A5133" s="5">
        <v>5072</v>
      </c>
      <c r="B5133" s="138">
        <f>'Revenues 9-14'!C125</f>
        <v>8491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15174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23665</v>
      </c>
      <c r="C5147" s="2" t="s">
        <v>573</v>
      </c>
      <c r="D5147" s="2" t="str">
        <f t="shared" si="79"/>
        <v>Error?</v>
      </c>
    </row>
    <row r="5148" spans="1:4" x14ac:dyDescent="0.2">
      <c r="A5148" s="5">
        <v>5087</v>
      </c>
      <c r="B5148" s="138">
        <f>'Revenues 9-14'!C134</f>
        <v>32112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35013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1740</v>
      </c>
      <c r="D5167" s="2" t="str">
        <f t="shared" si="79"/>
        <v>Error?</v>
      </c>
    </row>
    <row r="5168" spans="1:4" x14ac:dyDescent="0.2">
      <c r="A5168" s="5">
        <v>5107</v>
      </c>
      <c r="B5168" s="138">
        <f>'Revenues 9-14'!C148</f>
        <v>23583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371366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2744654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91657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15954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107611</v>
      </c>
      <c r="C5246" s="2" t="s">
        <v>573</v>
      </c>
      <c r="D5246" s="2" t="str">
        <f t="shared" si="80"/>
        <v>Error?</v>
      </c>
    </row>
    <row r="5247" spans="1:4" x14ac:dyDescent="0.2">
      <c r="A5247" s="5">
        <v>5186</v>
      </c>
      <c r="B5247" s="138">
        <f>'Revenues 9-14'!C200</f>
        <v>247102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21800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271961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32454</v>
      </c>
      <c r="D5278" s="2" t="str">
        <f t="shared" si="81"/>
        <v>Error?</v>
      </c>
    </row>
    <row r="5279" spans="1:4" x14ac:dyDescent="0.2">
      <c r="A5279" s="5">
        <v>5218</v>
      </c>
      <c r="B5279" s="138">
        <f>'Revenues 9-14'!C214</f>
        <v>264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32718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19995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43131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630671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630671</v>
      </c>
      <c r="C5326" s="2" t="s">
        <v>573</v>
      </c>
      <c r="D5326" s="2" t="str">
        <f t="shared" si="82"/>
        <v>Error?</v>
      </c>
    </row>
    <row r="5327" spans="1:5" x14ac:dyDescent="0.2">
      <c r="A5327" s="5">
        <v>5266</v>
      </c>
      <c r="B5327" s="138">
        <f>'Revenues 9-14'!C268</f>
        <v>6380617</v>
      </c>
      <c r="C5327" s="2" t="s">
        <v>573</v>
      </c>
      <c r="D5327" s="2" t="str">
        <f t="shared" si="82"/>
        <v>Error?</v>
      </c>
    </row>
    <row r="5328" spans="1:5" x14ac:dyDescent="0.2">
      <c r="A5328" s="5">
        <v>5267</v>
      </c>
      <c r="B5328" s="138">
        <f>'Revenues 9-14'!D5</f>
        <v>360393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360393</v>
      </c>
      <c r="C5334" s="2" t="s">
        <v>573</v>
      </c>
      <c r="D5334" s="2" t="str">
        <f t="shared" si="82"/>
        <v>Error?</v>
      </c>
    </row>
    <row r="5335" spans="1:4" x14ac:dyDescent="0.2">
      <c r="A5335" s="5">
        <v>5274</v>
      </c>
      <c r="B5335" s="138">
        <f>'Revenues 9-14'!D14</f>
        <v>993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23209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24202</v>
      </c>
      <c r="C5339" s="2" t="s">
        <v>573</v>
      </c>
      <c r="D5339" s="2" t="str">
        <f t="shared" si="82"/>
        <v>Error?</v>
      </c>
    </row>
    <row r="5340" spans="1:4" x14ac:dyDescent="0.2">
      <c r="A5340" s="5">
        <v>5279</v>
      </c>
      <c r="B5340" s="138">
        <f>'Revenues 9-14'!D65</f>
        <v>4904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4904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9936</v>
      </c>
      <c r="D5354" s="2" t="str">
        <f t="shared" si="82"/>
        <v>Error?</v>
      </c>
    </row>
    <row r="5355" spans="1:4" x14ac:dyDescent="0.2">
      <c r="A5355" s="5">
        <v>5294</v>
      </c>
      <c r="B5355" s="138">
        <f>'Revenues 9-14'!D108</f>
        <v>9936</v>
      </c>
      <c r="C5355" s="2" t="s">
        <v>573</v>
      </c>
      <c r="D5355" s="2" t="str">
        <f t="shared" si="82"/>
        <v>Error?</v>
      </c>
    </row>
    <row r="5356" spans="1:4" x14ac:dyDescent="0.2">
      <c r="A5356" s="5">
        <v>5295</v>
      </c>
      <c r="B5356" s="138">
        <f>'Revenues 9-14'!D109</f>
        <v>399435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296661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296661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296661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696096</v>
      </c>
      <c r="C5508" s="2" t="s">
        <v>573</v>
      </c>
      <c r="D5508" s="2" t="str">
        <f t="shared" si="85"/>
        <v>Error?</v>
      </c>
    </row>
    <row r="5509" spans="1:4" x14ac:dyDescent="0.2">
      <c r="A5509" s="5">
        <v>5448</v>
      </c>
      <c r="B5509" s="138">
        <f>'Revenues 9-14'!E5</f>
        <v>143344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143344</v>
      </c>
      <c r="C5513" s="2" t="s">
        <v>573</v>
      </c>
      <c r="D5513" s="2" t="str">
        <f t="shared" si="85"/>
        <v>Error?</v>
      </c>
    </row>
    <row r="5514" spans="1:4" x14ac:dyDescent="0.2">
      <c r="A5514" s="5">
        <v>5453</v>
      </c>
      <c r="B5514" s="138">
        <f>'Revenues 9-14'!E14</f>
        <v>395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632</v>
      </c>
      <c r="D5517" s="2" t="str">
        <f t="shared" si="85"/>
        <v>Error?</v>
      </c>
    </row>
    <row r="5518" spans="1:4" x14ac:dyDescent="0.2">
      <c r="A5518" s="5">
        <v>5457</v>
      </c>
      <c r="B5518" s="138">
        <f>'Revenues 9-14'!E18</f>
        <v>1027</v>
      </c>
      <c r="C5518" s="2" t="s">
        <v>573</v>
      </c>
      <c r="D5518" s="2" t="str">
        <f t="shared" si="85"/>
        <v>Error?</v>
      </c>
    </row>
    <row r="5519" spans="1:4" x14ac:dyDescent="0.2">
      <c r="A5519" s="5">
        <v>5458</v>
      </c>
      <c r="B5519" s="138">
        <f>'Revenues 9-14'!E65</f>
        <v>927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927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57001</v>
      </c>
      <c r="C5526" s="2" t="s">
        <v>573</v>
      </c>
      <c r="D5526" s="2" t="str">
        <f t="shared" si="85"/>
        <v>Error?</v>
      </c>
    </row>
    <row r="5527" spans="1:4" x14ac:dyDescent="0.2">
      <c r="A5527" s="5">
        <v>5466</v>
      </c>
      <c r="B5527" s="138">
        <f>'Revenues 9-14'!E109</f>
        <v>202299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221012</v>
      </c>
      <c r="C5552" s="2" t="s">
        <v>573</v>
      </c>
      <c r="D5552" s="2" t="str">
        <f t="shared" si="85"/>
        <v>Error?</v>
      </c>
    </row>
    <row r="5553" spans="1:4" x14ac:dyDescent="0.2">
      <c r="A5553" s="5">
        <v>5492</v>
      </c>
      <c r="B5553" s="138">
        <f>'Revenues 9-14'!F5</f>
        <v>227847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227847</v>
      </c>
      <c r="C5557" s="2" t="s">
        <v>573</v>
      </c>
      <c r="D5557" s="2" t="str">
        <f t="shared" si="85"/>
        <v>Error?</v>
      </c>
    </row>
    <row r="5558" spans="1:4" x14ac:dyDescent="0.2">
      <c r="A5558" s="5">
        <v>5497</v>
      </c>
      <c r="B5558" s="138">
        <f>'Revenues 9-14'!F14</f>
        <v>628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628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7513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235988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112540</v>
      </c>
      <c r="D5615" s="2" t="str">
        <f t="shared" si="86"/>
        <v>Error?</v>
      </c>
    </row>
    <row r="5616" spans="1:4" x14ac:dyDescent="0.2">
      <c r="A5616" s="10">
        <v>5555</v>
      </c>
      <c r="D5616" s="2" t="str">
        <f t="shared" si="86"/>
        <v>OK</v>
      </c>
    </row>
    <row r="5617" spans="1:5" x14ac:dyDescent="0.2">
      <c r="A5617" s="5">
        <v>5556</v>
      </c>
      <c r="B5617" s="138">
        <f>'Revenues 9-14'!F153</f>
        <v>56778</v>
      </c>
      <c r="D5617" s="2" t="str">
        <f t="shared" si="86"/>
        <v>Error?</v>
      </c>
    </row>
    <row r="5618" spans="1:5" x14ac:dyDescent="0.2">
      <c r="A5618" s="5">
        <v>5557</v>
      </c>
      <c r="B5618" s="138">
        <f>'Revenues 9-14'!F155</f>
        <v>169318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169318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169318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1083</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1083</v>
      </c>
      <c r="C5719" s="2" t="s">
        <v>573</v>
      </c>
      <c r="D5719" s="2" t="str">
        <f t="shared" si="88"/>
        <v>Error?</v>
      </c>
    </row>
    <row r="5720" spans="1:4" x14ac:dyDescent="0.2">
      <c r="A5720" s="5">
        <v>5659</v>
      </c>
      <c r="B5720" s="138">
        <f>'Revenues 9-14'!F268</f>
        <v>406389</v>
      </c>
      <c r="C5720" s="2" t="s">
        <v>573</v>
      </c>
      <c r="D5720" s="2" t="str">
        <f t="shared" si="88"/>
        <v>Error?</v>
      </c>
    </row>
    <row r="5721" spans="1:4" x14ac:dyDescent="0.2">
      <c r="A5721" s="5">
        <v>5660</v>
      </c>
      <c r="B5721" s="138">
        <f>'Revenues 9-14'!G5</f>
        <v>137709</v>
      </c>
      <c r="D5721" s="2" t="str">
        <f t="shared" si="88"/>
        <v>Error?</v>
      </c>
    </row>
    <row r="5722" spans="1:4" x14ac:dyDescent="0.2">
      <c r="A5722" s="5">
        <v>5661</v>
      </c>
      <c r="B5722" s="138">
        <f>'Revenues 9-14'!G7</f>
        <v>0</v>
      </c>
      <c r="D5722" s="2" t="str">
        <f t="shared" si="88"/>
        <v>Error?</v>
      </c>
    </row>
    <row r="5723" spans="1:4" x14ac:dyDescent="0.2">
      <c r="A5723" s="5">
        <v>5662</v>
      </c>
      <c r="B5723" s="138">
        <f>'Revenues 9-14'!G8</f>
        <v>126947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264656</v>
      </c>
      <c r="C5725" s="2" t="s">
        <v>573</v>
      </c>
      <c r="D5725" s="2" t="str">
        <f t="shared" si="88"/>
        <v>Error?</v>
      </c>
    </row>
    <row r="5726" spans="1:4" x14ac:dyDescent="0.2">
      <c r="A5726" s="5">
        <v>5665</v>
      </c>
      <c r="B5726" s="138">
        <f>'Revenues 9-14'!G14</f>
        <v>380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11592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11972</v>
      </c>
      <c r="C5730" s="2" t="s">
        <v>573</v>
      </c>
      <c r="D5730" s="2" t="str">
        <f t="shared" si="88"/>
        <v>Error?</v>
      </c>
    </row>
    <row r="5731" spans="1:4" x14ac:dyDescent="0.2">
      <c r="A5731" s="5">
        <v>5670</v>
      </c>
      <c r="B5731" s="138">
        <f>'Revenues 9-14'!G65</f>
        <v>1765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1765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278393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1192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1192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179547</v>
      </c>
      <c r="C5886" s="2" t="s">
        <v>573</v>
      </c>
      <c r="D5886" s="2" t="str">
        <f t="shared" si="90"/>
        <v>Error?</v>
      </c>
    </row>
    <row r="5887" spans="1:4" x14ac:dyDescent="0.2">
      <c r="A5887" s="5">
        <v>5826</v>
      </c>
      <c r="B5887" s="138">
        <f>'Revenues 9-14'!H117</f>
        <v>593322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593322</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593322</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774061</v>
      </c>
      <c r="C5915" s="2" t="s">
        <v>573</v>
      </c>
      <c r="D5915" s="2" t="str">
        <f t="shared" si="91"/>
        <v>Error?</v>
      </c>
    </row>
    <row r="5916" spans="1:4" x14ac:dyDescent="0.2">
      <c r="A5916" s="5">
        <v>5855</v>
      </c>
      <c r="B5916" s="138">
        <f>'Revenues 9-14'!I5</f>
        <v>68074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68074</v>
      </c>
      <c r="C5918" s="2" t="s">
        <v>573</v>
      </c>
      <c r="D5918" s="2" t="str">
        <f t="shared" si="91"/>
        <v>Error?</v>
      </c>
    </row>
    <row r="5919" spans="1:4" x14ac:dyDescent="0.2">
      <c r="A5919" s="5">
        <v>5858</v>
      </c>
      <c r="B5919" s="138">
        <f>'Revenues 9-14'!I14</f>
        <v>188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188</v>
      </c>
      <c r="C5923" s="2" t="s">
        <v>573</v>
      </c>
      <c r="D5923" s="2" t="str">
        <f t="shared" si="91"/>
        <v>Error?</v>
      </c>
    </row>
    <row r="5924" spans="1:4" x14ac:dyDescent="0.2">
      <c r="A5924" s="5">
        <v>5863</v>
      </c>
      <c r="B5924" s="138">
        <f>'Revenues 9-14'!I65</f>
        <v>10492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10492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78754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58682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58682</v>
      </c>
      <c r="C5987" s="2" t="s">
        <v>573</v>
      </c>
      <c r="D5987" s="2" t="str">
        <f t="shared" si="92"/>
        <v>Error?</v>
      </c>
    </row>
    <row r="5988" spans="1:4" x14ac:dyDescent="0.2">
      <c r="A5988" s="5">
        <v>5927</v>
      </c>
      <c r="B5988" s="138">
        <f>'Revenues 9-14'!K14</f>
        <v>162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162</v>
      </c>
      <c r="C5992" s="2" t="s">
        <v>573</v>
      </c>
      <c r="D5992" s="2" t="str">
        <f t="shared" si="92"/>
        <v>Error?</v>
      </c>
    </row>
    <row r="5993" spans="1:4" x14ac:dyDescent="0.2">
      <c r="A5993" s="5">
        <v>5932</v>
      </c>
      <c r="B5993" s="138">
        <f>'Revenues 9-14'!K65</f>
        <v>1143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1143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59987</v>
      </c>
      <c r="C6023" s="2" t="s">
        <v>573</v>
      </c>
      <c r="D6023" s="2" t="str">
        <f t="shared" si="93"/>
        <v>Error?</v>
      </c>
    </row>
    <row r="6024" spans="1:5" x14ac:dyDescent="0.2">
      <c r="A6024" s="5">
        <v>5963</v>
      </c>
      <c r="B6024" s="138">
        <f>'Revenues 9-14'!G109</f>
        <v>278393</v>
      </c>
      <c r="C6024" s="2" t="s">
        <v>573</v>
      </c>
      <c r="D6024" s="2" t="str">
        <f t="shared" si="93"/>
        <v>Error?</v>
      </c>
    </row>
    <row r="6025" spans="1:5" x14ac:dyDescent="0.2">
      <c r="A6025" s="5">
        <v>5964</v>
      </c>
      <c r="B6025" s="138">
        <f>'Revenues 9-14'!H109</f>
        <v>180739</v>
      </c>
      <c r="C6025" s="2" t="s">
        <v>573</v>
      </c>
      <c r="D6025" s="2" t="str">
        <f t="shared" si="93"/>
        <v>Error?</v>
      </c>
    </row>
    <row r="6026" spans="1:5" x14ac:dyDescent="0.2">
      <c r="A6026" s="5">
        <v>5965</v>
      </c>
      <c r="B6026" s="138">
        <f>'Revenues 9-14'!I109</f>
        <v>78754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59987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48973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10547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133633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133633</v>
      </c>
      <c r="D6215" s="2" t="str">
        <f t="shared" si="96"/>
        <v>Error?</v>
      </c>
      <c r="E6215" s="2" t="s">
        <v>190</v>
      </c>
    </row>
    <row r="6216" spans="1:5" x14ac:dyDescent="0.2">
      <c r="A6216">
        <v>6155</v>
      </c>
      <c r="B6216" s="138">
        <f>'Assets-Liab 5-6'!J41</f>
        <v>133633</v>
      </c>
      <c r="D6216" s="2" t="str">
        <f t="shared" si="96"/>
        <v>Error?</v>
      </c>
      <c r="E6216" s="2" t="s">
        <v>190</v>
      </c>
    </row>
    <row r="6217" spans="1:5" x14ac:dyDescent="0.2">
      <c r="A6217">
        <v>6156</v>
      </c>
      <c r="B6217" s="138">
        <f>'Assets-Liab 5-6'!J4</f>
        <v>133633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152606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152606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152606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133152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133152</v>
      </c>
      <c r="D6229" s="2" t="str">
        <f t="shared" si="96"/>
        <v>Error?</v>
      </c>
      <c r="E6229" s="2" t="s">
        <v>190</v>
      </c>
    </row>
    <row r="6230" spans="1:5" x14ac:dyDescent="0.2">
      <c r="A6230">
        <v>6169</v>
      </c>
      <c r="B6230" s="138">
        <f>'Acct Summary 7-8'!J20</f>
        <v>19454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19454</v>
      </c>
      <c r="D6263" s="2" t="str">
        <f t="shared" si="96"/>
        <v>Error?</v>
      </c>
      <c r="E6263" s="2" t="s">
        <v>190</v>
      </c>
    </row>
    <row r="6264" spans="1:5" x14ac:dyDescent="0.2">
      <c r="A6264">
        <v>6203</v>
      </c>
      <c r="B6264" s="138">
        <f>'Acct Summary 7-8'!J79</f>
        <v>114179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133633</v>
      </c>
      <c r="D6266" s="2" t="str">
        <f t="shared" si="96"/>
        <v>Error?</v>
      </c>
      <c r="E6266" s="2" t="s">
        <v>190</v>
      </c>
    </row>
    <row r="6267" spans="1:5" x14ac:dyDescent="0.2">
      <c r="A6267">
        <v>6206</v>
      </c>
      <c r="B6267" s="138">
        <f>'Acct Summary 7-8'!C82</f>
        <v>409061</v>
      </c>
      <c r="D6267" s="2" t="str">
        <f t="shared" si="96"/>
        <v>Error?</v>
      </c>
      <c r="E6267" s="2" t="s">
        <v>190</v>
      </c>
    </row>
    <row r="6268" spans="1:5" x14ac:dyDescent="0.2">
      <c r="A6268">
        <v>6207</v>
      </c>
      <c r="B6268" s="138">
        <f>'Acct Summary 7-8'!D82</f>
        <v>174273</v>
      </c>
      <c r="D6268" s="2" t="str">
        <f t="shared" si="96"/>
        <v>Error?</v>
      </c>
      <c r="E6268" s="2" t="s">
        <v>190</v>
      </c>
    </row>
    <row r="6269" spans="1:5" x14ac:dyDescent="0.2">
      <c r="A6269">
        <v>6208</v>
      </c>
      <c r="B6269" s="138">
        <f>'Acct Summary 7-8'!E82</f>
        <v>5312</v>
      </c>
      <c r="D6269" s="2" t="str">
        <f t="shared" si="96"/>
        <v>Error?</v>
      </c>
      <c r="E6269" s="2" t="s">
        <v>190</v>
      </c>
    </row>
    <row r="6270" spans="1:5" x14ac:dyDescent="0.2">
      <c r="A6270">
        <v>6209</v>
      </c>
      <c r="B6270" s="138">
        <f>'Acct Summary 7-8'!F82</f>
        <v>106532</v>
      </c>
      <c r="D6270" s="2" t="str">
        <f t="shared" si="96"/>
        <v>Error?</v>
      </c>
      <c r="E6270" s="2" t="s">
        <v>190</v>
      </c>
    </row>
    <row r="6271" spans="1:5" x14ac:dyDescent="0.2">
      <c r="A6271">
        <v>6210</v>
      </c>
      <c r="B6271" s="138">
        <f>'Acct Summary 7-8'!G82</f>
        <v>56334</v>
      </c>
      <c r="D6271" s="2" t="str">
        <f t="shared" ref="D6271:D6334" si="97">IF(ISBLANK(B6271),"OK",IF(A6271-B6271=0,"OK","Error?"))</f>
        <v>Error?</v>
      </c>
      <c r="E6271" s="2" t="s">
        <v>190</v>
      </c>
    </row>
    <row r="6272" spans="1:5" x14ac:dyDescent="0.2">
      <c r="A6272">
        <v>6211</v>
      </c>
      <c r="B6272" s="138">
        <f>'Acct Summary 7-8'!H82</f>
        <v>711889</v>
      </c>
      <c r="D6272" s="2" t="str">
        <f t="shared" si="97"/>
        <v>Error?</v>
      </c>
      <c r="E6272" s="2" t="s">
        <v>190</v>
      </c>
    </row>
    <row r="6273" spans="1:5" x14ac:dyDescent="0.2">
      <c r="A6273">
        <v>6212</v>
      </c>
      <c r="B6273" s="138">
        <f>'Acct Summary 7-8'!I82</f>
        <v>78754</v>
      </c>
      <c r="D6273" s="2" t="str">
        <f t="shared" si="97"/>
        <v>Error?</v>
      </c>
      <c r="E6273" s="2" t="s">
        <v>190</v>
      </c>
    </row>
    <row r="6274" spans="1:5" x14ac:dyDescent="0.2">
      <c r="A6274">
        <v>6213</v>
      </c>
      <c r="B6274" s="138">
        <f>'Acct Summary 7-8'!J82</f>
        <v>19454</v>
      </c>
      <c r="D6274" s="2" t="str">
        <f t="shared" si="97"/>
        <v>Error?</v>
      </c>
      <c r="E6274" s="2" t="s">
        <v>190</v>
      </c>
    </row>
    <row r="6275" spans="1:5" x14ac:dyDescent="0.2">
      <c r="A6275">
        <v>6214</v>
      </c>
      <c r="B6275" s="138">
        <f>'Acct Summary 7-8'!K82</f>
        <v>59987</v>
      </c>
      <c r="D6275" s="2" t="str">
        <f t="shared" si="97"/>
        <v>Error?</v>
      </c>
      <c r="E6275" s="2" t="s">
        <v>190</v>
      </c>
    </row>
    <row r="6276" spans="1:5" x14ac:dyDescent="0.2">
      <c r="A6276">
        <v>6215</v>
      </c>
      <c r="B6276" s="138">
        <f>'Acct Summary 7-8'!C83</f>
        <v>0.12104709953440805</v>
      </c>
      <c r="D6276" s="2" t="str">
        <f t="shared" si="97"/>
        <v>Error?</v>
      </c>
      <c r="E6276" s="2" t="s">
        <v>190</v>
      </c>
    </row>
    <row r="6277" spans="1:5" x14ac:dyDescent="0.2">
      <c r="A6277">
        <v>6216</v>
      </c>
      <c r="B6277" s="138">
        <f>'Acct Summary 7-8'!D83</f>
        <v>0.21981657671248256</v>
      </c>
      <c r="D6277" s="2" t="str">
        <f t="shared" si="97"/>
        <v>Error?</v>
      </c>
      <c r="E6277" s="2" t="s">
        <v>190</v>
      </c>
    </row>
    <row r="6278" spans="1:5" x14ac:dyDescent="0.2">
      <c r="A6278">
        <v>6217</v>
      </c>
      <c r="B6278" s="138">
        <f>'Acct Summary 7-8'!E83</f>
        <v>4.4606044320538767E-2</v>
      </c>
      <c r="D6278" s="2" t="str">
        <f t="shared" si="97"/>
        <v>Error?</v>
      </c>
      <c r="E6278" s="2" t="s">
        <v>190</v>
      </c>
    </row>
    <row r="6279" spans="1:5" x14ac:dyDescent="0.2">
      <c r="A6279">
        <v>6218</v>
      </c>
      <c r="B6279" s="138">
        <f>'Acct Summary 7-8'!F83</f>
        <v>0.13271063197377977</v>
      </c>
      <c r="D6279" s="2" t="str">
        <f t="shared" si="97"/>
        <v>Error?</v>
      </c>
      <c r="E6279" s="2" t="s">
        <v>190</v>
      </c>
    </row>
    <row r="6280" spans="1:5" x14ac:dyDescent="0.2">
      <c r="A6280">
        <v>6219</v>
      </c>
      <c r="B6280" s="138">
        <f>'Acct Summary 7-8'!G83</f>
        <v>0.22434618463339745</v>
      </c>
      <c r="D6280" s="2" t="str">
        <f t="shared" si="97"/>
        <v>Error?</v>
      </c>
      <c r="E6280" s="2" t="s">
        <v>190</v>
      </c>
    </row>
    <row r="6281" spans="1:5" x14ac:dyDescent="0.2">
      <c r="A6281">
        <v>6220</v>
      </c>
      <c r="B6281" s="138">
        <f>'Acct Summary 7-8'!H83</f>
        <v>0.93000369707982944</v>
      </c>
      <c r="D6281" s="2" t="str">
        <f t="shared" si="97"/>
        <v>Error?</v>
      </c>
      <c r="E6281" s="2" t="s">
        <v>190</v>
      </c>
    </row>
    <row r="6282" spans="1:5" x14ac:dyDescent="0.2">
      <c r="A6282">
        <v>6221</v>
      </c>
      <c r="B6282" s="138">
        <f>'Acct Summary 7-8'!I83</f>
        <v>8.5307861789868433E-2</v>
      </c>
      <c r="D6282" s="2" t="str">
        <f t="shared" si="97"/>
        <v>Error?</v>
      </c>
      <c r="E6282" s="2" t="s">
        <v>190</v>
      </c>
    </row>
    <row r="6283" spans="1:5" x14ac:dyDescent="0.2">
      <c r="A6283">
        <v>6222</v>
      </c>
      <c r="B6283" s="138">
        <f>'Acct Summary 7-8'!J83</f>
        <v>0.14557781386334215</v>
      </c>
      <c r="D6283" s="2" t="str">
        <f t="shared" si="97"/>
        <v>Error?</v>
      </c>
      <c r="E6283" s="2" t="s">
        <v>190</v>
      </c>
    </row>
    <row r="6284" spans="1:5" x14ac:dyDescent="0.2">
      <c r="A6284">
        <v>6223</v>
      </c>
      <c r="B6284" s="138">
        <f>'Acct Summary 7-8'!K83</f>
        <v>0.30060534993034466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147101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147101</v>
      </c>
      <c r="D6301" s="2" t="str">
        <f t="shared" si="97"/>
        <v>Error?</v>
      </c>
      <c r="E6301" s="2" t="s">
        <v>190</v>
      </c>
    </row>
    <row r="6302" spans="1:5" x14ac:dyDescent="0.2">
      <c r="A6302">
        <v>6241</v>
      </c>
      <c r="B6302" s="138">
        <f>'Revenues 9-14'!J14</f>
        <v>405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405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713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713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4387</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7200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4387</v>
      </c>
      <c r="D6351" s="2" t="str">
        <f t="shared" si="98"/>
        <v>Error?</v>
      </c>
      <c r="E6351" s="2" t="s">
        <v>190</v>
      </c>
    </row>
    <row r="6352" spans="1:5" x14ac:dyDescent="0.2">
      <c r="A6352">
        <v>6291</v>
      </c>
      <c r="B6352" s="138">
        <f>'Revenues 9-14'!J109</f>
        <v>152606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2901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18713</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18713</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113532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7839</v>
      </c>
      <c r="D6981" s="2" t="str">
        <f t="shared" si="108"/>
        <v>Error?</v>
      </c>
    </row>
    <row r="6982" spans="1:4" x14ac:dyDescent="0.2">
      <c r="A6982">
        <v>6921</v>
      </c>
      <c r="B6982" s="138">
        <f>'Expenditures 15-22'!K85</f>
        <v>7839</v>
      </c>
      <c r="D6982" s="2" t="str">
        <f t="shared" si="108"/>
        <v>Error?</v>
      </c>
    </row>
    <row r="6983" spans="1:4" x14ac:dyDescent="0.2">
      <c r="A6983">
        <v>6922</v>
      </c>
      <c r="B6983" s="138">
        <f>'Expenditures 15-22'!H86</f>
        <v>201056</v>
      </c>
      <c r="D6983" s="2" t="str">
        <f t="shared" si="108"/>
        <v>Error?</v>
      </c>
    </row>
    <row r="6984" spans="1:4" x14ac:dyDescent="0.2">
      <c r="A6984">
        <v>6923</v>
      </c>
      <c r="B6984" s="138">
        <f>'Expenditures 15-22'!K86</f>
        <v>201056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208895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133152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152606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1093</v>
      </c>
      <c r="D7079" s="2" t="str">
        <f t="shared" si="109"/>
        <v>Error?</v>
      </c>
    </row>
    <row r="7080" spans="1:4" x14ac:dyDescent="0.2">
      <c r="A7080">
        <v>7019</v>
      </c>
      <c r="B7080" s="138">
        <f>'Expenditures 15-22'!K226</f>
        <v>1093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50015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50015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7764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7764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8776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8776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133152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133152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133152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133152</v>
      </c>
      <c r="D7224" s="2" t="str">
        <f t="shared" si="111"/>
        <v>Error?</v>
      </c>
    </row>
    <row r="7225" spans="1:4" x14ac:dyDescent="0.2">
      <c r="A7225">
        <v>7164</v>
      </c>
      <c r="B7225" s="138">
        <f>'Expenditures 15-22'!K343</f>
        <v>19454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83442</v>
      </c>
      <c r="D7263" s="2" t="str">
        <f t="shared" si="112"/>
        <v>Error?</v>
      </c>
    </row>
    <row r="7264" spans="1:4" x14ac:dyDescent="0.2">
      <c r="A7264">
        <f t="shared" si="113"/>
        <v>7203</v>
      </c>
      <c r="B7264" s="138">
        <f>'Expenditures 15-22'!D17</f>
        <v>24866</v>
      </c>
      <c r="D7264" s="2" t="str">
        <f t="shared" si="112"/>
        <v>Error?</v>
      </c>
    </row>
    <row r="7265" spans="1:5" x14ac:dyDescent="0.2">
      <c r="A7265">
        <f t="shared" si="113"/>
        <v>7204</v>
      </c>
      <c r="B7265" s="138">
        <f>'Expenditures 15-22'!E17</f>
        <v>2800</v>
      </c>
      <c r="D7265" s="2" t="str">
        <f t="shared" si="112"/>
        <v>Error?</v>
      </c>
    </row>
    <row r="7266" spans="1:5" x14ac:dyDescent="0.2">
      <c r="A7266">
        <f t="shared" si="113"/>
        <v>7205</v>
      </c>
      <c r="B7266" s="138">
        <f>'Expenditures 15-22'!F17</f>
        <v>2424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305806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66597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66597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7200</v>
      </c>
      <c r="D7712" s="2" t="str">
        <f t="shared" si="126"/>
        <v>Error?</v>
      </c>
      <c r="E7712" s="2" t="s">
        <v>827</v>
      </c>
    </row>
    <row r="7713" spans="1:6" x14ac:dyDescent="0.2">
      <c r="A7713">
        <v>7652</v>
      </c>
      <c r="B7713" s="138">
        <f>'Rest Tax Levies-Tort Im 25'!J8</f>
        <v>236548</v>
      </c>
      <c r="D7713" s="2" t="str">
        <f t="shared" si="126"/>
        <v>Error?</v>
      </c>
      <c r="E7713" s="2" t="s">
        <v>827</v>
      </c>
    </row>
    <row r="7714" spans="1:6" x14ac:dyDescent="0.2">
      <c r="A7714">
        <v>7653</v>
      </c>
      <c r="B7714" s="138">
        <f>'Rest Tax Levies-Tort Im 25'!K9</f>
        <v>23583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236548</v>
      </c>
      <c r="D7718" s="2" t="str">
        <f t="shared" si="126"/>
        <v>Error?</v>
      </c>
      <c r="E7718" s="2" t="s">
        <v>827</v>
      </c>
    </row>
    <row r="7719" spans="1:6" x14ac:dyDescent="0.2">
      <c r="A7719">
        <v>7658</v>
      </c>
      <c r="B7719" s="138">
        <f>'Rest Tax Levies-Tort Im 25'!K12</f>
        <v>30783</v>
      </c>
      <c r="D7719" s="2" t="str">
        <f t="shared" si="126"/>
        <v>Error?</v>
      </c>
      <c r="E7719" s="2" t="s">
        <v>827</v>
      </c>
    </row>
    <row r="7720" spans="1:6" x14ac:dyDescent="0.2">
      <c r="A7720">
        <v>7659</v>
      </c>
      <c r="B7720" s="138">
        <f>'Rest Tax Levies-Tort Im 25'!H14</f>
        <v>30827</v>
      </c>
      <c r="D7720" s="2" t="str">
        <f t="shared" si="126"/>
        <v>Error?</v>
      </c>
      <c r="E7720" s="2" t="s">
        <v>827</v>
      </c>
    </row>
    <row r="7721" spans="1:6" x14ac:dyDescent="0.2">
      <c r="A7721">
        <v>7660</v>
      </c>
      <c r="B7721" s="138">
        <f>'Rest Tax Levies-Tort Im 25'!K14</f>
        <v>30783</v>
      </c>
      <c r="D7721" s="2" t="str">
        <f t="shared" si="126"/>
        <v>Error?</v>
      </c>
      <c r="E7721" s="2" t="s">
        <v>827</v>
      </c>
    </row>
    <row r="7722" spans="1:6" x14ac:dyDescent="0.2">
      <c r="A7722">
        <v>7661</v>
      </c>
      <c r="B7722" s="138">
        <f>'Rest Tax Levies-Tort Im 25'!J15</f>
        <v>20848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123986</v>
      </c>
      <c r="D7724" s="2" t="str">
        <f t="shared" si="126"/>
        <v>Error?</v>
      </c>
      <c r="E7724" s="2" t="s">
        <v>827</v>
      </c>
      <c r="F7724" s="2"/>
    </row>
    <row r="7725" spans="1:6" x14ac:dyDescent="0.2">
      <c r="A7725">
        <v>7664</v>
      </c>
      <c r="B7725" s="138">
        <f>'Rest Tax Levies-Tort Im 25'!J19</f>
        <v>90964</v>
      </c>
      <c r="D7725" s="2" t="str">
        <f t="shared" si="126"/>
        <v>Error?</v>
      </c>
      <c r="E7725" s="2" t="s">
        <v>827</v>
      </c>
    </row>
    <row r="7726" spans="1:6" x14ac:dyDescent="0.2">
      <c r="A7726">
        <v>7665</v>
      </c>
      <c r="B7726" s="138">
        <f>'Rest Tax Levies-Tort Im 25'!J20</f>
        <v>750</v>
      </c>
      <c r="D7726" s="2" t="str">
        <f t="shared" si="126"/>
        <v>Error?</v>
      </c>
      <c r="E7726" s="2" t="s">
        <v>827</v>
      </c>
    </row>
    <row r="7727" spans="1:6" x14ac:dyDescent="0.2">
      <c r="A7727">
        <v>7666</v>
      </c>
      <c r="B7727" s="138">
        <f>'Rest Tax Levies-Tort Im 25'!J21</f>
        <v>215700</v>
      </c>
      <c r="D7727" s="2" t="str">
        <f t="shared" si="126"/>
        <v>Error?</v>
      </c>
      <c r="E7727" s="2" t="s">
        <v>827</v>
      </c>
    </row>
    <row r="7728" spans="1:6" x14ac:dyDescent="0.2">
      <c r="A7728">
        <v>7667</v>
      </c>
      <c r="B7728" s="138">
        <f>'Revenues 9-14'!E103</f>
        <v>57001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236548</v>
      </c>
      <c r="D7730" s="2" t="str">
        <f t="shared" si="126"/>
        <v>Error?</v>
      </c>
      <c r="E7730" s="2" t="s">
        <v>827</v>
      </c>
    </row>
    <row r="7731" spans="1:6" x14ac:dyDescent="0.2">
      <c r="A7731">
        <v>7670</v>
      </c>
      <c r="B7731" s="138">
        <f>'Revenues 9-14'!H103</f>
        <v>179547</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18713</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29'!D39</f>
        <v>77458</v>
      </c>
      <c r="D7797" s="2" t="str">
        <f t="shared" si="127"/>
        <v>Error?</v>
      </c>
      <c r="E7797" s="4" t="s">
        <v>1902</v>
      </c>
    </row>
    <row r="7798" spans="1:5" x14ac:dyDescent="0.2">
      <c r="A7798">
        <v>7737</v>
      </c>
      <c r="B7798" s="138">
        <f>'Contracts Paid in CY 29'!F39</f>
        <v>62510</v>
      </c>
      <c r="D7798" s="2" t="str">
        <f t="shared" si="127"/>
        <v>Error?</v>
      </c>
      <c r="E7798" s="4" t="s">
        <v>1902</v>
      </c>
    </row>
    <row r="7799" spans="1:5" x14ac:dyDescent="0.2">
      <c r="A7799">
        <v>7738</v>
      </c>
      <c r="B7799" s="138">
        <f>'Contracts Paid in CY 29'!G39</f>
        <v>14948</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25" sqref="T25:AA2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1986</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Benton Cons HSD 103</v>
      </c>
      <c r="B7" s="2404"/>
      <c r="C7" s="2404"/>
      <c r="D7" s="2405"/>
      <c r="E7" s="2406">
        <f>COVER!A13</f>
        <v>21028103013</v>
      </c>
      <c r="F7" s="2407"/>
      <c r="G7" s="2413" t="str">
        <f>COVER!T23</f>
        <v>060-004252</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Emling &amp; Hoffman, PC</v>
      </c>
      <c r="H9" s="2419"/>
      <c r="I9" s="2419"/>
      <c r="J9" s="2419"/>
      <c r="K9" s="2419"/>
      <c r="L9" s="2420"/>
    </row>
    <row r="10" spans="1:29" ht="13.5" customHeight="1" x14ac:dyDescent="0.2">
      <c r="A10" s="2393" t="str">
        <f>COVER!A38</f>
        <v>Benjamin Johnson</v>
      </c>
      <c r="B10" s="2394"/>
      <c r="C10" s="2394"/>
      <c r="D10" s="2394"/>
      <c r="E10" s="2394"/>
      <c r="F10" s="2395"/>
      <c r="G10" s="2387" t="str">
        <f>COVER!T17</f>
        <v>1191 West Saint Louis Street</v>
      </c>
      <c r="H10" s="2388"/>
      <c r="I10" s="2388"/>
      <c r="J10" s="2388"/>
      <c r="K10" s="2388"/>
      <c r="L10" s="2389"/>
    </row>
    <row r="11" spans="1:29" ht="13.5" customHeight="1" x14ac:dyDescent="0.2">
      <c r="A11" s="1184" t="s">
        <v>1519</v>
      </c>
      <c r="B11" s="1185"/>
      <c r="C11" s="1186"/>
      <c r="D11" s="1191"/>
      <c r="E11" s="1186"/>
      <c r="F11" s="1190"/>
      <c r="G11" s="2387" t="str">
        <f>COVER!T19</f>
        <v>Nashville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donhoffman@emlingcpa.com</v>
      </c>
      <c r="J13" s="2400"/>
      <c r="K13" s="2400"/>
      <c r="L13" s="2401"/>
    </row>
    <row r="14" spans="1:29" ht="13.5" customHeight="1" x14ac:dyDescent="0.2">
      <c r="A14" s="2387" t="str">
        <f>COVER!A19</f>
        <v>511 East Main</v>
      </c>
      <c r="B14" s="2388"/>
      <c r="C14" s="2388"/>
      <c r="D14" s="2388"/>
      <c r="E14" s="2388"/>
      <c r="F14" s="2389"/>
      <c r="G14" s="1195" t="s">
        <v>1185</v>
      </c>
      <c r="H14" s="1193"/>
      <c r="I14" s="1193"/>
      <c r="J14" s="1193"/>
      <c r="K14" s="1193"/>
      <c r="L14" s="1194"/>
    </row>
    <row r="15" spans="1:29" ht="13.5" customHeight="1" x14ac:dyDescent="0.2">
      <c r="A15" s="2387" t="str">
        <f>COVER!A21</f>
        <v>Benton</v>
      </c>
      <c r="B15" s="2388"/>
      <c r="C15" s="2388"/>
      <c r="D15" s="2388"/>
      <c r="E15" s="2388"/>
      <c r="F15" s="2389"/>
      <c r="G15" s="2384" t="str">
        <f>COVER!T15</f>
        <v xml:space="preserve">Donald L Hoffman </v>
      </c>
      <c r="H15" s="2385"/>
      <c r="I15" s="2385"/>
      <c r="J15" s="2385"/>
      <c r="K15" s="2385"/>
      <c r="L15" s="2386"/>
    </row>
    <row r="16" spans="1:29" ht="12.2" customHeight="1" x14ac:dyDescent="0.2">
      <c r="A16" s="2409">
        <f>COVER!A25</f>
        <v>62812</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618-327-4375</v>
      </c>
      <c r="H18" s="2404"/>
      <c r="I18" s="2404"/>
      <c r="J18" s="2404"/>
      <c r="K18" s="2403" t="str">
        <f>COVER!X21</f>
        <v>618-327-4376</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1"/>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11" sqref="A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Benton Cons HSD 103</v>
      </c>
      <c r="B1" s="2402"/>
      <c r="C1" s="2402"/>
      <c r="D1" s="2402"/>
    </row>
    <row r="2" spans="1:11" s="1212" customFormat="1" ht="12.75" x14ac:dyDescent="0.2">
      <c r="A2" s="2426">
        <f>'Single Audit Cover'!E7</f>
        <v>21028103013</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25" sqref="T25:AA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Benton Cons HSD 103</v>
      </c>
      <c r="B1" s="2429"/>
      <c r="C1" s="2429"/>
      <c r="D1" s="2429"/>
      <c r="E1" s="2429"/>
    </row>
    <row r="2" spans="1:5" x14ac:dyDescent="0.2">
      <c r="A2" s="2430">
        <f>'Single Audit Cover'!E7</f>
        <v>21028103013</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650467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10547</v>
      </c>
    </row>
    <row r="15" spans="1:5" x14ac:dyDescent="0.2">
      <c r="A15" s="1258"/>
      <c r="B15" s="1259"/>
      <c r="C15" s="1259"/>
    </row>
    <row r="16" spans="1:5" x14ac:dyDescent="0.2">
      <c r="A16" s="1258" t="s">
        <v>1842</v>
      </c>
      <c r="B16" s="1259"/>
      <c r="C16" s="1259"/>
    </row>
    <row r="17" spans="1:4" x14ac:dyDescent="0.2">
      <c r="A17" s="1258" t="s">
        <v>2058</v>
      </c>
      <c r="B17" s="1259" t="s">
        <v>1236</v>
      </c>
      <c r="C17" s="1259"/>
      <c r="D17" s="1261">
        <f>-SUM('Revenues 9-14'!C264:D264,'Revenues 9-14'!F264:G264)</f>
        <v>-2286</v>
      </c>
    </row>
    <row r="19" spans="1:4" ht="13.5" thickBot="1" x14ac:dyDescent="0.25">
      <c r="A19" s="1262" t="s">
        <v>1235</v>
      </c>
      <c r="D19" s="1263">
        <f>SUM(D10:D17)</f>
        <v>658728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658728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658728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Benton Cons HSD 103</v>
      </c>
      <c r="C1" s="2433"/>
      <c r="D1" s="2433"/>
      <c r="E1" s="2433"/>
      <c r="F1" s="2433"/>
      <c r="G1" s="2433"/>
      <c r="H1" s="2433"/>
      <c r="I1" s="2433"/>
      <c r="J1" s="2433"/>
      <c r="K1" s="2433"/>
      <c r="L1" s="2433"/>
      <c r="M1" s="2433"/>
    </row>
    <row r="2" spans="2:14" ht="15" x14ac:dyDescent="0.2">
      <c r="B2" s="2434">
        <f>'Single Audit Cover'!E7</f>
        <v>21028103013</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1735</v>
      </c>
      <c r="D9" s="1311" t="s">
        <v>1736</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T25" sqref="T25:AA2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Benton Cons HSD 103</v>
      </c>
      <c r="B1" s="2446"/>
      <c r="C1" s="2446"/>
      <c r="D1" s="2446"/>
      <c r="E1" s="2446"/>
      <c r="F1" s="2446"/>
    </row>
    <row r="2" spans="1:7" ht="13.5" customHeight="1" x14ac:dyDescent="0.2">
      <c r="A2" s="2434">
        <f>'Single Audit Cover'!E7</f>
        <v>21028103013</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3" t="s">
        <v>1270</v>
      </c>
      <c r="D15" s="2443" t="s">
        <v>1269</v>
      </c>
      <c r="E15" s="2443"/>
      <c r="F15" s="2443"/>
    </row>
    <row r="16" spans="1:7" ht="13.5" customHeight="1" x14ac:dyDescent="0.2">
      <c r="A16" s="1279"/>
      <c r="B16" s="1273" t="s">
        <v>1268</v>
      </c>
      <c r="C16" s="1843"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0"/>
      <c r="E33" s="1283"/>
    </row>
    <row r="34" spans="1:6" ht="13.5" customHeight="1" x14ac:dyDescent="0.2">
      <c r="A34" s="328" t="s">
        <v>1837</v>
      </c>
      <c r="B34" s="328"/>
      <c r="C34" s="1286">
        <v>0</v>
      </c>
      <c r="D34" s="1900" t="s">
        <v>1589</v>
      </c>
      <c r="E34" s="2440">
        <f>+C33+C34</f>
        <v>0</v>
      </c>
      <c r="F34" s="2441"/>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2"/>
      <c r="C50" s="1842"/>
      <c r="D50" s="1842"/>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6" colorId="8" zoomScale="110" zoomScaleNormal="110" workbookViewId="0">
      <selection activeCell="T25" sqref="T25:AA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2085</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t="s">
        <v>2086</v>
      </c>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differentFirst="1" alignWithMargins="0">
    <oddHeader>&amp;L&amp;8Page 2&amp;C &amp;R&amp;8Page 2</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 zoomScale="110" zoomScaleNormal="110" workbookViewId="0">
      <selection activeCell="E21" sqref="E2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Benton Cons HSD 103</v>
      </c>
      <c r="C1" s="2461"/>
      <c r="D1" s="2461"/>
      <c r="E1" s="2461"/>
      <c r="F1" s="2461"/>
      <c r="G1" s="2461"/>
      <c r="H1" s="2461"/>
      <c r="I1" s="2461"/>
      <c r="J1" s="1406"/>
    </row>
    <row r="2" spans="2:10" s="317" customFormat="1" ht="12.75" customHeight="1" x14ac:dyDescent="0.2">
      <c r="B2" s="2462">
        <f>'Single Audit Cover'!E7</f>
        <v>21028103013</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1164</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2064</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2061</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Benton Cons HSD 103</v>
      </c>
      <c r="C1" s="2460"/>
      <c r="D1" s="2460"/>
      <c r="E1" s="2460"/>
      <c r="F1" s="2460"/>
      <c r="G1" s="2460"/>
      <c r="H1" s="2460"/>
      <c r="I1" s="2460"/>
      <c r="J1" s="2460"/>
      <c r="K1" s="2460"/>
      <c r="L1" s="1371"/>
      <c r="M1" s="1371"/>
    </row>
    <row r="2" spans="1:13" ht="12" customHeight="1" x14ac:dyDescent="0.2">
      <c r="B2" s="2462">
        <f>'Single Audit Cover'!E7</f>
        <v>21028103013</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2090</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58.5" customHeight="1" x14ac:dyDescent="0.2">
      <c r="B17" s="2475" t="s">
        <v>2091</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36.75" customHeight="1" x14ac:dyDescent="0.2">
      <c r="B20" s="2479" t="s">
        <v>2092</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9.25" customHeight="1" x14ac:dyDescent="0.2">
      <c r="B23" s="2475" t="s">
        <v>2093</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35.25" customHeight="1" x14ac:dyDescent="0.2">
      <c r="B26" s="2475" t="s">
        <v>2094</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75" customHeight="1" x14ac:dyDescent="0.2">
      <c r="B29" s="2474" t="s">
        <v>2095</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2096</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76098-A7C6-4C54-9BD4-C4ADD99E8534}">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Benton Cons HSD 103</v>
      </c>
      <c r="C1" s="2460"/>
      <c r="D1" s="2460"/>
      <c r="E1" s="2460"/>
      <c r="F1" s="2460"/>
      <c r="G1" s="2460"/>
      <c r="H1" s="2460"/>
      <c r="I1" s="2460"/>
      <c r="J1" s="2460"/>
      <c r="K1" s="2460"/>
      <c r="L1" s="1371"/>
      <c r="M1" s="1371"/>
    </row>
    <row r="2" spans="1:13" ht="12" customHeight="1" x14ac:dyDescent="0.2">
      <c r="B2" s="2462">
        <f>'Single Audit Cover'!E7</f>
        <v>21028103013</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2106</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2097</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t="s">
        <v>2098</v>
      </c>
      <c r="C20" s="2482"/>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2099</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32.25" customHeight="1" x14ac:dyDescent="0.2">
      <c r="B26" s="2481" t="s">
        <v>2100</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5.5" customHeight="1" x14ac:dyDescent="0.2">
      <c r="B29" s="2480" t="s">
        <v>2101</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2102</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Benton Cons HSD 103</v>
      </c>
      <c r="C1" s="2486"/>
      <c r="D1" s="2486"/>
      <c r="E1" s="2486"/>
      <c r="F1" s="2486"/>
      <c r="G1" s="2486"/>
      <c r="H1" s="2486"/>
      <c r="I1" s="2486"/>
      <c r="J1" s="2486"/>
      <c r="K1" s="2486"/>
      <c r="L1" s="1449"/>
    </row>
    <row r="2" spans="1:12" ht="12.75" customHeight="1" x14ac:dyDescent="0.2">
      <c r="B2" s="2487">
        <f>'Single Audit Cover'!E7</f>
        <v>21028103013</v>
      </c>
      <c r="C2" s="2487"/>
      <c r="D2" s="2487"/>
      <c r="E2" s="2487"/>
      <c r="F2" s="2487"/>
      <c r="G2" s="2487"/>
      <c r="H2" s="2487"/>
      <c r="I2" s="2487"/>
      <c r="J2" s="2487"/>
      <c r="K2" s="2487"/>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Benton Cons HSD 103</v>
      </c>
      <c r="C1" s="2460"/>
      <c r="D1" s="2460"/>
      <c r="E1" s="1469"/>
    </row>
    <row r="2" spans="2:5" s="1279" customFormat="1" ht="12.75" customHeight="1" x14ac:dyDescent="0.2">
      <c r="B2" s="2462">
        <f>'Single Audit Cover'!E7</f>
        <v>21028103013</v>
      </c>
      <c r="C2" s="2462"/>
      <c r="D2" s="2462"/>
      <c r="E2" s="1470"/>
    </row>
    <row r="3" spans="2:5" ht="12.75" customHeight="1" x14ac:dyDescent="0.2">
      <c r="B3" s="2476" t="s">
        <v>1766</v>
      </c>
      <c r="C3" s="2476"/>
      <c r="D3" s="2476"/>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c r="C5" s="328"/>
      <c r="D5" s="328"/>
      <c r="E5" s="328"/>
    </row>
    <row r="6" spans="2:5" s="1279" customFormat="1" ht="13.5" customHeight="1" x14ac:dyDescent="0.2">
      <c r="B6" s="1473" t="s">
        <v>1315</v>
      </c>
      <c r="C6" s="1473" t="s">
        <v>1314</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t="s">
        <v>2103</v>
      </c>
      <c r="C9" s="323" t="s">
        <v>2104</v>
      </c>
      <c r="D9" s="323" t="s">
        <v>2107</v>
      </c>
      <c r="E9" s="323"/>
    </row>
    <row r="10" spans="2:5" ht="13.5" customHeight="1" x14ac:dyDescent="0.2">
      <c r="B10" s="1474"/>
      <c r="C10" s="323"/>
      <c r="D10" s="323"/>
      <c r="E10" s="323"/>
    </row>
    <row r="11" spans="2:5" ht="13.5" customHeight="1" x14ac:dyDescent="0.2">
      <c r="B11" s="1474" t="s">
        <v>2105</v>
      </c>
      <c r="C11" s="323" t="s">
        <v>2106</v>
      </c>
      <c r="D11" s="323" t="s">
        <v>2107</v>
      </c>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38&amp;R&amp;8Page 38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25" sqref="T25:AA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166667174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1.3535999999999999E-2</v>
      </c>
      <c r="E10" s="356" t="s">
        <v>1005</v>
      </c>
      <c r="F10" s="355">
        <v>2.2820000000000002E-3</v>
      </c>
      <c r="G10" s="356" t="s">
        <v>1005</v>
      </c>
      <c r="H10" s="355">
        <v>1.4419999999999999E-3</v>
      </c>
      <c r="I10" s="356" t="s">
        <v>1006</v>
      </c>
      <c r="J10" s="1730">
        <f>ROUND(D10+F10+H10,5)</f>
        <v>1.7260000000000001E-2</v>
      </c>
      <c r="K10" s="222"/>
      <c r="L10" s="355">
        <v>4.3100000000000001E-4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7561856</v>
      </c>
      <c r="E16" s="356"/>
      <c r="F16" s="1731">
        <f>SUM('Acct Summary 7-8'!C17,'Acct Summary 7-8'!D17,'Acct Summary 7-8'!F17)</f>
        <v>6793236</v>
      </c>
      <c r="G16" s="356"/>
      <c r="H16" s="1731">
        <f>SUM(D16-F16)</f>
        <v>768620</v>
      </c>
      <c r="I16" s="222"/>
      <c r="J16" s="1731">
        <f>SUM('Acct Summary 7-8'!C81,'Acct Summary 7-8'!D81,'Acct Summary 7-8'!F81,'Acct Summary 7-8'!I81)</f>
        <v>5898078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3">
        <f>IF(B31="X",(J7*0.069),IF(B32="X",(J7*0.138),"Enter x in a.or b."))</f>
        <v>11500035.006000001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747053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C8"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Benton Cons HSD 103</v>
      </c>
      <c r="E7" s="391"/>
      <c r="G7" s="252"/>
      <c r="H7" s="387"/>
      <c r="I7" s="387"/>
      <c r="J7" s="387"/>
      <c r="K7" s="387"/>
      <c r="L7" s="329"/>
      <c r="M7" s="329"/>
      <c r="N7" s="329"/>
      <c r="O7" s="329"/>
      <c r="P7" s="329"/>
    </row>
    <row r="8" spans="1:18" ht="12.75" x14ac:dyDescent="0.2">
      <c r="A8" s="329"/>
      <c r="B8" s="329"/>
      <c r="C8" s="389" t="s">
        <v>1125</v>
      </c>
      <c r="D8" s="392">
        <f>COVER!A13</f>
        <v>21028103013</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5898078</v>
      </c>
      <c r="I12" s="404"/>
      <c r="J12" s="404"/>
      <c r="K12" s="405">
        <f>TRUNC((H12/H13*100000),5)/100000</f>
        <v>0.77997756100000004</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7561856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6793236</v>
      </c>
      <c r="I17" s="404"/>
      <c r="J17" s="416"/>
      <c r="K17" s="405">
        <f>TRUNC((H17/H18*100000),5)/100000</f>
        <v>0.89835564169999993</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7561856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5898078</v>
      </c>
      <c r="I24" s="422"/>
      <c r="J24" s="422"/>
      <c r="K24" s="423">
        <f>TRUNC(((H24/H25*100000)/100000),2)</f>
        <v>312.56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18870.099999999999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2445174.1097499998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747053</v>
      </c>
      <c r="I32" s="420"/>
      <c r="J32" s="420"/>
      <c r="K32" s="423">
        <f>TRUNC(100-((((H32/H33*100))*100)/100),2)</f>
        <v>93.5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11500035.006000001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3379354</v>
      </c>
      <c r="D4" s="466">
        <v>792811</v>
      </c>
      <c r="E4" s="466">
        <v>119087</v>
      </c>
      <c r="F4" s="466">
        <v>802739</v>
      </c>
      <c r="G4" s="466">
        <v>251103</v>
      </c>
      <c r="H4" s="466">
        <v>765469</v>
      </c>
      <c r="I4" s="466">
        <v>923174</v>
      </c>
      <c r="J4" s="467">
        <v>133633</v>
      </c>
      <c r="K4" s="466">
        <v>199554</v>
      </c>
      <c r="L4" s="466">
        <v>354763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3379354</v>
      </c>
      <c r="D13" s="1735">
        <f t="shared" ref="D13:L13" si="0">SUM(D4:D12)</f>
        <v>792811</v>
      </c>
      <c r="E13" s="1735">
        <f t="shared" si="0"/>
        <v>119087</v>
      </c>
      <c r="F13" s="1735">
        <f t="shared" si="0"/>
        <v>802739</v>
      </c>
      <c r="G13" s="1735">
        <f t="shared" si="0"/>
        <v>251103</v>
      </c>
      <c r="H13" s="1735">
        <f t="shared" si="0"/>
        <v>765469</v>
      </c>
      <c r="I13" s="1735">
        <f t="shared" si="0"/>
        <v>923174</v>
      </c>
      <c r="J13" s="1735">
        <f t="shared" si="0"/>
        <v>133633</v>
      </c>
      <c r="K13" s="1735">
        <f t="shared" si="0"/>
        <v>199554</v>
      </c>
      <c r="L13" s="1735">
        <f t="shared" si="0"/>
        <v>354763</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203096</v>
      </c>
      <c r="N16" s="484"/>
    </row>
    <row r="17" spans="1:14" s="485" customFormat="1" ht="12.75" customHeight="1" x14ac:dyDescent="0.2">
      <c r="A17" s="482" t="s">
        <v>1403</v>
      </c>
      <c r="B17" s="483">
        <v>230</v>
      </c>
      <c r="C17" s="477"/>
      <c r="D17" s="477"/>
      <c r="E17" s="477"/>
      <c r="F17" s="477"/>
      <c r="G17" s="477"/>
      <c r="H17" s="477"/>
      <c r="I17" s="477"/>
      <c r="J17" s="477"/>
      <c r="K17" s="477"/>
      <c r="L17" s="477"/>
      <c r="M17" s="467">
        <v>8217070</v>
      </c>
      <c r="N17" s="484"/>
    </row>
    <row r="18" spans="1:14" s="485" customFormat="1" ht="12.75" customHeight="1" x14ac:dyDescent="0.2">
      <c r="A18" s="482" t="s">
        <v>1404</v>
      </c>
      <c r="B18" s="483">
        <v>240</v>
      </c>
      <c r="C18" s="477"/>
      <c r="D18" s="477"/>
      <c r="E18" s="477"/>
      <c r="F18" s="477"/>
      <c r="G18" s="477"/>
      <c r="H18" s="477"/>
      <c r="I18" s="477"/>
      <c r="J18" s="477"/>
      <c r="K18" s="477"/>
      <c r="L18" s="477"/>
      <c r="M18" s="467">
        <v>1069211</v>
      </c>
      <c r="N18" s="484"/>
    </row>
    <row r="19" spans="1:14" s="485" customFormat="1" ht="12.75" customHeight="1" x14ac:dyDescent="0.2">
      <c r="A19" s="482" t="s">
        <v>1405</v>
      </c>
      <c r="B19" s="483">
        <v>250</v>
      </c>
      <c r="C19" s="477"/>
      <c r="D19" s="477"/>
      <c r="E19" s="477"/>
      <c r="F19" s="477"/>
      <c r="G19" s="477"/>
      <c r="H19" s="477"/>
      <c r="I19" s="477"/>
      <c r="J19" s="477"/>
      <c r="K19" s="477"/>
      <c r="L19" s="477"/>
      <c r="M19" s="467">
        <f>856141+67122+3174281</f>
        <v>4097544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119087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627966</v>
      </c>
    </row>
    <row r="23" spans="1:14" ht="13.5" customHeight="1" thickBot="1" x14ac:dyDescent="0.25">
      <c r="A23" s="1734" t="s">
        <v>643</v>
      </c>
      <c r="B23" s="1739"/>
      <c r="C23" s="468"/>
      <c r="D23" s="468"/>
      <c r="E23" s="468"/>
      <c r="F23" s="468"/>
      <c r="G23" s="468"/>
      <c r="H23" s="468"/>
      <c r="I23" s="468"/>
      <c r="J23" s="468"/>
      <c r="K23" s="468"/>
      <c r="L23" s="468"/>
      <c r="M23" s="1686">
        <f>SUM(M15:M22)</f>
        <v>13586921</v>
      </c>
      <c r="N23" s="1686">
        <f>SUM(N21:N22)</f>
        <v>747053</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354763</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354763</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747053</v>
      </c>
    </row>
    <row r="37" spans="1:14" ht="13.5" thickBot="1" x14ac:dyDescent="0.25">
      <c r="A37" s="1734" t="s">
        <v>653</v>
      </c>
      <c r="B37" s="1739"/>
      <c r="C37" s="477"/>
      <c r="D37" s="477"/>
      <c r="E37" s="477"/>
      <c r="F37" s="477"/>
      <c r="G37" s="477"/>
      <c r="H37" s="477"/>
      <c r="I37" s="477"/>
      <c r="J37" s="477"/>
      <c r="K37" s="477"/>
      <c r="L37" s="480"/>
      <c r="M37" s="468"/>
      <c r="N37" s="1686">
        <f>SUM(N36:N36)</f>
        <v>747053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3379354</v>
      </c>
      <c r="D39" s="466">
        <v>792811</v>
      </c>
      <c r="E39" s="466">
        <v>119087</v>
      </c>
      <c r="F39" s="466">
        <v>802739</v>
      </c>
      <c r="G39" s="466">
        <v>251103</v>
      </c>
      <c r="H39" s="466">
        <v>765469</v>
      </c>
      <c r="I39" s="466">
        <v>923174</v>
      </c>
      <c r="J39" s="467">
        <v>133633</v>
      </c>
      <c r="K39" s="466">
        <v>199554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13586921</v>
      </c>
      <c r="N40" s="497"/>
    </row>
    <row r="41" spans="1:14" ht="13.5" customHeight="1" thickBot="1" x14ac:dyDescent="0.25">
      <c r="A41" s="1734" t="s">
        <v>655</v>
      </c>
      <c r="B41" s="1704"/>
      <c r="C41" s="1686">
        <f>(SUM(C34,C37,C38,C39))</f>
        <v>3379354</v>
      </c>
      <c r="D41" s="1686">
        <f t="shared" ref="D41:L41" si="2">SUM(D34,D37,D38:D39)</f>
        <v>792811</v>
      </c>
      <c r="E41" s="1686">
        <f t="shared" si="2"/>
        <v>119087</v>
      </c>
      <c r="F41" s="1686">
        <f t="shared" si="2"/>
        <v>802739</v>
      </c>
      <c r="G41" s="1686">
        <f t="shared" si="2"/>
        <v>251103</v>
      </c>
      <c r="H41" s="1686">
        <f t="shared" si="2"/>
        <v>765469</v>
      </c>
      <c r="I41" s="1686">
        <f t="shared" si="2"/>
        <v>923174</v>
      </c>
      <c r="J41" s="1686">
        <f t="shared" si="2"/>
        <v>133633</v>
      </c>
      <c r="K41" s="1686">
        <f t="shared" si="2"/>
        <v>199554</v>
      </c>
      <c r="L41" s="1686">
        <f t="shared" si="2"/>
        <v>354763</v>
      </c>
      <c r="M41" s="1686">
        <f>SUM(M40)</f>
        <v>13586921</v>
      </c>
      <c r="N41" s="1686">
        <f>SUM(N37)</f>
        <v>747053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5" t="s">
        <v>1499</v>
      </c>
      <c r="B4" s="1926">
        <v>1000</v>
      </c>
      <c r="C4" s="1740">
        <f>'Revenues 9-14'!C109</f>
        <v>3005292</v>
      </c>
      <c r="D4" s="1740">
        <f>'Revenues 9-14'!D109</f>
        <v>399435</v>
      </c>
      <c r="E4" s="1740">
        <f>'Revenues 9-14'!E109</f>
        <v>202299</v>
      </c>
      <c r="F4" s="1740">
        <f>'Revenues 9-14'!F109</f>
        <v>235988</v>
      </c>
      <c r="G4" s="1740">
        <f>'Revenues 9-14'!G109</f>
        <v>278393</v>
      </c>
      <c r="H4" s="1740">
        <f>'Revenues 9-14'!H109</f>
        <v>180739</v>
      </c>
      <c r="I4" s="1740">
        <f>'Revenues 9-14'!I109</f>
        <v>78754</v>
      </c>
      <c r="J4" s="1740">
        <f>'Revenues 9-14'!J109</f>
        <v>152606</v>
      </c>
      <c r="K4" s="1740">
        <f>'Revenues 9-14'!K109</f>
        <v>59987</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2744654</v>
      </c>
      <c r="D6" s="1741">
        <f>'Revenues 9-14'!D170</f>
        <v>296661</v>
      </c>
      <c r="E6" s="1741">
        <f>'Revenues 9-14'!E170</f>
        <v>0</v>
      </c>
      <c r="F6" s="1741">
        <f>'Revenues 9-14'!F170</f>
        <v>169318</v>
      </c>
      <c r="G6" s="1741">
        <f>'Revenues 9-14'!G170</f>
        <v>0</v>
      </c>
      <c r="H6" s="1741">
        <f>'Revenues 9-14'!H170</f>
        <v>593322</v>
      </c>
      <c r="I6" s="1741">
        <f>'Revenues 9-14'!I170</f>
        <v>0</v>
      </c>
      <c r="J6" s="1741">
        <f>'Revenues 9-14'!J170</f>
        <v>0</v>
      </c>
      <c r="K6" s="1741">
        <f>'Revenues 9-14'!K170</f>
        <v>0</v>
      </c>
      <c r="L6" s="347"/>
      <c r="M6" s="513"/>
    </row>
    <row r="7" spans="1:13" ht="15.75" customHeight="1" x14ac:dyDescent="0.2">
      <c r="A7" s="1576" t="s">
        <v>1502</v>
      </c>
      <c r="B7" s="1578">
        <v>4000</v>
      </c>
      <c r="C7" s="1741">
        <f>'Revenues 9-14'!C267</f>
        <v>630671</v>
      </c>
      <c r="D7" s="1741">
        <f>'Revenues 9-14'!D267</f>
        <v>0</v>
      </c>
      <c r="E7" s="1741">
        <f>'Revenues 9-14'!E267</f>
        <v>18713</v>
      </c>
      <c r="F7" s="1741">
        <f>'Revenues 9-14'!F267</f>
        <v>1083</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6380617</v>
      </c>
      <c r="D8" s="1686">
        <f t="shared" ref="D8:K8" si="0">SUM(D4:D7)</f>
        <v>696096</v>
      </c>
      <c r="E8" s="1686">
        <f t="shared" si="0"/>
        <v>221012</v>
      </c>
      <c r="F8" s="1686">
        <f t="shared" si="0"/>
        <v>406389</v>
      </c>
      <c r="G8" s="1686">
        <f t="shared" si="0"/>
        <v>278393</v>
      </c>
      <c r="H8" s="1686">
        <f t="shared" si="0"/>
        <v>774061</v>
      </c>
      <c r="I8" s="1686">
        <f t="shared" si="0"/>
        <v>78754</v>
      </c>
      <c r="J8" s="1686">
        <f t="shared" si="0"/>
        <v>152606</v>
      </c>
      <c r="K8" s="1686">
        <f t="shared" si="0"/>
        <v>59987</v>
      </c>
      <c r="L8" s="347"/>
    </row>
    <row r="9" spans="1:13" ht="15.75" thickTop="1" x14ac:dyDescent="0.2">
      <c r="A9" s="514" t="s">
        <v>1653</v>
      </c>
      <c r="B9" s="515">
        <v>3998</v>
      </c>
      <c r="C9" s="481">
        <v>358637</v>
      </c>
      <c r="D9" s="516"/>
      <c r="E9" s="481"/>
      <c r="F9" s="481"/>
      <c r="G9" s="517"/>
      <c r="H9" s="481"/>
      <c r="I9" s="509" t="s">
        <v>1169</v>
      </c>
      <c r="J9" s="478"/>
      <c r="K9" s="481"/>
      <c r="L9" s="347"/>
    </row>
    <row r="10" spans="1:13" s="519" customFormat="1" ht="13.5" thickBot="1" x14ac:dyDescent="0.25">
      <c r="A10" s="1734" t="s">
        <v>1173</v>
      </c>
      <c r="B10" s="1707"/>
      <c r="C10" s="1686">
        <f>SUM(C8:C9)</f>
        <v>6739254</v>
      </c>
      <c r="D10" s="1686">
        <f t="shared" ref="D10:K10" si="1">SUM(D8:D9)</f>
        <v>696096</v>
      </c>
      <c r="E10" s="1686">
        <f t="shared" si="1"/>
        <v>221012</v>
      </c>
      <c r="F10" s="1686">
        <f t="shared" si="1"/>
        <v>406389</v>
      </c>
      <c r="G10" s="1686">
        <f t="shared" si="1"/>
        <v>278393</v>
      </c>
      <c r="H10" s="1686">
        <f t="shared" si="1"/>
        <v>774061</v>
      </c>
      <c r="I10" s="1686">
        <f t="shared" si="1"/>
        <v>78754</v>
      </c>
      <c r="J10" s="1686">
        <f t="shared" si="1"/>
        <v>152606</v>
      </c>
      <c r="K10" s="1686">
        <f t="shared" si="1"/>
        <v>59987</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0">
        <f>'Expenditures 15-22'!K33</f>
        <v>3809537</v>
      </c>
      <c r="D12" s="520" t="s">
        <v>1169</v>
      </c>
      <c r="E12" s="468" t="s">
        <v>1169</v>
      </c>
      <c r="F12" s="468" t="s">
        <v>1169</v>
      </c>
      <c r="G12" s="1740">
        <f>'Expenditures 15-22'!K229</f>
        <v>86097</v>
      </c>
      <c r="H12" s="521"/>
      <c r="I12" s="468" t="s">
        <v>1169</v>
      </c>
      <c r="J12" s="468" t="s">
        <v>1169</v>
      </c>
      <c r="K12" s="521" t="s">
        <v>1169</v>
      </c>
      <c r="L12" s="347"/>
    </row>
    <row r="13" spans="1:13" ht="15.75" customHeight="1" x14ac:dyDescent="0.2">
      <c r="A13" s="1576" t="s">
        <v>457</v>
      </c>
      <c r="B13" s="1578">
        <v>2000</v>
      </c>
      <c r="C13" s="1741">
        <f>'Expenditures 15-22'!K74</f>
        <v>1756770</v>
      </c>
      <c r="D13" s="1741">
        <f>'Expenditures 15-22'!K129</f>
        <v>521823</v>
      </c>
      <c r="E13" s="469" t="s">
        <v>1169</v>
      </c>
      <c r="F13" s="1741">
        <f>'Expenditures 15-22'!K184</f>
        <v>299857</v>
      </c>
      <c r="G13" s="1741">
        <f>'Expenditures 15-22'!K279</f>
        <v>135962</v>
      </c>
      <c r="H13" s="1741">
        <f>'Expenditures 15-22'!K303</f>
        <v>62172</v>
      </c>
      <c r="I13" s="468" t="s">
        <v>1169</v>
      </c>
      <c r="J13" s="1741">
        <f>'Expenditures 15-22'!K330</f>
        <v>133152</v>
      </c>
      <c r="K13" s="1745">
        <f>'Expenditures 15-22'!K352</f>
        <v>0</v>
      </c>
      <c r="L13" s="347"/>
    </row>
    <row r="14" spans="1:13" ht="15.75" customHeight="1" x14ac:dyDescent="0.2">
      <c r="A14" s="1576" t="s">
        <v>449</v>
      </c>
      <c r="B14" s="1578">
        <v>3000</v>
      </c>
      <c r="C14" s="1741">
        <f>'Expenditures 15-22'!K75</f>
        <v>360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404889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215700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5971556</v>
      </c>
      <c r="D17" s="1686">
        <f t="shared" si="2"/>
        <v>521823</v>
      </c>
      <c r="E17" s="1686">
        <f t="shared" si="2"/>
        <v>215700</v>
      </c>
      <c r="F17" s="1686">
        <f t="shared" si="2"/>
        <v>299857</v>
      </c>
      <c r="G17" s="1686">
        <f t="shared" si="2"/>
        <v>222059</v>
      </c>
      <c r="H17" s="1686">
        <f t="shared" si="2"/>
        <v>62172</v>
      </c>
      <c r="I17" s="468"/>
      <c r="J17" s="1686">
        <f>SUM(J12:J16)</f>
        <v>133152</v>
      </c>
      <c r="K17" s="1686">
        <f>SUM(K12:K16)</f>
        <v>0</v>
      </c>
      <c r="L17" s="347"/>
    </row>
    <row r="18" spans="1:12" ht="15" customHeight="1" thickTop="1" x14ac:dyDescent="0.2">
      <c r="A18" s="1742" t="s">
        <v>1654</v>
      </c>
      <c r="B18" s="1743">
        <v>4180</v>
      </c>
      <c r="C18" s="1740">
        <f t="shared" ref="C18:H18" si="3">C9</f>
        <v>358637</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6330193</v>
      </c>
      <c r="D19" s="1686">
        <f t="shared" si="4"/>
        <v>521823</v>
      </c>
      <c r="E19" s="1686">
        <f t="shared" si="4"/>
        <v>215700</v>
      </c>
      <c r="F19" s="1686">
        <f t="shared" si="4"/>
        <v>299857</v>
      </c>
      <c r="G19" s="1686">
        <f t="shared" si="4"/>
        <v>222059</v>
      </c>
      <c r="H19" s="1686">
        <f t="shared" si="4"/>
        <v>62172</v>
      </c>
      <c r="I19" s="468"/>
      <c r="J19" s="1686">
        <f>SUM(J17:J18)</f>
        <v>133152</v>
      </c>
      <c r="K19" s="1686">
        <f>SUM(K17:K18)</f>
        <v>0</v>
      </c>
      <c r="L19" s="347"/>
    </row>
    <row r="20" spans="1:12" ht="16.5" thickTop="1" thickBot="1" x14ac:dyDescent="0.25">
      <c r="A20" s="2126" t="s">
        <v>1655</v>
      </c>
      <c r="B20" s="2127"/>
      <c r="C20" s="1744">
        <f>C8-C17</f>
        <v>409061</v>
      </c>
      <c r="D20" s="1744">
        <f t="shared" ref="D20:K20" si="5">D8-D17</f>
        <v>174273</v>
      </c>
      <c r="E20" s="1744">
        <f t="shared" si="5"/>
        <v>5312</v>
      </c>
      <c r="F20" s="1744">
        <f t="shared" si="5"/>
        <v>106532</v>
      </c>
      <c r="G20" s="1744">
        <f t="shared" si="5"/>
        <v>56334</v>
      </c>
      <c r="H20" s="1744">
        <f t="shared" si="5"/>
        <v>711889</v>
      </c>
      <c r="I20" s="1744">
        <f t="shared" si="5"/>
        <v>78754</v>
      </c>
      <c r="J20" s="1744">
        <f t="shared" si="5"/>
        <v>19454</v>
      </c>
      <c r="K20" s="1744">
        <f t="shared" si="5"/>
        <v>59987</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1">
        <f>D30</f>
        <v>0</v>
      </c>
      <c r="L52" s="524"/>
    </row>
    <row r="53" spans="1:12" s="485" customFormat="1" ht="26.25" x14ac:dyDescent="0.2">
      <c r="A53" s="1490" t="s">
        <v>1795</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8" t="s">
        <v>1177</v>
      </c>
      <c r="B77" s="2119"/>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2" t="s">
        <v>597</v>
      </c>
      <c r="B78" s="2123"/>
      <c r="C78" s="1700">
        <f t="shared" ref="C78:K78" si="9">C20+C77</f>
        <v>409061</v>
      </c>
      <c r="D78" s="1700">
        <f t="shared" si="9"/>
        <v>174273</v>
      </c>
      <c r="E78" s="1700">
        <f t="shared" si="9"/>
        <v>5312</v>
      </c>
      <c r="F78" s="1700">
        <f t="shared" si="9"/>
        <v>106532</v>
      </c>
      <c r="G78" s="1700">
        <f t="shared" si="9"/>
        <v>56334</v>
      </c>
      <c r="H78" s="1700">
        <f t="shared" si="9"/>
        <v>711889</v>
      </c>
      <c r="I78" s="1700">
        <f t="shared" si="9"/>
        <v>78754</v>
      </c>
      <c r="J78" s="1700">
        <f t="shared" si="9"/>
        <v>19454</v>
      </c>
      <c r="K78" s="1700">
        <f t="shared" si="9"/>
        <v>59987</v>
      </c>
      <c r="L78" s="533"/>
    </row>
    <row r="79" spans="1:12" ht="13.5" thickTop="1" x14ac:dyDescent="0.2">
      <c r="A79" s="1494" t="s">
        <v>1946</v>
      </c>
      <c r="B79" s="534"/>
      <c r="C79" s="478">
        <v>2970293</v>
      </c>
      <c r="D79" s="535">
        <v>618538</v>
      </c>
      <c r="E79" s="535">
        <v>113775</v>
      </c>
      <c r="F79" s="535">
        <v>696207</v>
      </c>
      <c r="G79" s="535">
        <v>194769</v>
      </c>
      <c r="H79" s="535">
        <v>53580</v>
      </c>
      <c r="I79" s="535">
        <v>844420</v>
      </c>
      <c r="J79" s="535">
        <v>114179</v>
      </c>
      <c r="K79" s="535">
        <v>139567</v>
      </c>
      <c r="L79" s="347"/>
    </row>
    <row r="80" spans="1:12" x14ac:dyDescent="0.2">
      <c r="A80" s="2128" t="s">
        <v>1794</v>
      </c>
      <c r="B80" s="2129"/>
      <c r="C80" s="467"/>
      <c r="D80" s="467"/>
      <c r="E80" s="467"/>
      <c r="F80" s="467"/>
      <c r="G80" s="467"/>
      <c r="H80" s="467"/>
      <c r="I80" s="467"/>
      <c r="J80" s="467"/>
      <c r="K80" s="467"/>
      <c r="L80" s="347"/>
    </row>
    <row r="81" spans="1:12" ht="13.5" thickBot="1" x14ac:dyDescent="0.25">
      <c r="A81" s="2120" t="s">
        <v>1947</v>
      </c>
      <c r="B81" s="2121"/>
      <c r="C81" s="1686">
        <f>(SUM(C78:C80))</f>
        <v>3379354</v>
      </c>
      <c r="D81" s="1686">
        <f>SUM(D78:D80)</f>
        <v>792811</v>
      </c>
      <c r="E81" s="1686">
        <f t="shared" ref="E81:K81" si="10">SUM(E78:E80)</f>
        <v>119087</v>
      </c>
      <c r="F81" s="1686">
        <f t="shared" si="10"/>
        <v>802739</v>
      </c>
      <c r="G81" s="1686">
        <f t="shared" si="10"/>
        <v>251103</v>
      </c>
      <c r="H81" s="1686">
        <f t="shared" si="10"/>
        <v>765469</v>
      </c>
      <c r="I81" s="1686">
        <f t="shared" si="10"/>
        <v>923174</v>
      </c>
      <c r="J81" s="1686">
        <f t="shared" si="10"/>
        <v>133633</v>
      </c>
      <c r="K81" s="1686">
        <f t="shared" si="10"/>
        <v>199554</v>
      </c>
      <c r="L81" s="347"/>
    </row>
    <row r="82" spans="1:12" ht="0.75" customHeight="1" thickTop="1" thickBot="1" x14ac:dyDescent="0.25">
      <c r="A82" s="536" t="s">
        <v>343</v>
      </c>
      <c r="B82" s="537"/>
      <c r="C82" s="538">
        <f>(C81-C79)</f>
        <v>409061</v>
      </c>
      <c r="D82" s="538">
        <f t="shared" ref="D82:K82" si="11">(D81-D79)</f>
        <v>174273</v>
      </c>
      <c r="E82" s="538">
        <f t="shared" si="11"/>
        <v>5312</v>
      </c>
      <c r="F82" s="538">
        <f t="shared" si="11"/>
        <v>106532</v>
      </c>
      <c r="G82" s="538">
        <f t="shared" si="11"/>
        <v>56334</v>
      </c>
      <c r="H82" s="538">
        <f t="shared" si="11"/>
        <v>711889</v>
      </c>
      <c r="I82" s="538">
        <f t="shared" si="11"/>
        <v>78754</v>
      </c>
      <c r="J82" s="538">
        <f t="shared" si="11"/>
        <v>19454</v>
      </c>
      <c r="K82" s="538">
        <f t="shared" si="11"/>
        <v>59987</v>
      </c>
    </row>
    <row r="83" spans="1:12" ht="14.25" hidden="1" thickTop="1" thickBot="1" x14ac:dyDescent="0.25">
      <c r="A83" s="539" t="s">
        <v>344</v>
      </c>
      <c r="B83" s="464"/>
      <c r="C83" s="540">
        <f>C82/C81</f>
        <v>0.12104709953440805</v>
      </c>
      <c r="D83" s="540">
        <f t="shared" ref="D83:K83" si="12">D82/D81</f>
        <v>0.21981657671248256</v>
      </c>
      <c r="E83" s="540">
        <f t="shared" si="12"/>
        <v>4.4606044320538767E-2</v>
      </c>
      <c r="F83" s="540">
        <f t="shared" si="12"/>
        <v>0.13271063197377977</v>
      </c>
      <c r="G83" s="540">
        <f t="shared" si="12"/>
        <v>0.22434618463339745</v>
      </c>
      <c r="H83" s="540">
        <f t="shared" si="12"/>
        <v>0.93000369707982944</v>
      </c>
      <c r="I83" s="540">
        <f t="shared" si="12"/>
        <v>8.5307861789868433E-2</v>
      </c>
      <c r="J83" s="540">
        <f t="shared" si="12"/>
        <v>0.14557781386334215</v>
      </c>
      <c r="K83" s="540">
        <f t="shared" si="12"/>
        <v>0.30060534993034466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5" activePane="bottomLeft" state="frozen"/>
      <selection activeCell="T25" sqref="T25:AA25"/>
      <selection pane="bottomLeft" activeCell="C69" sqref="C6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1801</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2137795</v>
      </c>
      <c r="D5" s="481">
        <v>360393</v>
      </c>
      <c r="E5" s="466">
        <v>143344</v>
      </c>
      <c r="F5" s="548">
        <v>227847</v>
      </c>
      <c r="G5" s="466">
        <v>137709</v>
      </c>
      <c r="H5" s="466"/>
      <c r="I5" s="466">
        <v>68074</v>
      </c>
      <c r="J5" s="467">
        <v>147101</v>
      </c>
      <c r="K5" s="466">
        <v>58682</v>
      </c>
    </row>
    <row r="6" spans="1:12" ht="15" x14ac:dyDescent="0.2">
      <c r="A6" s="463" t="s">
        <v>1662</v>
      </c>
      <c r="B6" s="470">
        <v>1130</v>
      </c>
      <c r="C6" s="466"/>
      <c r="D6" s="466"/>
      <c r="E6" s="475"/>
      <c r="F6" s="475"/>
      <c r="G6" s="468"/>
      <c r="H6" s="468"/>
      <c r="I6" s="468"/>
      <c r="J6" s="468"/>
      <c r="K6" s="468"/>
    </row>
    <row r="7" spans="1:12" x14ac:dyDescent="0.2">
      <c r="A7" s="463" t="s">
        <v>110</v>
      </c>
      <c r="B7" s="549">
        <v>1140</v>
      </c>
      <c r="C7" s="466">
        <v>30287</v>
      </c>
      <c r="D7" s="466"/>
      <c r="E7" s="468"/>
      <c r="F7" s="467"/>
      <c r="G7" s="467"/>
      <c r="H7" s="467"/>
      <c r="I7" s="468"/>
      <c r="J7" s="468"/>
      <c r="K7" s="468"/>
    </row>
    <row r="8" spans="1:12" x14ac:dyDescent="0.2">
      <c r="A8" s="463" t="s">
        <v>413</v>
      </c>
      <c r="B8" s="470">
        <v>1150</v>
      </c>
      <c r="C8" s="475"/>
      <c r="D8" s="475"/>
      <c r="E8" s="477"/>
      <c r="F8" s="477"/>
      <c r="G8" s="481">
        <v>126947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2168082</v>
      </c>
      <c r="D12" s="1705">
        <f t="shared" si="0"/>
        <v>360393</v>
      </c>
      <c r="E12" s="1705">
        <f t="shared" si="0"/>
        <v>143344</v>
      </c>
      <c r="F12" s="1705">
        <f t="shared" si="0"/>
        <v>227847</v>
      </c>
      <c r="G12" s="1705">
        <f t="shared" si="0"/>
        <v>264656</v>
      </c>
      <c r="H12" s="1705">
        <f t="shared" si="0"/>
        <v>0</v>
      </c>
      <c r="I12" s="1705">
        <f t="shared" si="0"/>
        <v>68074</v>
      </c>
      <c r="J12" s="1705">
        <f t="shared" si="0"/>
        <v>147101</v>
      </c>
      <c r="K12" s="1686">
        <f t="shared" si="0"/>
        <v>58682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5892</v>
      </c>
      <c r="D14" s="466">
        <v>993</v>
      </c>
      <c r="E14" s="466">
        <v>395</v>
      </c>
      <c r="F14" s="466">
        <v>628</v>
      </c>
      <c r="G14" s="466">
        <v>380</v>
      </c>
      <c r="H14" s="466"/>
      <c r="I14" s="466">
        <v>188</v>
      </c>
      <c r="J14" s="467">
        <v>405</v>
      </c>
      <c r="K14" s="466">
        <v>162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198248</v>
      </c>
      <c r="D16" s="466">
        <v>23209</v>
      </c>
      <c r="E16" s="466"/>
      <c r="F16" s="466"/>
      <c r="G16" s="466">
        <v>11592</v>
      </c>
      <c r="H16" s="466"/>
      <c r="I16" s="466"/>
      <c r="J16" s="467"/>
      <c r="K16" s="466"/>
    </row>
    <row r="17" spans="1:11" ht="12.75" customHeight="1" x14ac:dyDescent="0.2">
      <c r="A17" s="463" t="s">
        <v>807</v>
      </c>
      <c r="B17" s="470">
        <v>1290</v>
      </c>
      <c r="C17" s="551">
        <f>14530+455393+5180</f>
        <v>475103</v>
      </c>
      <c r="D17" s="466"/>
      <c r="E17" s="466">
        <v>632</v>
      </c>
      <c r="F17" s="466"/>
      <c r="G17" s="466"/>
      <c r="H17" s="466"/>
      <c r="I17" s="466"/>
      <c r="J17" s="467"/>
      <c r="K17" s="466"/>
    </row>
    <row r="18" spans="1:11" ht="12.75" customHeight="1" thickBot="1" x14ac:dyDescent="0.25">
      <c r="A18" s="1706" t="s">
        <v>537</v>
      </c>
      <c r="B18" s="1707"/>
      <c r="C18" s="1708">
        <f>SUM(C14:C17)</f>
        <v>679243</v>
      </c>
      <c r="D18" s="1708">
        <f t="shared" ref="D18:K18" si="1">SUM(D14:D17)</f>
        <v>24202</v>
      </c>
      <c r="E18" s="1708">
        <f t="shared" si="1"/>
        <v>1027</v>
      </c>
      <c r="F18" s="1708">
        <f t="shared" si="1"/>
        <v>628</v>
      </c>
      <c r="G18" s="1708">
        <f t="shared" si="1"/>
        <v>11972</v>
      </c>
      <c r="H18" s="1708">
        <f t="shared" si="1"/>
        <v>0</v>
      </c>
      <c r="I18" s="1708">
        <f t="shared" si="1"/>
        <v>188</v>
      </c>
      <c r="J18" s="1708">
        <f t="shared" si="1"/>
        <v>405</v>
      </c>
      <c r="K18" s="1709">
        <f t="shared" si="1"/>
        <v>162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33669</v>
      </c>
      <c r="D65" s="466">
        <v>4904</v>
      </c>
      <c r="E65" s="466">
        <v>927</v>
      </c>
      <c r="F65" s="467">
        <v>7513</v>
      </c>
      <c r="G65" s="466">
        <v>1765</v>
      </c>
      <c r="H65" s="466">
        <v>1192</v>
      </c>
      <c r="I65" s="466">
        <v>10492</v>
      </c>
      <c r="J65" s="467">
        <v>713</v>
      </c>
      <c r="K65" s="466">
        <v>1143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33669</v>
      </c>
      <c r="D67" s="1686">
        <f t="shared" ref="D67:K67" si="2">SUM(D65:D66)</f>
        <v>4904</v>
      </c>
      <c r="E67" s="1686">
        <f t="shared" si="2"/>
        <v>927</v>
      </c>
      <c r="F67" s="1686">
        <f t="shared" si="2"/>
        <v>7513</v>
      </c>
      <c r="G67" s="1686">
        <f t="shared" si="2"/>
        <v>1765</v>
      </c>
      <c r="H67" s="1686">
        <f t="shared" si="2"/>
        <v>1192</v>
      </c>
      <c r="I67" s="1686">
        <f t="shared" si="2"/>
        <v>10492</v>
      </c>
      <c r="J67" s="1686">
        <f t="shared" si="2"/>
        <v>713</v>
      </c>
      <c r="K67" s="1686">
        <f t="shared" si="2"/>
        <v>1143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48973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3914</v>
      </c>
      <c r="D73" s="468"/>
      <c r="E73" s="468"/>
      <c r="F73" s="468"/>
      <c r="G73" s="468"/>
      <c r="H73" s="468"/>
      <c r="I73" s="468"/>
      <c r="J73" s="468"/>
      <c r="K73" s="468"/>
    </row>
    <row r="74" spans="1:11" ht="12.75" customHeight="1" x14ac:dyDescent="0.2">
      <c r="A74" s="463" t="s">
        <v>25</v>
      </c>
      <c r="B74" s="470">
        <v>1690</v>
      </c>
      <c r="C74" s="551">
        <v>132</v>
      </c>
      <c r="D74" s="468"/>
      <c r="E74" s="468"/>
      <c r="F74" s="468"/>
      <c r="G74" s="468"/>
      <c r="H74" s="468"/>
      <c r="I74" s="468"/>
      <c r="J74" s="468"/>
      <c r="K74" s="468"/>
    </row>
    <row r="75" spans="1:11" ht="12.75" customHeight="1" thickBot="1" x14ac:dyDescent="0.25">
      <c r="A75" s="1706" t="s">
        <v>548</v>
      </c>
      <c r="B75" s="1707"/>
      <c r="C75" s="1686">
        <f>SUM(C69:C74)</f>
        <v>53019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46632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260+3650+10</f>
        <v>3920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50552</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f>12916+320-66</f>
        <v>13170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13170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357</v>
      </c>
      <c r="D99" s="466"/>
      <c r="E99" s="466"/>
      <c r="F99" s="466"/>
      <c r="G99" s="466"/>
      <c r="H99" s="466"/>
      <c r="I99" s="468"/>
      <c r="J99" s="467">
        <v>4387</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7200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57001</v>
      </c>
      <c r="F103" s="468"/>
      <c r="G103" s="468"/>
      <c r="H103" s="489">
        <v>179547</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v>9936</v>
      </c>
      <c r="E107" s="466"/>
      <c r="F107" s="466"/>
      <c r="G107" s="466"/>
      <c r="H107" s="466"/>
      <c r="I107" s="466"/>
      <c r="J107" s="467"/>
      <c r="K107" s="466"/>
    </row>
    <row r="108" spans="1:12" ht="12.75" customHeight="1" thickBot="1" x14ac:dyDescent="0.25">
      <c r="A108" s="1706" t="s">
        <v>487</v>
      </c>
      <c r="B108" s="1710"/>
      <c r="C108" s="1705">
        <f>SUM(C95:C107)</f>
        <v>7557</v>
      </c>
      <c r="D108" s="1705">
        <f t="shared" ref="D108:K108" si="3">SUM(D95:D107)</f>
        <v>9936</v>
      </c>
      <c r="E108" s="1705">
        <f t="shared" si="3"/>
        <v>57001</v>
      </c>
      <c r="F108" s="1705">
        <f t="shared" si="3"/>
        <v>0</v>
      </c>
      <c r="G108" s="1705">
        <f t="shared" si="3"/>
        <v>0</v>
      </c>
      <c r="H108" s="1705">
        <f t="shared" si="3"/>
        <v>179547</v>
      </c>
      <c r="I108" s="1705">
        <f t="shared" si="3"/>
        <v>0</v>
      </c>
      <c r="J108" s="1705">
        <f t="shared" si="3"/>
        <v>4387</v>
      </c>
      <c r="K108" s="1686">
        <f t="shared" si="3"/>
        <v>0</v>
      </c>
    </row>
    <row r="109" spans="1:12" ht="14.25" thickTop="1" thickBot="1" x14ac:dyDescent="0.25">
      <c r="A109" s="1711" t="s">
        <v>248</v>
      </c>
      <c r="B109" s="1712" t="s">
        <v>570</v>
      </c>
      <c r="C109" s="1713">
        <f t="shared" ref="C109:K109" si="4">SUM(C12,C18,C40,C63,C67,C75,C82,C93,C108,)</f>
        <v>3005292</v>
      </c>
      <c r="D109" s="1713">
        <f t="shared" si="4"/>
        <v>399435</v>
      </c>
      <c r="E109" s="1713">
        <f t="shared" si="4"/>
        <v>202299</v>
      </c>
      <c r="F109" s="1713">
        <f t="shared" si="4"/>
        <v>235988</v>
      </c>
      <c r="G109" s="1713">
        <f t="shared" si="4"/>
        <v>278393</v>
      </c>
      <c r="H109" s="1713">
        <f t="shared" si="4"/>
        <v>180739</v>
      </c>
      <c r="I109" s="1713">
        <f t="shared" si="4"/>
        <v>78754</v>
      </c>
      <c r="J109" s="1713">
        <f t="shared" si="4"/>
        <v>152606</v>
      </c>
      <c r="K109" s="1700">
        <f t="shared" si="4"/>
        <v>59987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2373288</v>
      </c>
      <c r="D117" s="481">
        <v>296661</v>
      </c>
      <c r="E117" s="466"/>
      <c r="F117" s="481"/>
      <c r="G117" s="481"/>
      <c r="H117" s="466">
        <v>593322</v>
      </c>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7"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2373288</v>
      </c>
      <c r="D122" s="1705">
        <f t="shared" si="5"/>
        <v>296661</v>
      </c>
      <c r="E122" s="1705">
        <f t="shared" si="5"/>
        <v>0</v>
      </c>
      <c r="F122" s="1705">
        <f t="shared" si="5"/>
        <v>0</v>
      </c>
      <c r="G122" s="1705">
        <f t="shared" si="5"/>
        <v>0</v>
      </c>
      <c r="H122" s="1705">
        <f t="shared" si="5"/>
        <v>593322</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8491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15174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23665</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f>26450+5662</f>
        <v>32112</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2901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35013</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1740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23583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112540</v>
      </c>
      <c r="G152" s="467"/>
      <c r="H152" s="468"/>
      <c r="I152" s="468"/>
      <c r="J152" s="468"/>
      <c r="K152" s="468"/>
    </row>
    <row r="153" spans="1:11" ht="12.75" customHeight="1" x14ac:dyDescent="0.2">
      <c r="A153" s="463" t="s">
        <v>1057</v>
      </c>
      <c r="B153" s="562">
        <v>3510</v>
      </c>
      <c r="C153" s="551"/>
      <c r="D153" s="466"/>
      <c r="E153" s="561"/>
      <c r="F153" s="466">
        <v>56778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169318</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283643+750+2972</f>
        <v>287365</v>
      </c>
      <c r="D168" s="580"/>
      <c r="E168" s="580"/>
      <c r="F168" s="580"/>
      <c r="G168" s="581"/>
      <c r="H168" s="582"/>
      <c r="I168" s="581"/>
      <c r="J168" s="581"/>
      <c r="K168" s="582"/>
    </row>
    <row r="169" spans="1:11" ht="12.75" customHeight="1" thickTop="1" thickBot="1" x14ac:dyDescent="0.25">
      <c r="A169" s="2144" t="s">
        <v>398</v>
      </c>
      <c r="B169" s="2145"/>
      <c r="C169" s="1720">
        <f t="shared" ref="C169:K169" si="6">SUM(C132,C141,C145,C146:C150,C155,C156:C167,C168)</f>
        <v>371366</v>
      </c>
      <c r="D169" s="1720">
        <f t="shared" si="6"/>
        <v>0</v>
      </c>
      <c r="E169" s="1720">
        <f t="shared" si="6"/>
        <v>0</v>
      </c>
      <c r="F169" s="1720">
        <f t="shared" si="6"/>
        <v>169318</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2744654</v>
      </c>
      <c r="D170" s="1713">
        <f t="shared" si="7"/>
        <v>296661</v>
      </c>
      <c r="E170" s="1713">
        <f t="shared" si="7"/>
        <v>0</v>
      </c>
      <c r="F170" s="1713">
        <f t="shared" si="7"/>
        <v>169318</v>
      </c>
      <c r="G170" s="1713">
        <f t="shared" si="7"/>
        <v>0</v>
      </c>
      <c r="H170" s="1713">
        <f t="shared" si="7"/>
        <v>593322</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8" t="s">
        <v>1802</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9831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9831</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91657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15954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107611</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247102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24859</v>
      </c>
      <c r="D203" s="466"/>
      <c r="E203" s="468"/>
      <c r="F203" s="466"/>
      <c r="G203" s="466"/>
      <c r="H203" s="468"/>
      <c r="I203" s="468"/>
      <c r="J203" s="468"/>
      <c r="K203" s="468"/>
    </row>
    <row r="204" spans="1:11" ht="12.75" customHeight="1" thickBot="1" x14ac:dyDescent="0.25">
      <c r="A204" s="1706" t="s">
        <v>400</v>
      </c>
      <c r="B204" s="1707"/>
      <c r="C204" s="1705">
        <f>SUM(C200:C203)</f>
        <v>271961</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21800</v>
      </c>
      <c r="D206" s="466"/>
      <c r="E206" s="468"/>
      <c r="F206" s="466"/>
      <c r="G206" s="466"/>
      <c r="H206" s="468"/>
      <c r="I206" s="468"/>
      <c r="J206" s="468"/>
      <c r="K206" s="468"/>
    </row>
    <row r="207" spans="1:11" ht="12.75" customHeight="1" x14ac:dyDescent="0.2">
      <c r="A207" s="463" t="s">
        <v>1453</v>
      </c>
      <c r="B207" s="470">
        <v>4421</v>
      </c>
      <c r="C207" s="551">
        <v>96987</v>
      </c>
      <c r="D207" s="466"/>
      <c r="E207" s="468"/>
      <c r="F207" s="466">
        <v>1083</v>
      </c>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118787</v>
      </c>
      <c r="D209" s="1705">
        <f>SUM(D206:D208)</f>
        <v>0</v>
      </c>
      <c r="E209" s="468" t="s">
        <v>1169</v>
      </c>
      <c r="F209" s="1705">
        <f>SUM(F206:F208)</f>
        <v>1083</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32454</v>
      </c>
      <c r="D213" s="466"/>
      <c r="E213" s="468"/>
      <c r="F213" s="466"/>
      <c r="G213" s="466"/>
      <c r="H213" s="468"/>
      <c r="I213" s="468"/>
      <c r="J213" s="468"/>
      <c r="K213" s="468"/>
    </row>
    <row r="214" spans="1:11" ht="12.75" customHeight="1" x14ac:dyDescent="0.2">
      <c r="A214" s="463" t="s">
        <v>1054</v>
      </c>
      <c r="B214" s="470">
        <v>4625</v>
      </c>
      <c r="C214" s="551">
        <v>264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32718</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19995</v>
      </c>
      <c r="D219" s="466"/>
      <c r="E219" s="468"/>
      <c r="F219" s="468"/>
      <c r="G219" s="466"/>
      <c r="H219" s="468"/>
      <c r="I219" s="468"/>
      <c r="J219" s="468"/>
      <c r="K219" s="468"/>
    </row>
    <row r="220" spans="1:11" ht="12.75" customHeight="1" x14ac:dyDescent="0.2">
      <c r="A220" s="463" t="s">
        <v>67</v>
      </c>
      <c r="B220" s="470">
        <v>4799</v>
      </c>
      <c r="C220" s="551">
        <v>23136</v>
      </c>
      <c r="D220" s="466"/>
      <c r="E220" s="468"/>
      <c r="F220" s="468"/>
      <c r="G220" s="466"/>
      <c r="H220" s="468"/>
      <c r="I220" s="468"/>
      <c r="J220" s="468"/>
      <c r="K220" s="468"/>
    </row>
    <row r="221" spans="1:11" ht="12.75" customHeight="1" thickBot="1" x14ac:dyDescent="0.25">
      <c r="A221" s="1721" t="s">
        <v>1085</v>
      </c>
      <c r="B221" s="1722"/>
      <c r="C221" s="1705">
        <f>SUM(C219:C220)</f>
        <v>43131</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v>18713</v>
      </c>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18713</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28531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15815</v>
      </c>
      <c r="D263" s="576"/>
      <c r="E263" s="468"/>
      <c r="F263" s="576"/>
      <c r="G263" s="576"/>
      <c r="H263" s="468"/>
      <c r="I263" s="468"/>
      <c r="J263" s="468"/>
      <c r="K263" s="468"/>
    </row>
    <row r="264" spans="1:11" ht="12.75" customHeight="1" thickTop="1" thickBot="1" x14ac:dyDescent="0.25">
      <c r="A264" s="463" t="s">
        <v>377</v>
      </c>
      <c r="B264" s="470">
        <v>4992</v>
      </c>
      <c r="C264" s="575">
        <v>2286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630671</v>
      </c>
      <c r="D266" s="1713">
        <f t="shared" si="10"/>
        <v>0</v>
      </c>
      <c r="E266" s="1713">
        <f t="shared" si="10"/>
        <v>18713</v>
      </c>
      <c r="F266" s="1713">
        <f t="shared" si="10"/>
        <v>1083</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630671</v>
      </c>
      <c r="D267" s="1713">
        <f>SUM(D175,D181,D266)</f>
        <v>0</v>
      </c>
      <c r="E267" s="1713">
        <f>SUM(E175,E266)</f>
        <v>18713</v>
      </c>
      <c r="F267" s="1713">
        <f t="shared" ref="F267:K267" si="11">SUM(F175,F181,F266)</f>
        <v>1083</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6380617</v>
      </c>
      <c r="D268" s="1713">
        <f t="shared" si="12"/>
        <v>696096</v>
      </c>
      <c r="E268" s="1713">
        <f t="shared" si="12"/>
        <v>221012</v>
      </c>
      <c r="F268" s="1713">
        <f t="shared" si="12"/>
        <v>406389</v>
      </c>
      <c r="G268" s="1713">
        <f t="shared" si="12"/>
        <v>278393</v>
      </c>
      <c r="H268" s="1713">
        <f t="shared" si="12"/>
        <v>774061</v>
      </c>
      <c r="I268" s="1713">
        <f t="shared" si="12"/>
        <v>78754</v>
      </c>
      <c r="J268" s="1713">
        <f t="shared" si="12"/>
        <v>152606</v>
      </c>
      <c r="K268" s="1700">
        <f t="shared" si="12"/>
        <v>59987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5" activePane="bottomLeft" state="frozen"/>
      <selection activeCell="T25" sqref="T25:AA25"/>
      <selection pane="bottomLeft" activeCell="T25" sqref="T25:AA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1657427</v>
      </c>
      <c r="D5" s="466">
        <v>422848</v>
      </c>
      <c r="E5" s="466">
        <v>1689</v>
      </c>
      <c r="F5" s="466">
        <f>68976-320</f>
        <v>68656</v>
      </c>
      <c r="G5" s="466">
        <v>23551</v>
      </c>
      <c r="H5" s="466">
        <v>557</v>
      </c>
      <c r="I5" s="467"/>
      <c r="J5" s="467"/>
      <c r="K5" s="1669">
        <f>SUM(C5:J5)</f>
        <v>2174728</v>
      </c>
      <c r="L5" s="466">
        <v>0</v>
      </c>
    </row>
    <row r="6" spans="1:14" x14ac:dyDescent="0.2">
      <c r="A6" s="1504" t="s">
        <v>1433</v>
      </c>
      <c r="B6" s="614" t="s">
        <v>1431</v>
      </c>
      <c r="C6" s="477"/>
      <c r="D6" s="477"/>
      <c r="E6" s="466"/>
      <c r="F6" s="477"/>
      <c r="G6" s="477"/>
      <c r="H6" s="477"/>
      <c r="I6" s="477"/>
      <c r="J6" s="477"/>
      <c r="K6" s="1669">
        <f>SUM(C6,E6)</f>
        <v>0</v>
      </c>
      <c r="L6" s="466">
        <v>0</v>
      </c>
    </row>
    <row r="7" spans="1:14" x14ac:dyDescent="0.2">
      <c r="A7" s="1504" t="s">
        <v>163</v>
      </c>
      <c r="B7" s="614" t="s">
        <v>967</v>
      </c>
      <c r="C7" s="467"/>
      <c r="D7" s="467"/>
      <c r="E7" s="467"/>
      <c r="F7" s="467"/>
      <c r="G7" s="467"/>
      <c r="H7" s="467"/>
      <c r="I7" s="467"/>
      <c r="J7" s="467"/>
      <c r="K7" s="1669">
        <f t="shared" ref="K7:K32" si="0">SUM(C7:J7)</f>
        <v>0</v>
      </c>
      <c r="L7" s="466">
        <v>2179613</v>
      </c>
    </row>
    <row r="8" spans="1:14" x14ac:dyDescent="0.2">
      <c r="A8" s="1504" t="s">
        <v>164</v>
      </c>
      <c r="B8" s="614">
        <v>1200</v>
      </c>
      <c r="C8" s="466">
        <v>456094</v>
      </c>
      <c r="D8" s="466">
        <v>103145</v>
      </c>
      <c r="E8" s="466">
        <v>200</v>
      </c>
      <c r="F8" s="466">
        <v>4671</v>
      </c>
      <c r="G8" s="466"/>
      <c r="H8" s="466">
        <v>75</v>
      </c>
      <c r="I8" s="467"/>
      <c r="J8" s="467"/>
      <c r="K8" s="1669">
        <f t="shared" si="0"/>
        <v>564185</v>
      </c>
      <c r="L8" s="466">
        <v>627512</v>
      </c>
    </row>
    <row r="9" spans="1:14" x14ac:dyDescent="0.2">
      <c r="A9" s="1504" t="s">
        <v>721</v>
      </c>
      <c r="B9" s="614" t="s">
        <v>968</v>
      </c>
      <c r="C9" s="467"/>
      <c r="D9" s="467"/>
      <c r="E9" s="467"/>
      <c r="F9" s="467"/>
      <c r="G9" s="467"/>
      <c r="H9" s="467"/>
      <c r="I9" s="467"/>
      <c r="J9" s="467"/>
      <c r="K9" s="1669">
        <f t="shared" si="0"/>
        <v>0</v>
      </c>
      <c r="L9" s="466">
        <v>0</v>
      </c>
    </row>
    <row r="10" spans="1:14" x14ac:dyDescent="0.2">
      <c r="A10" s="1504" t="s">
        <v>722</v>
      </c>
      <c r="B10" s="614">
        <v>1250</v>
      </c>
      <c r="C10" s="466">
        <v>89187</v>
      </c>
      <c r="D10" s="466">
        <v>19089</v>
      </c>
      <c r="E10" s="466">
        <v>12481</v>
      </c>
      <c r="F10" s="466">
        <v>55451</v>
      </c>
      <c r="G10" s="466">
        <v>3329</v>
      </c>
      <c r="H10" s="466"/>
      <c r="I10" s="467"/>
      <c r="J10" s="467"/>
      <c r="K10" s="1669">
        <f t="shared" si="0"/>
        <v>179537</v>
      </c>
      <c r="L10" s="466">
        <v>145000</v>
      </c>
    </row>
    <row r="11" spans="1:14" x14ac:dyDescent="0.2">
      <c r="A11" s="1504" t="s">
        <v>1130</v>
      </c>
      <c r="B11" s="614" t="s">
        <v>161</v>
      </c>
      <c r="C11" s="467"/>
      <c r="D11" s="467"/>
      <c r="E11" s="467"/>
      <c r="F11" s="467"/>
      <c r="G11" s="467"/>
      <c r="H11" s="467"/>
      <c r="I11" s="467"/>
      <c r="J11" s="467"/>
      <c r="K11" s="1669">
        <f t="shared" si="0"/>
        <v>0</v>
      </c>
      <c r="L11" s="466">
        <v>0</v>
      </c>
    </row>
    <row r="12" spans="1:14" x14ac:dyDescent="0.2">
      <c r="A12" s="1504" t="s">
        <v>962</v>
      </c>
      <c r="B12" s="614">
        <v>1300</v>
      </c>
      <c r="C12" s="466"/>
      <c r="D12" s="466"/>
      <c r="E12" s="466"/>
      <c r="F12" s="466"/>
      <c r="G12" s="466"/>
      <c r="H12" s="466"/>
      <c r="I12" s="467"/>
      <c r="J12" s="467"/>
      <c r="K12" s="1669">
        <f t="shared" si="0"/>
        <v>0</v>
      </c>
      <c r="L12" s="466">
        <v>0</v>
      </c>
    </row>
    <row r="13" spans="1:14" x14ac:dyDescent="0.2">
      <c r="A13" s="1504" t="s">
        <v>723</v>
      </c>
      <c r="B13" s="614">
        <v>1400</v>
      </c>
      <c r="C13" s="466">
        <v>335476</v>
      </c>
      <c r="D13" s="466">
        <v>93660</v>
      </c>
      <c r="E13" s="466">
        <v>1041</v>
      </c>
      <c r="F13" s="466">
        <v>38450</v>
      </c>
      <c r="G13" s="466">
        <v>7308</v>
      </c>
      <c r="H13" s="466">
        <v>370</v>
      </c>
      <c r="I13" s="467"/>
      <c r="J13" s="467"/>
      <c r="K13" s="1669">
        <f t="shared" si="0"/>
        <v>476305</v>
      </c>
      <c r="L13" s="466">
        <v>500005</v>
      </c>
    </row>
    <row r="14" spans="1:14" x14ac:dyDescent="0.2">
      <c r="A14" s="1504" t="s">
        <v>963</v>
      </c>
      <c r="B14" s="614">
        <v>1500</v>
      </c>
      <c r="C14" s="466">
        <v>184549</v>
      </c>
      <c r="D14" s="466">
        <v>18953</v>
      </c>
      <c r="E14" s="466">
        <v>53758</v>
      </c>
      <c r="F14" s="466">
        <v>31766</v>
      </c>
      <c r="G14" s="466">
        <v>3594</v>
      </c>
      <c r="H14" s="466">
        <v>8630</v>
      </c>
      <c r="I14" s="467"/>
      <c r="J14" s="467"/>
      <c r="K14" s="1669">
        <f t="shared" si="0"/>
        <v>301250</v>
      </c>
      <c r="L14" s="466">
        <v>318825</v>
      </c>
    </row>
    <row r="15" spans="1:14" x14ac:dyDescent="0.2">
      <c r="A15" s="1504" t="s">
        <v>964</v>
      </c>
      <c r="B15" s="614">
        <v>1600</v>
      </c>
      <c r="C15" s="466"/>
      <c r="D15" s="466"/>
      <c r="E15" s="466"/>
      <c r="F15" s="466"/>
      <c r="G15" s="466"/>
      <c r="H15" s="466"/>
      <c r="I15" s="467"/>
      <c r="J15" s="467"/>
      <c r="K15" s="1669">
        <f t="shared" si="0"/>
        <v>0</v>
      </c>
      <c r="L15" s="466">
        <v>0</v>
      </c>
    </row>
    <row r="16" spans="1:14" x14ac:dyDescent="0.2">
      <c r="A16" s="1504" t="s">
        <v>987</v>
      </c>
      <c r="B16" s="614" t="s">
        <v>424</v>
      </c>
      <c r="C16" s="466"/>
      <c r="D16" s="466"/>
      <c r="E16" s="466"/>
      <c r="F16" s="466"/>
      <c r="G16" s="466"/>
      <c r="H16" s="466"/>
      <c r="I16" s="467"/>
      <c r="J16" s="467"/>
      <c r="K16" s="1669">
        <f t="shared" si="0"/>
        <v>0</v>
      </c>
      <c r="L16" s="466">
        <v>0</v>
      </c>
    </row>
    <row r="17" spans="1:12" x14ac:dyDescent="0.2">
      <c r="A17" s="1504" t="s">
        <v>724</v>
      </c>
      <c r="B17" s="614" t="s">
        <v>162</v>
      </c>
      <c r="C17" s="467">
        <v>83442</v>
      </c>
      <c r="D17" s="467">
        <v>24866</v>
      </c>
      <c r="E17" s="467">
        <v>2800</v>
      </c>
      <c r="F17" s="467">
        <v>2424</v>
      </c>
      <c r="G17" s="467"/>
      <c r="H17" s="467"/>
      <c r="I17" s="467"/>
      <c r="J17" s="467"/>
      <c r="K17" s="1669">
        <f t="shared" si="0"/>
        <v>113532</v>
      </c>
      <c r="L17" s="466">
        <v>145436</v>
      </c>
    </row>
    <row r="18" spans="1:12" x14ac:dyDescent="0.2">
      <c r="A18" s="1504" t="s">
        <v>1087</v>
      </c>
      <c r="B18" s="614">
        <v>1800</v>
      </c>
      <c r="C18" s="466"/>
      <c r="D18" s="466"/>
      <c r="E18" s="466"/>
      <c r="F18" s="466"/>
      <c r="G18" s="466"/>
      <c r="H18" s="466"/>
      <c r="I18" s="467"/>
      <c r="J18" s="467"/>
      <c r="K18" s="1669">
        <f t="shared" si="0"/>
        <v>0</v>
      </c>
      <c r="L18" s="466">
        <v>0</v>
      </c>
    </row>
    <row r="19" spans="1:12" x14ac:dyDescent="0.2">
      <c r="A19" s="1504" t="s">
        <v>134</v>
      </c>
      <c r="B19" s="614">
        <v>1900</v>
      </c>
      <c r="C19" s="466"/>
      <c r="D19" s="466"/>
      <c r="E19" s="466"/>
      <c r="F19" s="466"/>
      <c r="G19" s="466"/>
      <c r="H19" s="466"/>
      <c r="I19" s="467"/>
      <c r="J19" s="467"/>
      <c r="K19" s="1669">
        <f t="shared" si="0"/>
        <v>0</v>
      </c>
      <c r="L19" s="466">
        <v>0</v>
      </c>
    </row>
    <row r="20" spans="1:12" x14ac:dyDescent="0.2">
      <c r="A20" s="1505" t="s">
        <v>738</v>
      </c>
      <c r="B20" s="602" t="s">
        <v>725</v>
      </c>
      <c r="C20" s="477"/>
      <c r="D20" s="477"/>
      <c r="E20" s="477"/>
      <c r="F20" s="477"/>
      <c r="G20" s="477"/>
      <c r="H20" s="474"/>
      <c r="I20" s="616"/>
      <c r="J20" s="475"/>
      <c r="K20" s="1669">
        <f t="shared" si="0"/>
        <v>0</v>
      </c>
      <c r="L20" s="471">
        <v>0</v>
      </c>
    </row>
    <row r="21" spans="1:12" x14ac:dyDescent="0.2">
      <c r="A21" s="1505" t="s">
        <v>739</v>
      </c>
      <c r="B21" s="602" t="s">
        <v>726</v>
      </c>
      <c r="C21" s="477"/>
      <c r="D21" s="477"/>
      <c r="E21" s="477"/>
      <c r="F21" s="477"/>
      <c r="G21" s="477"/>
      <c r="H21" s="474"/>
      <c r="I21" s="616"/>
      <c r="J21" s="477"/>
      <c r="K21" s="1669">
        <f t="shared" si="0"/>
        <v>0</v>
      </c>
      <c r="L21" s="471">
        <v>0</v>
      </c>
    </row>
    <row r="22" spans="1:12" x14ac:dyDescent="0.2">
      <c r="A22" s="1505" t="s">
        <v>740</v>
      </c>
      <c r="B22" s="602" t="s">
        <v>727</v>
      </c>
      <c r="C22" s="477"/>
      <c r="D22" s="477"/>
      <c r="E22" s="477"/>
      <c r="F22" s="477"/>
      <c r="G22" s="477"/>
      <c r="H22" s="474"/>
      <c r="I22" s="616"/>
      <c r="J22" s="477"/>
      <c r="K22" s="1669">
        <f t="shared" si="0"/>
        <v>0</v>
      </c>
      <c r="L22" s="471">
        <v>0</v>
      </c>
    </row>
    <row r="23" spans="1:12" x14ac:dyDescent="0.2">
      <c r="A23" s="1505" t="s">
        <v>741</v>
      </c>
      <c r="B23" s="602" t="s">
        <v>728</v>
      </c>
      <c r="C23" s="477"/>
      <c r="D23" s="477"/>
      <c r="E23" s="477"/>
      <c r="F23" s="477"/>
      <c r="G23" s="477"/>
      <c r="H23" s="474"/>
      <c r="I23" s="616"/>
      <c r="J23" s="477"/>
      <c r="K23" s="1669">
        <f t="shared" si="0"/>
        <v>0</v>
      </c>
      <c r="L23" s="471">
        <v>0</v>
      </c>
    </row>
    <row r="24" spans="1:12" ht="12.75" customHeight="1" x14ac:dyDescent="0.2">
      <c r="A24" s="1505" t="s">
        <v>742</v>
      </c>
      <c r="B24" s="602" t="s">
        <v>729</v>
      </c>
      <c r="C24" s="477"/>
      <c r="D24" s="477"/>
      <c r="E24" s="477"/>
      <c r="F24" s="477"/>
      <c r="G24" s="477"/>
      <c r="H24" s="474"/>
      <c r="I24" s="616"/>
      <c r="J24" s="477"/>
      <c r="K24" s="1669">
        <f t="shared" si="0"/>
        <v>0</v>
      </c>
      <c r="L24" s="471">
        <v>0</v>
      </c>
    </row>
    <row r="25" spans="1:12" ht="12.75" customHeight="1" x14ac:dyDescent="0.2">
      <c r="A25" s="1505" t="s">
        <v>802</v>
      </c>
      <c r="B25" s="602" t="s">
        <v>730</v>
      </c>
      <c r="C25" s="477"/>
      <c r="D25" s="477"/>
      <c r="E25" s="477"/>
      <c r="F25" s="477"/>
      <c r="G25" s="477"/>
      <c r="H25" s="474"/>
      <c r="I25" s="616"/>
      <c r="J25" s="477"/>
      <c r="K25" s="1669">
        <f t="shared" si="0"/>
        <v>0</v>
      </c>
      <c r="L25" s="471">
        <v>0</v>
      </c>
    </row>
    <row r="26" spans="1:12" x14ac:dyDescent="0.2">
      <c r="A26" s="1505" t="s">
        <v>622</v>
      </c>
      <c r="B26" s="602" t="s">
        <v>731</v>
      </c>
      <c r="C26" s="477"/>
      <c r="D26" s="477"/>
      <c r="E26" s="477"/>
      <c r="F26" s="477"/>
      <c r="G26" s="477"/>
      <c r="H26" s="474"/>
      <c r="I26" s="616"/>
      <c r="J26" s="477"/>
      <c r="K26" s="1669">
        <f t="shared" si="0"/>
        <v>0</v>
      </c>
      <c r="L26" s="471">
        <v>0</v>
      </c>
    </row>
    <row r="27" spans="1:12" x14ac:dyDescent="0.2">
      <c r="A27" s="1505" t="s">
        <v>623</v>
      </c>
      <c r="B27" s="602" t="s">
        <v>732</v>
      </c>
      <c r="C27" s="477"/>
      <c r="D27" s="477"/>
      <c r="E27" s="477"/>
      <c r="F27" s="477"/>
      <c r="G27" s="477"/>
      <c r="H27" s="474"/>
      <c r="I27" s="616"/>
      <c r="J27" s="477"/>
      <c r="K27" s="1669">
        <f t="shared" si="0"/>
        <v>0</v>
      </c>
      <c r="L27" s="471">
        <v>0</v>
      </c>
    </row>
    <row r="28" spans="1:12" x14ac:dyDescent="0.2">
      <c r="A28" s="1505" t="s">
        <v>150</v>
      </c>
      <c r="B28" s="602" t="s">
        <v>733</v>
      </c>
      <c r="C28" s="477"/>
      <c r="D28" s="477"/>
      <c r="E28" s="477"/>
      <c r="F28" s="477"/>
      <c r="G28" s="477"/>
      <c r="H28" s="474"/>
      <c r="I28" s="616"/>
      <c r="J28" s="477"/>
      <c r="K28" s="1669">
        <f t="shared" si="0"/>
        <v>0</v>
      </c>
      <c r="L28" s="471">
        <v>0</v>
      </c>
    </row>
    <row r="29" spans="1:12" x14ac:dyDescent="0.2">
      <c r="A29" s="1505" t="s">
        <v>151</v>
      </c>
      <c r="B29" s="602" t="s">
        <v>734</v>
      </c>
      <c r="C29" s="477"/>
      <c r="D29" s="477"/>
      <c r="E29" s="477"/>
      <c r="F29" s="477"/>
      <c r="G29" s="477"/>
      <c r="H29" s="474"/>
      <c r="I29" s="616"/>
      <c r="J29" s="477"/>
      <c r="K29" s="1669">
        <f t="shared" si="0"/>
        <v>0</v>
      </c>
      <c r="L29" s="471">
        <v>0</v>
      </c>
    </row>
    <row r="30" spans="1:12" x14ac:dyDescent="0.2">
      <c r="A30" s="1505" t="s">
        <v>152</v>
      </c>
      <c r="B30" s="602" t="s">
        <v>735</v>
      </c>
      <c r="C30" s="477"/>
      <c r="D30" s="477"/>
      <c r="E30" s="477"/>
      <c r="F30" s="477"/>
      <c r="G30" s="477"/>
      <c r="H30" s="474"/>
      <c r="I30" s="616"/>
      <c r="J30" s="477"/>
      <c r="K30" s="1669">
        <f t="shared" si="0"/>
        <v>0</v>
      </c>
      <c r="L30" s="471">
        <v>0</v>
      </c>
    </row>
    <row r="31" spans="1:12" x14ac:dyDescent="0.2">
      <c r="A31" s="1505" t="s">
        <v>153</v>
      </c>
      <c r="B31" s="602" t="s">
        <v>736</v>
      </c>
      <c r="C31" s="477"/>
      <c r="D31" s="477"/>
      <c r="E31" s="477"/>
      <c r="F31" s="477"/>
      <c r="G31" s="477"/>
      <c r="H31" s="474"/>
      <c r="I31" s="616"/>
      <c r="J31" s="477"/>
      <c r="K31" s="1669">
        <f t="shared" si="0"/>
        <v>0</v>
      </c>
      <c r="L31" s="471">
        <v>0</v>
      </c>
    </row>
    <row r="32" spans="1:12" x14ac:dyDescent="0.2">
      <c r="A32" s="1506"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2806175</v>
      </c>
      <c r="D33" s="1668">
        <f t="shared" ref="D33:L33" si="1">SUM(D5:D32)</f>
        <v>682561</v>
      </c>
      <c r="E33" s="1668">
        <f t="shared" si="1"/>
        <v>71969</v>
      </c>
      <c r="F33" s="1668">
        <f t="shared" si="1"/>
        <v>201418</v>
      </c>
      <c r="G33" s="1668">
        <f t="shared" si="1"/>
        <v>37782</v>
      </c>
      <c r="H33" s="1668">
        <f t="shared" si="1"/>
        <v>9632</v>
      </c>
      <c r="I33" s="1668">
        <f t="shared" si="1"/>
        <v>0</v>
      </c>
      <c r="J33" s="1668">
        <f t="shared" si="1"/>
        <v>0</v>
      </c>
      <c r="K33" s="1668">
        <f t="shared" si="1"/>
        <v>3809537</v>
      </c>
      <c r="L33" s="1668">
        <f t="shared" si="1"/>
        <v>3916391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v>0</v>
      </c>
    </row>
    <row r="37" spans="1:14" x14ac:dyDescent="0.2">
      <c r="A37" s="1504" t="s">
        <v>1090</v>
      </c>
      <c r="B37" s="614">
        <v>2120</v>
      </c>
      <c r="C37" s="466">
        <v>104859</v>
      </c>
      <c r="D37" s="466">
        <v>26220</v>
      </c>
      <c r="E37" s="466">
        <v>76</v>
      </c>
      <c r="F37" s="466">
        <v>2585</v>
      </c>
      <c r="G37" s="466">
        <v>1312</v>
      </c>
      <c r="H37" s="466">
        <v>70</v>
      </c>
      <c r="I37" s="467"/>
      <c r="J37" s="467"/>
      <c r="K37" s="1669">
        <f t="shared" si="2"/>
        <v>135122</v>
      </c>
      <c r="L37" s="466">
        <v>141266</v>
      </c>
    </row>
    <row r="38" spans="1:14" x14ac:dyDescent="0.2">
      <c r="A38" s="1504" t="s">
        <v>198</v>
      </c>
      <c r="B38" s="614">
        <v>2130</v>
      </c>
      <c r="C38" s="466">
        <v>59355</v>
      </c>
      <c r="D38" s="466">
        <v>22407</v>
      </c>
      <c r="E38" s="466">
        <v>59</v>
      </c>
      <c r="F38" s="466">
        <v>3913</v>
      </c>
      <c r="G38" s="466">
        <v>352</v>
      </c>
      <c r="H38" s="466"/>
      <c r="I38" s="467"/>
      <c r="J38" s="467"/>
      <c r="K38" s="1669">
        <f t="shared" si="2"/>
        <v>86086</v>
      </c>
      <c r="L38" s="466">
        <v>111273</v>
      </c>
    </row>
    <row r="39" spans="1:14" x14ac:dyDescent="0.2">
      <c r="A39" s="1504" t="s">
        <v>199</v>
      </c>
      <c r="B39" s="614">
        <v>2140</v>
      </c>
      <c r="C39" s="466">
        <v>56618</v>
      </c>
      <c r="D39" s="466">
        <v>12513</v>
      </c>
      <c r="E39" s="466">
        <v>931</v>
      </c>
      <c r="F39" s="466">
        <v>850</v>
      </c>
      <c r="G39" s="466"/>
      <c r="H39" s="466"/>
      <c r="I39" s="467"/>
      <c r="J39" s="467"/>
      <c r="K39" s="1669">
        <f t="shared" si="2"/>
        <v>70912</v>
      </c>
      <c r="L39" s="466">
        <v>68958</v>
      </c>
    </row>
    <row r="40" spans="1:14" x14ac:dyDescent="0.2">
      <c r="A40" s="1504" t="s">
        <v>200</v>
      </c>
      <c r="B40" s="614">
        <v>2150</v>
      </c>
      <c r="C40" s="466"/>
      <c r="D40" s="466"/>
      <c r="E40" s="466"/>
      <c r="F40" s="466"/>
      <c r="G40" s="466"/>
      <c r="H40" s="466"/>
      <c r="I40" s="467"/>
      <c r="J40" s="467"/>
      <c r="K40" s="1669">
        <f t="shared" si="2"/>
        <v>0</v>
      </c>
      <c r="L40" s="466">
        <v>0</v>
      </c>
    </row>
    <row r="41" spans="1:14" x14ac:dyDescent="0.2">
      <c r="A41" s="1504" t="s">
        <v>1669</v>
      </c>
      <c r="B41" s="614">
        <v>2190</v>
      </c>
      <c r="C41" s="466"/>
      <c r="D41" s="466"/>
      <c r="E41" s="466"/>
      <c r="F41" s="466"/>
      <c r="G41" s="466"/>
      <c r="H41" s="466"/>
      <c r="I41" s="467"/>
      <c r="J41" s="467"/>
      <c r="K41" s="1669">
        <f t="shared" si="2"/>
        <v>0</v>
      </c>
      <c r="L41" s="466">
        <v>0</v>
      </c>
    </row>
    <row r="42" spans="1:14" ht="12.75" customHeight="1" thickBot="1" x14ac:dyDescent="0.25">
      <c r="A42" s="1666" t="s">
        <v>560</v>
      </c>
      <c r="B42" s="1667" t="s">
        <v>716</v>
      </c>
      <c r="C42" s="1668">
        <f>SUM(C36:C41)</f>
        <v>220832</v>
      </c>
      <c r="D42" s="1668">
        <f t="shared" ref="D42:L42" si="3">SUM(D36:D41)</f>
        <v>61140</v>
      </c>
      <c r="E42" s="1668">
        <f t="shared" si="3"/>
        <v>1066</v>
      </c>
      <c r="F42" s="1668">
        <f t="shared" si="3"/>
        <v>7348</v>
      </c>
      <c r="G42" s="1668">
        <f t="shared" si="3"/>
        <v>1664</v>
      </c>
      <c r="H42" s="1668">
        <f t="shared" si="3"/>
        <v>70</v>
      </c>
      <c r="I42" s="1668">
        <f t="shared" si="3"/>
        <v>0</v>
      </c>
      <c r="J42" s="1668">
        <f t="shared" si="3"/>
        <v>0</v>
      </c>
      <c r="K42" s="1668">
        <f t="shared" si="3"/>
        <v>292120</v>
      </c>
      <c r="L42" s="1668">
        <f t="shared" si="3"/>
        <v>321497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1400</v>
      </c>
      <c r="E44" s="481">
        <v>11763</v>
      </c>
      <c r="F44" s="481"/>
      <c r="G44" s="481"/>
      <c r="H44" s="481"/>
      <c r="I44" s="467"/>
      <c r="J44" s="467"/>
      <c r="K44" s="1670">
        <f>SUM(C44:J44)</f>
        <v>13163</v>
      </c>
      <c r="L44" s="481">
        <v>18200</v>
      </c>
    </row>
    <row r="45" spans="1:14" x14ac:dyDescent="0.2">
      <c r="A45" s="1504" t="s">
        <v>815</v>
      </c>
      <c r="B45" s="614">
        <v>2220</v>
      </c>
      <c r="C45" s="466">
        <v>110424</v>
      </c>
      <c r="D45" s="466">
        <v>32002</v>
      </c>
      <c r="E45" s="466">
        <v>11393</v>
      </c>
      <c r="F45" s="466">
        <v>11027</v>
      </c>
      <c r="G45" s="466">
        <v>37472</v>
      </c>
      <c r="H45" s="466"/>
      <c r="I45" s="467"/>
      <c r="J45" s="467"/>
      <c r="K45" s="1670">
        <f>SUM(C45:J45)</f>
        <v>202318</v>
      </c>
      <c r="L45" s="466">
        <v>240251</v>
      </c>
    </row>
    <row r="46" spans="1:14" x14ac:dyDescent="0.2">
      <c r="A46" s="1504" t="s">
        <v>816</v>
      </c>
      <c r="B46" s="614">
        <v>2230</v>
      </c>
      <c r="C46" s="466"/>
      <c r="D46" s="466"/>
      <c r="E46" s="466">
        <v>1066</v>
      </c>
      <c r="F46" s="466"/>
      <c r="G46" s="466"/>
      <c r="H46" s="466"/>
      <c r="I46" s="467"/>
      <c r="J46" s="467"/>
      <c r="K46" s="1670">
        <f>SUM(C46:J46)</f>
        <v>1066</v>
      </c>
      <c r="L46" s="466">
        <v>11000</v>
      </c>
    </row>
    <row r="47" spans="1:14" ht="12.75" customHeight="1" thickBot="1" x14ac:dyDescent="0.25">
      <c r="A47" s="1666" t="s">
        <v>561</v>
      </c>
      <c r="B47" s="1667" t="s">
        <v>32</v>
      </c>
      <c r="C47" s="1668">
        <f>SUM(C44:C46)</f>
        <v>110424</v>
      </c>
      <c r="D47" s="1668">
        <f t="shared" ref="D47:K47" si="4">SUM(D44:D46)</f>
        <v>33402</v>
      </c>
      <c r="E47" s="1668">
        <f t="shared" si="4"/>
        <v>24222</v>
      </c>
      <c r="F47" s="1668">
        <f t="shared" si="4"/>
        <v>11027</v>
      </c>
      <c r="G47" s="1668">
        <f t="shared" si="4"/>
        <v>37472</v>
      </c>
      <c r="H47" s="1668">
        <f t="shared" si="4"/>
        <v>0</v>
      </c>
      <c r="I47" s="1668">
        <f t="shared" si="4"/>
        <v>0</v>
      </c>
      <c r="J47" s="1668">
        <f t="shared" si="4"/>
        <v>0</v>
      </c>
      <c r="K47" s="1668">
        <f t="shared" si="4"/>
        <v>216547</v>
      </c>
      <c r="L47" s="1668">
        <f>SUM(L44:L46)</f>
        <v>269451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22145</v>
      </c>
      <c r="F49" s="481">
        <v>1698</v>
      </c>
      <c r="G49" s="481"/>
      <c r="H49" s="481">
        <v>6751</v>
      </c>
      <c r="I49" s="467"/>
      <c r="J49" s="467"/>
      <c r="K49" s="1670">
        <f>SUM(C49:J49)</f>
        <v>30594</v>
      </c>
      <c r="L49" s="481">
        <v>50610</v>
      </c>
    </row>
    <row r="50" spans="1:14" x14ac:dyDescent="0.2">
      <c r="A50" s="1504" t="s">
        <v>818</v>
      </c>
      <c r="B50" s="614">
        <v>2320</v>
      </c>
      <c r="C50" s="466">
        <v>128954</v>
      </c>
      <c r="D50" s="466">
        <v>22118</v>
      </c>
      <c r="E50" s="466">
        <v>616</v>
      </c>
      <c r="F50" s="466">
        <v>465</v>
      </c>
      <c r="G50" s="466">
        <v>594</v>
      </c>
      <c r="H50" s="466">
        <v>420</v>
      </c>
      <c r="I50" s="467"/>
      <c r="J50" s="467"/>
      <c r="K50" s="1670">
        <f>SUM(C50:J50)</f>
        <v>153167</v>
      </c>
      <c r="L50" s="466">
        <v>157270</v>
      </c>
    </row>
    <row r="51" spans="1:14" x14ac:dyDescent="0.2">
      <c r="A51" s="1504" t="s">
        <v>42</v>
      </c>
      <c r="B51" s="614">
        <v>2330</v>
      </c>
      <c r="C51" s="466"/>
      <c r="D51" s="466"/>
      <c r="E51" s="466"/>
      <c r="F51" s="466"/>
      <c r="G51" s="466"/>
      <c r="H51" s="466"/>
      <c r="I51" s="467"/>
      <c r="J51" s="467"/>
      <c r="K51" s="1670">
        <f>SUM(C51:J51)</f>
        <v>0</v>
      </c>
      <c r="L51" s="466">
        <v>0</v>
      </c>
    </row>
    <row r="52" spans="1:14" ht="22.5" x14ac:dyDescent="0.2">
      <c r="A52" s="1505"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128954</v>
      </c>
      <c r="D53" s="1668">
        <f t="shared" ref="D53:L53" si="5">SUM(D49:D52)</f>
        <v>22118</v>
      </c>
      <c r="E53" s="1668">
        <f t="shared" si="5"/>
        <v>22761</v>
      </c>
      <c r="F53" s="1668">
        <f t="shared" si="5"/>
        <v>2163</v>
      </c>
      <c r="G53" s="1668">
        <f t="shared" si="5"/>
        <v>594</v>
      </c>
      <c r="H53" s="1668">
        <f t="shared" si="5"/>
        <v>7171</v>
      </c>
      <c r="I53" s="1668">
        <f t="shared" si="5"/>
        <v>0</v>
      </c>
      <c r="J53" s="1668">
        <f t="shared" si="5"/>
        <v>0</v>
      </c>
      <c r="K53" s="1668">
        <f t="shared" si="5"/>
        <v>183761</v>
      </c>
      <c r="L53" s="1668">
        <f t="shared" si="5"/>
        <v>207880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222812</v>
      </c>
      <c r="D55" s="481">
        <v>47502</v>
      </c>
      <c r="E55" s="481">
        <v>14102</v>
      </c>
      <c r="F55" s="481">
        <v>19111</v>
      </c>
      <c r="G55" s="481">
        <v>475</v>
      </c>
      <c r="H55" s="481"/>
      <c r="I55" s="467"/>
      <c r="J55" s="467"/>
      <c r="K55" s="1670">
        <f>SUM(C55:J55)</f>
        <v>304002</v>
      </c>
      <c r="L55" s="481">
        <v>313841</v>
      </c>
    </row>
    <row r="56" spans="1:14" ht="12.75" customHeight="1" x14ac:dyDescent="0.2">
      <c r="A56" s="1508"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222812</v>
      </c>
      <c r="D57" s="1672">
        <f t="shared" ref="D57:K57" si="6">SUM(D55:D56)</f>
        <v>47502</v>
      </c>
      <c r="E57" s="1672">
        <f t="shared" si="6"/>
        <v>14102</v>
      </c>
      <c r="F57" s="1672">
        <f t="shared" si="6"/>
        <v>19111</v>
      </c>
      <c r="G57" s="1672">
        <f t="shared" si="6"/>
        <v>475</v>
      </c>
      <c r="H57" s="1672">
        <f t="shared" si="6"/>
        <v>0</v>
      </c>
      <c r="I57" s="1672">
        <f t="shared" si="6"/>
        <v>0</v>
      </c>
      <c r="J57" s="1672">
        <f t="shared" si="6"/>
        <v>0</v>
      </c>
      <c r="K57" s="1672">
        <f t="shared" si="6"/>
        <v>304002</v>
      </c>
      <c r="L57" s="1668">
        <f>SUM(L55:L56)</f>
        <v>313841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4" t="s">
        <v>463</v>
      </c>
      <c r="B60" s="614">
        <v>2520</v>
      </c>
      <c r="C60" s="466">
        <v>127011</v>
      </c>
      <c r="D60" s="466">
        <v>18498</v>
      </c>
      <c r="E60" s="466">
        <v>49</v>
      </c>
      <c r="F60" s="466">
        <v>2393</v>
      </c>
      <c r="G60" s="466"/>
      <c r="H60" s="466">
        <v>15148</v>
      </c>
      <c r="I60" s="467"/>
      <c r="J60" s="467"/>
      <c r="K60" s="1670">
        <f t="shared" si="7"/>
        <v>163099</v>
      </c>
      <c r="L60" s="466">
        <v>165002</v>
      </c>
      <c r="M60" s="609"/>
      <c r="N60" s="609"/>
    </row>
    <row r="61" spans="1:14" s="343" customFormat="1" x14ac:dyDescent="0.2">
      <c r="A61" s="1504" t="s">
        <v>197</v>
      </c>
      <c r="B61" s="614">
        <v>2540</v>
      </c>
      <c r="C61" s="466">
        <v>275693</v>
      </c>
      <c r="D61" s="466">
        <v>71192</v>
      </c>
      <c r="E61" s="466">
        <v>2550</v>
      </c>
      <c r="F61" s="466">
        <v>4800</v>
      </c>
      <c r="G61" s="466"/>
      <c r="H61" s="466"/>
      <c r="I61" s="467"/>
      <c r="J61" s="467"/>
      <c r="K61" s="1670">
        <f t="shared" si="7"/>
        <v>354235</v>
      </c>
      <c r="L61" s="466">
        <v>386575</v>
      </c>
      <c r="M61" s="609"/>
      <c r="N61" s="609"/>
    </row>
    <row r="62" spans="1:14" s="343" customFormat="1" x14ac:dyDescent="0.2">
      <c r="A62" s="1504" t="s">
        <v>953</v>
      </c>
      <c r="B62" s="614">
        <v>2550</v>
      </c>
      <c r="C62" s="466"/>
      <c r="D62" s="466"/>
      <c r="E62" s="466">
        <v>366</v>
      </c>
      <c r="F62" s="466"/>
      <c r="G62" s="466"/>
      <c r="H62" s="466"/>
      <c r="I62" s="467"/>
      <c r="J62" s="467"/>
      <c r="K62" s="1670">
        <f t="shared" si="7"/>
        <v>366</v>
      </c>
      <c r="L62" s="466">
        <v>6400</v>
      </c>
      <c r="M62" s="609"/>
      <c r="N62" s="609"/>
    </row>
    <row r="63" spans="1:14" s="609" customFormat="1" x14ac:dyDescent="0.2">
      <c r="A63" s="1504" t="s">
        <v>100</v>
      </c>
      <c r="B63" s="614">
        <v>2560</v>
      </c>
      <c r="C63" s="466">
        <v>74711</v>
      </c>
      <c r="D63" s="466">
        <v>13534</v>
      </c>
      <c r="E63" s="466">
        <v>87</v>
      </c>
      <c r="F63" s="466">
        <v>86917</v>
      </c>
      <c r="G63" s="466">
        <v>9642</v>
      </c>
      <c r="H63" s="466"/>
      <c r="I63" s="467"/>
      <c r="J63" s="467"/>
      <c r="K63" s="1670">
        <f t="shared" si="7"/>
        <v>184891</v>
      </c>
      <c r="L63" s="466">
        <v>214889</v>
      </c>
    </row>
    <row r="64" spans="1:14" s="609" customFormat="1" x14ac:dyDescent="0.2">
      <c r="A64" s="1509"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719</v>
      </c>
      <c r="B65" s="1667" t="s">
        <v>35</v>
      </c>
      <c r="C65" s="1668">
        <f>SUM(C59:C64)</f>
        <v>477415</v>
      </c>
      <c r="D65" s="1668">
        <f t="shared" ref="D65:L65" si="8">SUM(D59:D64)</f>
        <v>103224</v>
      </c>
      <c r="E65" s="1668">
        <f t="shared" si="8"/>
        <v>3052</v>
      </c>
      <c r="F65" s="1668">
        <f t="shared" si="8"/>
        <v>94110</v>
      </c>
      <c r="G65" s="1668">
        <f t="shared" si="8"/>
        <v>9642</v>
      </c>
      <c r="H65" s="1668">
        <f t="shared" si="8"/>
        <v>15148</v>
      </c>
      <c r="I65" s="1668">
        <f t="shared" si="8"/>
        <v>0</v>
      </c>
      <c r="J65" s="1668">
        <f t="shared" si="8"/>
        <v>0</v>
      </c>
      <c r="K65" s="1668">
        <f t="shared" si="8"/>
        <v>702591</v>
      </c>
      <c r="L65" s="1668">
        <f t="shared" si="8"/>
        <v>772866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v>0</v>
      </c>
      <c r="M67" s="609"/>
      <c r="N67" s="609"/>
    </row>
    <row r="68" spans="1:14" s="343" customFormat="1" x14ac:dyDescent="0.2">
      <c r="A68" s="1504" t="s">
        <v>607</v>
      </c>
      <c r="B68" s="614">
        <v>2620</v>
      </c>
      <c r="C68" s="466">
        <v>11420</v>
      </c>
      <c r="D68" s="466">
        <v>2540</v>
      </c>
      <c r="E68" s="466">
        <v>10000</v>
      </c>
      <c r="F68" s="466"/>
      <c r="G68" s="466"/>
      <c r="H68" s="466"/>
      <c r="I68" s="467"/>
      <c r="J68" s="467"/>
      <c r="K68" s="1670">
        <f>SUM(C68:J68)</f>
        <v>23960</v>
      </c>
      <c r="L68" s="466">
        <v>47252</v>
      </c>
      <c r="M68" s="609"/>
      <c r="N68" s="609"/>
    </row>
    <row r="69" spans="1:14" s="343" customFormat="1" x14ac:dyDescent="0.2">
      <c r="A69" s="1504" t="s">
        <v>1061</v>
      </c>
      <c r="B69" s="614">
        <v>2630</v>
      </c>
      <c r="C69" s="466"/>
      <c r="D69" s="466"/>
      <c r="E69" s="466"/>
      <c r="F69" s="466"/>
      <c r="G69" s="466"/>
      <c r="H69" s="466"/>
      <c r="I69" s="467"/>
      <c r="J69" s="467"/>
      <c r="K69" s="1670">
        <f>SUM(C69:J69)</f>
        <v>0</v>
      </c>
      <c r="L69" s="466">
        <v>0</v>
      </c>
      <c r="M69" s="609"/>
      <c r="N69" s="609"/>
    </row>
    <row r="70" spans="1:14" s="343" customFormat="1" x14ac:dyDescent="0.2">
      <c r="A70" s="1504" t="s">
        <v>403</v>
      </c>
      <c r="B70" s="614">
        <v>2640</v>
      </c>
      <c r="C70" s="466">
        <v>11712</v>
      </c>
      <c r="D70" s="466">
        <v>2383</v>
      </c>
      <c r="E70" s="466"/>
      <c r="F70" s="466"/>
      <c r="G70" s="466"/>
      <c r="H70" s="466"/>
      <c r="I70" s="467"/>
      <c r="J70" s="467"/>
      <c r="K70" s="1670">
        <f>SUM(C70:J70)</f>
        <v>14095</v>
      </c>
      <c r="L70" s="466">
        <v>0</v>
      </c>
      <c r="M70" s="609"/>
      <c r="N70" s="609"/>
    </row>
    <row r="71" spans="1:14" s="343" customFormat="1" x14ac:dyDescent="0.2">
      <c r="A71" s="1504" t="s">
        <v>404</v>
      </c>
      <c r="B71" s="614">
        <v>2660</v>
      </c>
      <c r="C71" s="466">
        <v>9128</v>
      </c>
      <c r="D71" s="466">
        <v>1977</v>
      </c>
      <c r="E71" s="466"/>
      <c r="F71" s="466"/>
      <c r="G71" s="466"/>
      <c r="H71" s="466"/>
      <c r="I71" s="467"/>
      <c r="J71" s="467"/>
      <c r="K71" s="1670">
        <f>SUM(C71:J71)</f>
        <v>11105</v>
      </c>
      <c r="L71" s="466">
        <v>0</v>
      </c>
      <c r="M71" s="609"/>
      <c r="N71" s="609"/>
    </row>
    <row r="72" spans="1:14" s="343" customFormat="1" ht="12.75" customHeight="1" thickBot="1" x14ac:dyDescent="0.25">
      <c r="A72" s="1666" t="s">
        <v>37</v>
      </c>
      <c r="B72" s="1673" t="s">
        <v>36</v>
      </c>
      <c r="C72" s="1668">
        <f>SUM(C67:C71)</f>
        <v>32260</v>
      </c>
      <c r="D72" s="1668">
        <f t="shared" ref="D72:K72" si="9">SUM(D67:D71)</f>
        <v>6900</v>
      </c>
      <c r="E72" s="1668">
        <f t="shared" si="9"/>
        <v>10000</v>
      </c>
      <c r="F72" s="1668">
        <f t="shared" si="9"/>
        <v>0</v>
      </c>
      <c r="G72" s="1668">
        <f t="shared" si="9"/>
        <v>0</v>
      </c>
      <c r="H72" s="1668">
        <f t="shared" si="9"/>
        <v>0</v>
      </c>
      <c r="I72" s="1668">
        <f t="shared" si="9"/>
        <v>0</v>
      </c>
      <c r="J72" s="1668">
        <f t="shared" si="9"/>
        <v>0</v>
      </c>
      <c r="K72" s="1668">
        <f t="shared" si="9"/>
        <v>49160</v>
      </c>
      <c r="L72" s="1668">
        <f>SUM(L67:L71)</f>
        <v>47252</v>
      </c>
      <c r="M72" s="609"/>
      <c r="N72" s="609"/>
    </row>
    <row r="73" spans="1:14" s="343" customFormat="1" ht="14.25" thickTop="1" thickBot="1" x14ac:dyDescent="0.25">
      <c r="A73" s="1510" t="s">
        <v>980</v>
      </c>
      <c r="B73" s="632" t="s">
        <v>574</v>
      </c>
      <c r="C73" s="573">
        <v>6190</v>
      </c>
      <c r="D73" s="573">
        <v>1352</v>
      </c>
      <c r="E73" s="573"/>
      <c r="F73" s="573">
        <v>1047</v>
      </c>
      <c r="G73" s="573"/>
      <c r="H73" s="573"/>
      <c r="I73" s="531"/>
      <c r="J73" s="531"/>
      <c r="K73" s="1668">
        <f>SUM(C73:J73)</f>
        <v>8589</v>
      </c>
      <c r="L73" s="576">
        <v>12409</v>
      </c>
      <c r="M73" s="609"/>
      <c r="N73" s="609"/>
    </row>
    <row r="74" spans="1:14" ht="12.75" customHeight="1" thickTop="1" thickBot="1" x14ac:dyDescent="0.25">
      <c r="A74" s="1666" t="s">
        <v>811</v>
      </c>
      <c r="B74" s="1674">
        <v>2000</v>
      </c>
      <c r="C74" s="1675">
        <f>SUM(C42,C47,C53,C57,C65,C72,C73)</f>
        <v>1198887</v>
      </c>
      <c r="D74" s="1675">
        <f t="shared" ref="D74:K74" si="10">SUM(D42,D47,D53,D57,D65,D72,D73)</f>
        <v>275638</v>
      </c>
      <c r="E74" s="1675">
        <f t="shared" si="10"/>
        <v>75203</v>
      </c>
      <c r="F74" s="1675">
        <f t="shared" si="10"/>
        <v>134806</v>
      </c>
      <c r="G74" s="1675">
        <f t="shared" si="10"/>
        <v>49847</v>
      </c>
      <c r="H74" s="1675">
        <f t="shared" si="10"/>
        <v>22389</v>
      </c>
      <c r="I74" s="1675">
        <f t="shared" si="10"/>
        <v>0</v>
      </c>
      <c r="J74" s="1675">
        <f t="shared" si="10"/>
        <v>0</v>
      </c>
      <c r="K74" s="1675">
        <f t="shared" si="10"/>
        <v>1756770</v>
      </c>
      <c r="L74" s="1675">
        <f>SUM(L42,L47,L53,L57,L65,L72,L73)</f>
        <v>1945196</v>
      </c>
    </row>
    <row r="75" spans="1:14" s="259" customFormat="1" ht="15.75" customHeight="1" thickTop="1" thickBot="1" x14ac:dyDescent="0.25">
      <c r="A75" s="1610" t="s">
        <v>47</v>
      </c>
      <c r="B75" s="1611" t="s">
        <v>575</v>
      </c>
      <c r="C75" s="573"/>
      <c r="D75" s="573"/>
      <c r="E75" s="573">
        <v>300</v>
      </c>
      <c r="F75" s="573">
        <v>60</v>
      </c>
      <c r="G75" s="573"/>
      <c r="H75" s="573"/>
      <c r="I75" s="531"/>
      <c r="J75" s="531"/>
      <c r="K75" s="1668">
        <f>SUM(C75:J75)</f>
        <v>360</v>
      </c>
      <c r="L75" s="576">
        <v>2100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v>0</v>
      </c>
    </row>
    <row r="79" spans="1:14" x14ac:dyDescent="0.2">
      <c r="A79" s="1504" t="s">
        <v>304</v>
      </c>
      <c r="B79" s="614">
        <v>4120</v>
      </c>
      <c r="C79" s="616"/>
      <c r="D79" s="616"/>
      <c r="E79" s="466">
        <v>55167</v>
      </c>
      <c r="F79" s="616"/>
      <c r="G79" s="616"/>
      <c r="H79" s="466"/>
      <c r="I79" s="477"/>
      <c r="J79" s="477"/>
      <c r="K79" s="1669">
        <f t="shared" si="11"/>
        <v>55167</v>
      </c>
      <c r="L79" s="466">
        <v>40000</v>
      </c>
    </row>
    <row r="80" spans="1:14" x14ac:dyDescent="0.2">
      <c r="A80" s="1504" t="s">
        <v>305</v>
      </c>
      <c r="B80" s="614">
        <v>4130</v>
      </c>
      <c r="C80" s="616"/>
      <c r="D80" s="616"/>
      <c r="E80" s="466"/>
      <c r="F80" s="616"/>
      <c r="G80" s="616"/>
      <c r="H80" s="466"/>
      <c r="I80" s="477"/>
      <c r="J80" s="477"/>
      <c r="K80" s="1669">
        <f t="shared" si="11"/>
        <v>0</v>
      </c>
      <c r="L80" s="466">
        <v>0</v>
      </c>
    </row>
    <row r="81" spans="1:12" x14ac:dyDescent="0.2">
      <c r="A81" s="1504" t="s">
        <v>697</v>
      </c>
      <c r="B81" s="614">
        <v>4140</v>
      </c>
      <c r="C81" s="616"/>
      <c r="D81" s="616"/>
      <c r="E81" s="466"/>
      <c r="F81" s="616"/>
      <c r="G81" s="616"/>
      <c r="H81" s="466"/>
      <c r="I81" s="477"/>
      <c r="J81" s="477"/>
      <c r="K81" s="1669">
        <f t="shared" si="11"/>
        <v>0</v>
      </c>
      <c r="L81" s="466">
        <v>0</v>
      </c>
    </row>
    <row r="82" spans="1:12" x14ac:dyDescent="0.2">
      <c r="A82" s="1504" t="s">
        <v>86</v>
      </c>
      <c r="B82" s="614">
        <v>4170</v>
      </c>
      <c r="C82" s="616"/>
      <c r="D82" s="616"/>
      <c r="E82" s="466">
        <v>7404</v>
      </c>
      <c r="F82" s="616"/>
      <c r="G82" s="616"/>
      <c r="H82" s="466"/>
      <c r="I82" s="477"/>
      <c r="J82" s="477"/>
      <c r="K82" s="1669">
        <f t="shared" si="11"/>
        <v>7404</v>
      </c>
      <c r="L82" s="466">
        <v>5000</v>
      </c>
    </row>
    <row r="83" spans="1:12" x14ac:dyDescent="0.2">
      <c r="A83" s="1508" t="s">
        <v>698</v>
      </c>
      <c r="B83" s="628">
        <v>4190</v>
      </c>
      <c r="C83" s="616"/>
      <c r="D83" s="616"/>
      <c r="E83" s="466">
        <v>24245</v>
      </c>
      <c r="F83" s="616"/>
      <c r="G83" s="616"/>
      <c r="H83" s="466">
        <v>109178</v>
      </c>
      <c r="I83" s="477"/>
      <c r="J83" s="477"/>
      <c r="K83" s="1669">
        <f t="shared" si="11"/>
        <v>133423</v>
      </c>
      <c r="L83" s="466">
        <v>140000</v>
      </c>
    </row>
    <row r="84" spans="1:12" ht="13.5" thickBot="1" x14ac:dyDescent="0.25">
      <c r="A84" s="1666" t="s">
        <v>1485</v>
      </c>
      <c r="B84" s="1676">
        <v>4100</v>
      </c>
      <c r="C84" s="616"/>
      <c r="D84" s="616"/>
      <c r="E84" s="1668">
        <f>SUM(E78:E83)</f>
        <v>86816</v>
      </c>
      <c r="F84" s="616"/>
      <c r="G84" s="616"/>
      <c r="H84" s="1668">
        <f>SUM(H78:H83)</f>
        <v>109178</v>
      </c>
      <c r="I84" s="477"/>
      <c r="J84" s="477"/>
      <c r="K84" s="1668">
        <f>SUM(K78:K83)</f>
        <v>195994</v>
      </c>
      <c r="L84" s="1668">
        <f>SUM(L78:L83)</f>
        <v>185000</v>
      </c>
    </row>
    <row r="85" spans="1:12" ht="12.75" customHeight="1" thickTop="1" thickBot="1" x14ac:dyDescent="0.25">
      <c r="A85" s="1511" t="s">
        <v>255</v>
      </c>
      <c r="B85" s="635">
        <v>4210</v>
      </c>
      <c r="C85" s="616"/>
      <c r="D85" s="616"/>
      <c r="E85" s="636"/>
      <c r="F85" s="616"/>
      <c r="G85" s="616"/>
      <c r="H85" s="535">
        <v>7839</v>
      </c>
      <c r="I85" s="477"/>
      <c r="J85" s="477"/>
      <c r="K85" s="1675">
        <f>H85</f>
        <v>7839</v>
      </c>
      <c r="L85" s="530">
        <v>500</v>
      </c>
    </row>
    <row r="86" spans="1:12" ht="12.75" customHeight="1" thickTop="1" thickBot="1" x14ac:dyDescent="0.25">
      <c r="A86" s="1512" t="s">
        <v>699</v>
      </c>
      <c r="B86" s="637">
        <v>4220</v>
      </c>
      <c r="C86" s="616"/>
      <c r="D86" s="616"/>
      <c r="E86" s="638"/>
      <c r="F86" s="616"/>
      <c r="G86" s="616"/>
      <c r="H86" s="467">
        <v>201056</v>
      </c>
      <c r="I86" s="477"/>
      <c r="J86" s="477"/>
      <c r="K86" s="1675">
        <f t="shared" ref="K86:K98" si="12">H86</f>
        <v>201056</v>
      </c>
      <c r="L86" s="530">
        <v>150482</v>
      </c>
    </row>
    <row r="87" spans="1:12" ht="14.25" thickTop="1" thickBot="1" x14ac:dyDescent="0.25">
      <c r="A87" s="1513" t="s">
        <v>700</v>
      </c>
      <c r="B87" s="639">
        <v>4230</v>
      </c>
      <c r="C87" s="616"/>
      <c r="D87" s="616"/>
      <c r="E87" s="638"/>
      <c r="F87" s="616"/>
      <c r="G87" s="616"/>
      <c r="H87" s="467"/>
      <c r="I87" s="477"/>
      <c r="J87" s="477"/>
      <c r="K87" s="1675">
        <f t="shared" si="12"/>
        <v>0</v>
      </c>
      <c r="L87" s="530">
        <v>0</v>
      </c>
    </row>
    <row r="88" spans="1:12" ht="12.75" customHeight="1" thickTop="1" thickBot="1" x14ac:dyDescent="0.25">
      <c r="A88" s="1513" t="s">
        <v>765</v>
      </c>
      <c r="B88" s="639">
        <v>4240</v>
      </c>
      <c r="C88" s="616"/>
      <c r="D88" s="616"/>
      <c r="E88" s="638"/>
      <c r="F88" s="616"/>
      <c r="G88" s="616"/>
      <c r="H88" s="467"/>
      <c r="I88" s="477"/>
      <c r="J88" s="477"/>
      <c r="K88" s="1675">
        <f t="shared" si="12"/>
        <v>0</v>
      </c>
      <c r="L88" s="530">
        <v>0</v>
      </c>
    </row>
    <row r="89" spans="1:12" ht="12.75" customHeight="1" thickTop="1" thickBot="1" x14ac:dyDescent="0.25">
      <c r="A89" s="1513" t="s">
        <v>701</v>
      </c>
      <c r="B89" s="639">
        <v>4270</v>
      </c>
      <c r="C89" s="616"/>
      <c r="D89" s="616"/>
      <c r="E89" s="638"/>
      <c r="F89" s="616"/>
      <c r="G89" s="616"/>
      <c r="H89" s="467"/>
      <c r="I89" s="477"/>
      <c r="J89" s="477"/>
      <c r="K89" s="1675">
        <f t="shared" si="12"/>
        <v>0</v>
      </c>
      <c r="L89" s="530">
        <v>0</v>
      </c>
    </row>
    <row r="90" spans="1:12" ht="12.75" customHeight="1" thickTop="1" thickBot="1" x14ac:dyDescent="0.25">
      <c r="A90" s="1513" t="s">
        <v>686</v>
      </c>
      <c r="B90" s="639">
        <v>4280</v>
      </c>
      <c r="C90" s="616"/>
      <c r="D90" s="616"/>
      <c r="E90" s="638"/>
      <c r="F90" s="616"/>
      <c r="G90" s="616"/>
      <c r="H90" s="467"/>
      <c r="I90" s="477"/>
      <c r="J90" s="477"/>
      <c r="K90" s="1675">
        <f t="shared" si="12"/>
        <v>0</v>
      </c>
      <c r="L90" s="530">
        <v>0</v>
      </c>
    </row>
    <row r="91" spans="1:12" ht="12.75" customHeight="1" thickTop="1" thickBot="1" x14ac:dyDescent="0.25">
      <c r="A91" s="1513"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208895</v>
      </c>
      <c r="I92" s="477"/>
      <c r="J92" s="477"/>
      <c r="K92" s="1675">
        <f t="shared" si="12"/>
        <v>208895</v>
      </c>
      <c r="L92" s="1668">
        <f>SUM(L85:L91)</f>
        <v>150982</v>
      </c>
    </row>
    <row r="93" spans="1:12" ht="14.25" thickTop="1" thickBot="1" x14ac:dyDescent="0.25">
      <c r="A93" s="1512" t="s">
        <v>688</v>
      </c>
      <c r="B93" s="640">
        <v>4310</v>
      </c>
      <c r="C93" s="616"/>
      <c r="D93" s="616"/>
      <c r="E93" s="638"/>
      <c r="F93" s="616"/>
      <c r="G93" s="616"/>
      <c r="H93" s="641"/>
      <c r="I93" s="477"/>
      <c r="J93" s="477"/>
      <c r="K93" s="1675">
        <f t="shared" si="12"/>
        <v>0</v>
      </c>
      <c r="L93" s="532">
        <v>0</v>
      </c>
    </row>
    <row r="94" spans="1:12" ht="12.75" customHeight="1" thickTop="1" thickBot="1" x14ac:dyDescent="0.25">
      <c r="A94" s="1513" t="s">
        <v>689</v>
      </c>
      <c r="B94" s="639">
        <v>4320</v>
      </c>
      <c r="C94" s="616"/>
      <c r="D94" s="616"/>
      <c r="E94" s="638"/>
      <c r="F94" s="616"/>
      <c r="G94" s="616"/>
      <c r="H94" s="467"/>
      <c r="I94" s="477"/>
      <c r="J94" s="477"/>
      <c r="K94" s="1675">
        <f t="shared" si="12"/>
        <v>0</v>
      </c>
      <c r="L94" s="530">
        <v>0</v>
      </c>
    </row>
    <row r="95" spans="1:12" ht="15" customHeight="1" thickTop="1" thickBot="1" x14ac:dyDescent="0.25">
      <c r="A95" s="1513" t="s">
        <v>1488</v>
      </c>
      <c r="B95" s="639">
        <v>4330</v>
      </c>
      <c r="C95" s="616"/>
      <c r="D95" s="616"/>
      <c r="E95" s="638"/>
      <c r="F95" s="616"/>
      <c r="G95" s="616"/>
      <c r="H95" s="467"/>
      <c r="I95" s="477"/>
      <c r="J95" s="477"/>
      <c r="K95" s="1675">
        <f t="shared" si="12"/>
        <v>0</v>
      </c>
      <c r="L95" s="530">
        <v>0</v>
      </c>
    </row>
    <row r="96" spans="1:12" ht="14.25" thickTop="1" thickBot="1" x14ac:dyDescent="0.25">
      <c r="A96" s="1513" t="s">
        <v>690</v>
      </c>
      <c r="B96" s="639">
        <v>4340</v>
      </c>
      <c r="C96" s="616"/>
      <c r="D96" s="616"/>
      <c r="E96" s="638"/>
      <c r="F96" s="616"/>
      <c r="G96" s="616"/>
      <c r="H96" s="467"/>
      <c r="I96" s="477"/>
      <c r="J96" s="477"/>
      <c r="K96" s="1675">
        <f t="shared" si="12"/>
        <v>0</v>
      </c>
      <c r="L96" s="530">
        <v>0</v>
      </c>
    </row>
    <row r="97" spans="1:14" ht="12.75" customHeight="1" thickTop="1" thickBot="1" x14ac:dyDescent="0.25">
      <c r="A97" s="1513" t="s">
        <v>763</v>
      </c>
      <c r="B97" s="639">
        <v>4370</v>
      </c>
      <c r="C97" s="616"/>
      <c r="D97" s="616"/>
      <c r="E97" s="638"/>
      <c r="F97" s="616"/>
      <c r="G97" s="616"/>
      <c r="H97" s="467"/>
      <c r="I97" s="477"/>
      <c r="J97" s="477"/>
      <c r="K97" s="1675">
        <f t="shared" si="12"/>
        <v>0</v>
      </c>
      <c r="L97" s="530">
        <v>0</v>
      </c>
    </row>
    <row r="98" spans="1:14" ht="14.25" thickTop="1" thickBot="1" x14ac:dyDescent="0.25">
      <c r="A98" s="1513" t="s">
        <v>764</v>
      </c>
      <c r="B98" s="639">
        <v>4380</v>
      </c>
      <c r="C98" s="616"/>
      <c r="D98" s="616"/>
      <c r="E98" s="642"/>
      <c r="F98" s="616"/>
      <c r="G98" s="616"/>
      <c r="H98" s="467"/>
      <c r="I98" s="477"/>
      <c r="J98" s="477"/>
      <c r="K98" s="1675">
        <f t="shared" si="12"/>
        <v>0</v>
      </c>
      <c r="L98" s="530">
        <v>0</v>
      </c>
    </row>
    <row r="99" spans="1:14" ht="14.25" thickTop="1" thickBot="1" x14ac:dyDescent="0.25">
      <c r="A99" s="1513"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86816</v>
      </c>
      <c r="F102" s="616"/>
      <c r="G102" s="616"/>
      <c r="H102" s="1675">
        <f>SUM(H84,H92,H100,H101)</f>
        <v>318073</v>
      </c>
      <c r="I102" s="477"/>
      <c r="J102" s="477"/>
      <c r="K102" s="1675">
        <f>SUM(K84,K92,K100,K101)</f>
        <v>404889</v>
      </c>
      <c r="L102" s="1675">
        <f>SUM(L84,L92,L100,L101)</f>
        <v>335982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v>0</v>
      </c>
      <c r="M105" s="210"/>
      <c r="N105" s="210"/>
    </row>
    <row r="106" spans="1:14" s="597" customFormat="1" x14ac:dyDescent="0.2">
      <c r="A106" s="1504"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25000</v>
      </c>
      <c r="M113" s="613"/>
      <c r="N113" s="613"/>
    </row>
    <row r="114" spans="1:14" ht="12.75" customHeight="1" thickTop="1" thickBot="1" x14ac:dyDescent="0.25">
      <c r="A114" s="1666" t="s">
        <v>48</v>
      </c>
      <c r="B114" s="1680"/>
      <c r="C114" s="1668">
        <f>SUM(C33,C74,C75,C102,C112,C113)</f>
        <v>4005062</v>
      </c>
      <c r="D114" s="1668">
        <f t="shared" ref="D114:K114" si="13">SUM(D33,D74,D75,D102,D112,D113)</f>
        <v>958199</v>
      </c>
      <c r="E114" s="1668">
        <f t="shared" si="13"/>
        <v>234288</v>
      </c>
      <c r="F114" s="1668">
        <f t="shared" si="13"/>
        <v>336284</v>
      </c>
      <c r="G114" s="1668">
        <f t="shared" si="13"/>
        <v>87629</v>
      </c>
      <c r="H114" s="1668">
        <f>SUM(H33,H74,H75,H102,H112,H113)</f>
        <v>350094</v>
      </c>
      <c r="I114" s="1668">
        <f t="shared" si="13"/>
        <v>0</v>
      </c>
      <c r="J114" s="1668">
        <f t="shared" si="13"/>
        <v>0</v>
      </c>
      <c r="K114" s="1668">
        <f t="shared" si="13"/>
        <v>5971556</v>
      </c>
      <c r="L114" s="1668">
        <f>SUM(L33,L74,L75,L102,L112,L113)</f>
        <v>6224669</v>
      </c>
    </row>
    <row r="115" spans="1:14" ht="13.5" thickTop="1" x14ac:dyDescent="0.2">
      <c r="A115" s="2181" t="s">
        <v>996</v>
      </c>
      <c r="B115" s="2182"/>
      <c r="C115" s="618"/>
      <c r="D115" s="618"/>
      <c r="E115" s="618"/>
      <c r="F115" s="618"/>
      <c r="G115" s="618"/>
      <c r="H115" s="618"/>
      <c r="I115" s="618"/>
      <c r="J115" s="618"/>
      <c r="K115" s="1682">
        <f>'Revenues 9-14'!C268-'Expenditures 15-22'!K114</f>
        <v>409061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v>0</v>
      </c>
    </row>
    <row r="123" spans="1:14" ht="14.25" thickTop="1" thickBot="1" x14ac:dyDescent="0.25">
      <c r="A123" s="1504" t="s">
        <v>4</v>
      </c>
      <c r="B123" s="614">
        <v>2530</v>
      </c>
      <c r="C123" s="466"/>
      <c r="D123" s="466"/>
      <c r="E123" s="466"/>
      <c r="F123" s="466"/>
      <c r="G123" s="466"/>
      <c r="H123" s="466"/>
      <c r="I123" s="467"/>
      <c r="J123" s="467"/>
      <c r="K123" s="1668">
        <f>SUM(C123:J123)</f>
        <v>0</v>
      </c>
      <c r="L123" s="466">
        <v>0</v>
      </c>
    </row>
    <row r="124" spans="1:14" ht="14.25" thickTop="1" thickBot="1" x14ac:dyDescent="0.25">
      <c r="A124" s="1504" t="s">
        <v>197</v>
      </c>
      <c r="B124" s="614">
        <v>2540</v>
      </c>
      <c r="C124" s="466"/>
      <c r="D124" s="466"/>
      <c r="E124" s="466">
        <v>231903</v>
      </c>
      <c r="F124" s="466">
        <f>250386-1185</f>
        <v>249201</v>
      </c>
      <c r="G124" s="466">
        <v>37021</v>
      </c>
      <c r="H124" s="466">
        <v>3698</v>
      </c>
      <c r="I124" s="467"/>
      <c r="J124" s="467"/>
      <c r="K124" s="1668">
        <f>SUM(C124:J124)</f>
        <v>521823</v>
      </c>
      <c r="L124" s="466">
        <v>770992</v>
      </c>
    </row>
    <row r="125" spans="1:14" ht="14.25" thickTop="1" thickBot="1" x14ac:dyDescent="0.25">
      <c r="A125" s="1504" t="s">
        <v>953</v>
      </c>
      <c r="B125" s="614">
        <v>2550</v>
      </c>
      <c r="C125" s="466"/>
      <c r="D125" s="466"/>
      <c r="E125" s="466"/>
      <c r="F125" s="466"/>
      <c r="G125" s="466"/>
      <c r="H125" s="466"/>
      <c r="I125" s="467"/>
      <c r="J125" s="467"/>
      <c r="K125" s="1668">
        <f>SUM(C125:J125)</f>
        <v>0</v>
      </c>
      <c r="L125" s="466">
        <v>0</v>
      </c>
    </row>
    <row r="126" spans="1:14" ht="14.25" thickTop="1" thickBot="1" x14ac:dyDescent="0.25">
      <c r="A126" s="1504"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0</v>
      </c>
      <c r="D127" s="1668">
        <f t="shared" ref="D127:L127" si="14">SUM(D122:D126)</f>
        <v>0</v>
      </c>
      <c r="E127" s="1668">
        <f t="shared" si="14"/>
        <v>231903</v>
      </c>
      <c r="F127" s="1668">
        <f t="shared" si="14"/>
        <v>249201</v>
      </c>
      <c r="G127" s="1668">
        <f t="shared" si="14"/>
        <v>37021</v>
      </c>
      <c r="H127" s="1668">
        <f t="shared" si="14"/>
        <v>3698</v>
      </c>
      <c r="I127" s="1668">
        <f t="shared" si="14"/>
        <v>0</v>
      </c>
      <c r="J127" s="1668">
        <f t="shared" si="14"/>
        <v>0</v>
      </c>
      <c r="K127" s="1668">
        <f t="shared" si="14"/>
        <v>521823</v>
      </c>
      <c r="L127" s="1668">
        <f t="shared" si="14"/>
        <v>770992</v>
      </c>
    </row>
    <row r="128" spans="1:14" ht="12.75" customHeight="1" thickTop="1" x14ac:dyDescent="0.2">
      <c r="A128" s="1511"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0</v>
      </c>
      <c r="D129" s="1675">
        <f t="shared" ref="D129:L129" si="15">SUM(D120,D127,D128)</f>
        <v>0</v>
      </c>
      <c r="E129" s="1675">
        <f t="shared" si="15"/>
        <v>231903</v>
      </c>
      <c r="F129" s="1675">
        <f t="shared" si="15"/>
        <v>249201</v>
      </c>
      <c r="G129" s="1675">
        <f t="shared" si="15"/>
        <v>37021</v>
      </c>
      <c r="H129" s="1675">
        <f t="shared" si="15"/>
        <v>3698</v>
      </c>
      <c r="I129" s="1675">
        <f t="shared" si="15"/>
        <v>0</v>
      </c>
      <c r="J129" s="1675">
        <f t="shared" si="15"/>
        <v>0</v>
      </c>
      <c r="K129" s="1675">
        <f t="shared" si="15"/>
        <v>521823</v>
      </c>
      <c r="L129" s="1675">
        <f t="shared" si="15"/>
        <v>770992</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1843</v>
      </c>
      <c r="C133" s="468"/>
      <c r="D133" s="468"/>
      <c r="E133" s="641"/>
      <c r="F133" s="468"/>
      <c r="G133" s="468"/>
      <c r="H133" s="641"/>
      <c r="I133" s="468"/>
      <c r="J133" s="468"/>
      <c r="K133" s="1819">
        <f>SUM(E133,H133)</f>
        <v>0</v>
      </c>
      <c r="L133" s="641">
        <v>0</v>
      </c>
      <c r="M133" s="206"/>
      <c r="N133" s="206"/>
    </row>
    <row r="134" spans="1:14" x14ac:dyDescent="0.2">
      <c r="A134" s="1504" t="s">
        <v>304</v>
      </c>
      <c r="B134" s="614">
        <v>4120</v>
      </c>
      <c r="C134" s="616"/>
      <c r="D134" s="616"/>
      <c r="E134" s="478"/>
      <c r="F134" s="616"/>
      <c r="G134" s="616"/>
      <c r="H134" s="481"/>
      <c r="I134" s="477"/>
      <c r="J134" s="616"/>
      <c r="K134" s="1670">
        <f>SUM(E134,H134)</f>
        <v>0</v>
      </c>
      <c r="L134" s="481">
        <v>0</v>
      </c>
    </row>
    <row r="135" spans="1:14" x14ac:dyDescent="0.2">
      <c r="A135" s="1504" t="s">
        <v>697</v>
      </c>
      <c r="B135" s="614">
        <v>4140</v>
      </c>
      <c r="C135" s="616"/>
      <c r="D135" s="616"/>
      <c r="E135" s="467"/>
      <c r="F135" s="616"/>
      <c r="G135" s="616"/>
      <c r="H135" s="466"/>
      <c r="I135" s="477"/>
      <c r="J135" s="616"/>
      <c r="K135" s="1670">
        <f>SUM(E135,H135)</f>
        <v>0</v>
      </c>
      <c r="L135" s="466">
        <v>0</v>
      </c>
    </row>
    <row r="136" spans="1:14" x14ac:dyDescent="0.2">
      <c r="A136" s="1508"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v>0</v>
      </c>
    </row>
    <row r="143" spans="1:14" x14ac:dyDescent="0.2">
      <c r="A143" s="1504" t="s">
        <v>88</v>
      </c>
      <c r="B143" s="614">
        <v>5120</v>
      </c>
      <c r="C143" s="616"/>
      <c r="D143" s="616"/>
      <c r="E143" s="616"/>
      <c r="F143" s="616"/>
      <c r="G143" s="616"/>
      <c r="H143" s="466"/>
      <c r="I143" s="468"/>
      <c r="J143" s="616"/>
      <c r="K143" s="1670">
        <f>SUM(H143)</f>
        <v>0</v>
      </c>
      <c r="L143" s="466">
        <v>0</v>
      </c>
    </row>
    <row r="144" spans="1:14" ht="12.75" customHeight="1" x14ac:dyDescent="0.2">
      <c r="A144" s="1504" t="s">
        <v>1170</v>
      </c>
      <c r="B144" s="628" t="s">
        <v>617</v>
      </c>
      <c r="C144" s="616"/>
      <c r="D144" s="616"/>
      <c r="E144" s="616"/>
      <c r="F144" s="616"/>
      <c r="G144" s="616"/>
      <c r="H144" s="466"/>
      <c r="I144" s="468"/>
      <c r="J144" s="616"/>
      <c r="K144" s="1670">
        <f>SUM(H144)</f>
        <v>0</v>
      </c>
      <c r="L144" s="466">
        <v>0</v>
      </c>
    </row>
    <row r="145" spans="1:14" x14ac:dyDescent="0.2">
      <c r="A145" s="1504" t="s">
        <v>89</v>
      </c>
      <c r="B145" s="614" t="s">
        <v>589</v>
      </c>
      <c r="C145" s="616"/>
      <c r="D145" s="616"/>
      <c r="E145" s="616"/>
      <c r="F145" s="616"/>
      <c r="G145" s="616"/>
      <c r="H145" s="466"/>
      <c r="I145" s="468"/>
      <c r="J145" s="616"/>
      <c r="K145" s="1670">
        <f>SUM(H145)</f>
        <v>0</v>
      </c>
      <c r="L145" s="466">
        <v>0</v>
      </c>
    </row>
    <row r="146" spans="1:14" ht="12.75" customHeight="1" x14ac:dyDescent="0.2">
      <c r="A146" s="1504" t="s">
        <v>619</v>
      </c>
      <c r="B146" s="614" t="s">
        <v>618</v>
      </c>
      <c r="C146" s="616"/>
      <c r="D146" s="616"/>
      <c r="E146" s="616"/>
      <c r="F146" s="616"/>
      <c r="G146" s="616"/>
      <c r="H146" s="466"/>
      <c r="I146" s="468"/>
      <c r="J146" s="616"/>
      <c r="K146" s="1670">
        <f>SUM(H146)</f>
        <v>0</v>
      </c>
      <c r="L146" s="466">
        <v>0</v>
      </c>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3"/>
      <c r="C151" s="1668">
        <f>SUM(C129,C130,C139,C149,C150)</f>
        <v>0</v>
      </c>
      <c r="D151" s="1668">
        <f t="shared" ref="D151:K151" si="16">SUM(D129,D130,D139,D149,D150)</f>
        <v>0</v>
      </c>
      <c r="E151" s="1668">
        <f t="shared" si="16"/>
        <v>231903</v>
      </c>
      <c r="F151" s="1668">
        <f t="shared" si="16"/>
        <v>249201</v>
      </c>
      <c r="G151" s="1668">
        <f t="shared" si="16"/>
        <v>37021</v>
      </c>
      <c r="H151" s="1668">
        <f t="shared" si="16"/>
        <v>3698</v>
      </c>
      <c r="I151" s="1668">
        <f t="shared" si="16"/>
        <v>0</v>
      </c>
      <c r="J151" s="1668">
        <f t="shared" si="16"/>
        <v>0</v>
      </c>
      <c r="K151" s="1668">
        <f t="shared" si="16"/>
        <v>521823</v>
      </c>
      <c r="L151" s="1668">
        <f>SUM(L129,L130,L139,L149,L150)</f>
        <v>770992</v>
      </c>
    </row>
    <row r="152" spans="1:14" ht="12.75" customHeight="1" thickTop="1" x14ac:dyDescent="0.2">
      <c r="A152" s="2174" t="s">
        <v>1178</v>
      </c>
      <c r="B152" s="2175"/>
      <c r="C152" s="618"/>
      <c r="D152" s="618"/>
      <c r="E152" s="618"/>
      <c r="F152" s="618"/>
      <c r="G152" s="618"/>
      <c r="H152" s="618"/>
      <c r="I152" s="618"/>
      <c r="J152" s="616"/>
      <c r="K152" s="1682">
        <f>'Revenues 9-14'!D268-'Expenditures 15-22'!K151</f>
        <v>174273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1844</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1843</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1845</v>
      </c>
      <c r="C158" s="616"/>
      <c r="D158" s="616"/>
      <c r="E158" s="616"/>
      <c r="F158" s="616"/>
      <c r="G158" s="616"/>
      <c r="H158" s="467"/>
      <c r="I158" s="616"/>
      <c r="J158" s="616"/>
      <c r="K158" s="1669">
        <f>H158</f>
        <v>0</v>
      </c>
      <c r="L158" s="467">
        <v>0</v>
      </c>
      <c r="M158" s="619"/>
      <c r="N158" s="619"/>
    </row>
    <row r="159" spans="1:14" s="620" customFormat="1" ht="12" x14ac:dyDescent="0.2">
      <c r="A159" s="1824" t="s">
        <v>1846</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1847</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v>0</v>
      </c>
    </row>
    <row r="164" spans="1:14" x14ac:dyDescent="0.2">
      <c r="A164" s="1504" t="s">
        <v>88</v>
      </c>
      <c r="B164" s="614">
        <v>5120</v>
      </c>
      <c r="C164" s="616"/>
      <c r="D164" s="616"/>
      <c r="E164" s="616"/>
      <c r="F164" s="616"/>
      <c r="G164" s="616"/>
      <c r="H164" s="466"/>
      <c r="I164" s="616"/>
      <c r="J164" s="616"/>
      <c r="K164" s="1669">
        <f>SUM(C164:J164)</f>
        <v>0</v>
      </c>
      <c r="L164" s="466">
        <v>0</v>
      </c>
    </row>
    <row r="165" spans="1:14" ht="12.75" customHeight="1" x14ac:dyDescent="0.2">
      <c r="A165" s="1504" t="s">
        <v>1170</v>
      </c>
      <c r="B165" s="614" t="s">
        <v>617</v>
      </c>
      <c r="C165" s="616"/>
      <c r="D165" s="616"/>
      <c r="E165" s="616"/>
      <c r="F165" s="616"/>
      <c r="G165" s="616"/>
      <c r="H165" s="466"/>
      <c r="I165" s="616"/>
      <c r="J165" s="616"/>
      <c r="K165" s="1669">
        <f>SUM(C165:J165)</f>
        <v>0</v>
      </c>
      <c r="L165" s="466">
        <v>0</v>
      </c>
    </row>
    <row r="166" spans="1:14" x14ac:dyDescent="0.2">
      <c r="A166" s="1504" t="s">
        <v>89</v>
      </c>
      <c r="B166" s="628" t="s">
        <v>589</v>
      </c>
      <c r="C166" s="616"/>
      <c r="D166" s="616"/>
      <c r="E166" s="616"/>
      <c r="F166" s="616"/>
      <c r="G166" s="616"/>
      <c r="H166" s="466"/>
      <c r="I166" s="616"/>
      <c r="J166" s="616"/>
      <c r="K166" s="1669">
        <f>SUM(C166:J166)</f>
        <v>0</v>
      </c>
      <c r="L166" s="466">
        <v>0</v>
      </c>
    </row>
    <row r="167" spans="1:14" ht="12.75" customHeight="1" x14ac:dyDescent="0.2">
      <c r="A167" s="1504"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123986</v>
      </c>
      <c r="I169" s="616"/>
      <c r="J169" s="616"/>
      <c r="K169" s="1669">
        <f>SUM(C169:H169)</f>
        <v>123986</v>
      </c>
      <c r="L169" s="656">
        <v>20000</v>
      </c>
    </row>
    <row r="170" spans="1:14" ht="33.75" customHeight="1" x14ac:dyDescent="0.2">
      <c r="A170" s="669" t="s">
        <v>1670</v>
      </c>
      <c r="B170" s="671" t="s">
        <v>31</v>
      </c>
      <c r="C170" s="616"/>
      <c r="D170" s="616"/>
      <c r="E170" s="616"/>
      <c r="F170" s="616"/>
      <c r="G170" s="616"/>
      <c r="H170" s="569">
        <v>90964</v>
      </c>
      <c r="I170" s="616"/>
      <c r="J170" s="616"/>
      <c r="K170" s="1669">
        <f>SUM(C170:J170)</f>
        <v>90964</v>
      </c>
      <c r="L170" s="569">
        <v>195000</v>
      </c>
    </row>
    <row r="171" spans="1:14" ht="15.75" customHeight="1" x14ac:dyDescent="0.2">
      <c r="A171" s="621" t="s">
        <v>766</v>
      </c>
      <c r="B171" s="672" t="s">
        <v>84</v>
      </c>
      <c r="C171" s="616"/>
      <c r="D171" s="616"/>
      <c r="E171" s="466"/>
      <c r="F171" s="616"/>
      <c r="G171" s="616"/>
      <c r="H171" s="569">
        <v>750</v>
      </c>
      <c r="I171" s="477"/>
      <c r="J171" s="616"/>
      <c r="K171" s="1669">
        <f>SUM(C171:J171)</f>
        <v>750</v>
      </c>
      <c r="L171" s="569">
        <v>5000</v>
      </c>
    </row>
    <row r="172" spans="1:14" ht="12.75" customHeight="1" thickBot="1" x14ac:dyDescent="0.25">
      <c r="A172" s="1666" t="s">
        <v>638</v>
      </c>
      <c r="B172" s="1667" t="s">
        <v>492</v>
      </c>
      <c r="C172" s="616"/>
      <c r="D172" s="616"/>
      <c r="E172" s="1675">
        <f>SUM(E168,E169,E170,E171)</f>
        <v>0</v>
      </c>
      <c r="F172" s="616"/>
      <c r="G172" s="616"/>
      <c r="H172" s="1675">
        <f>SUM(H168,H169,H170,H171)</f>
        <v>215700</v>
      </c>
      <c r="I172" s="638"/>
      <c r="J172" s="616"/>
      <c r="K172" s="1675">
        <f>SUM(K168,K169,K170,K171)</f>
        <v>215700</v>
      </c>
      <c r="L172" s="1675">
        <f>SUM(L168,L169,L170,L171)</f>
        <v>220000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215700</v>
      </c>
      <c r="I174" s="638"/>
      <c r="J174" s="616"/>
      <c r="K174" s="1675">
        <f>SUM(K160,K172,K173)</f>
        <v>215700</v>
      </c>
      <c r="L174" s="1675">
        <f>SUM(L160,L172,L173)</f>
        <v>220000</v>
      </c>
    </row>
    <row r="175" spans="1:14" ht="13.5" thickTop="1" x14ac:dyDescent="0.2">
      <c r="A175" s="2181" t="s">
        <v>996</v>
      </c>
      <c r="B175" s="2182"/>
      <c r="C175" s="616"/>
      <c r="D175" s="616"/>
      <c r="E175" s="616"/>
      <c r="F175" s="616"/>
      <c r="G175" s="616"/>
      <c r="H175" s="618"/>
      <c r="I175" s="616"/>
      <c r="J175" s="616"/>
      <c r="K175" s="1682">
        <f>'Revenues 9-14'!E268-'Expenditures 15-22'!K174</f>
        <v>5312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164033</v>
      </c>
      <c r="D182" s="466">
        <v>47353</v>
      </c>
      <c r="E182" s="466">
        <v>52100</v>
      </c>
      <c r="F182" s="466">
        <v>36371</v>
      </c>
      <c r="G182" s="466"/>
      <c r="H182" s="466"/>
      <c r="I182" s="467"/>
      <c r="J182" s="467"/>
      <c r="K182" s="1669">
        <f>SUM(C182:J182)</f>
        <v>299857</v>
      </c>
      <c r="L182" s="466">
        <v>445589</v>
      </c>
    </row>
    <row r="183" spans="1:14" ht="12.75" customHeight="1" thickBot="1" x14ac:dyDescent="0.25">
      <c r="A183" s="1509"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164033</v>
      </c>
      <c r="D184" s="1675">
        <f t="shared" ref="D184:J184" si="17">SUM(D180,D182,D183)</f>
        <v>47353</v>
      </c>
      <c r="E184" s="1675">
        <f t="shared" si="17"/>
        <v>52100</v>
      </c>
      <c r="F184" s="1675">
        <f t="shared" si="17"/>
        <v>36371</v>
      </c>
      <c r="G184" s="1675">
        <f t="shared" si="17"/>
        <v>0</v>
      </c>
      <c r="H184" s="1675">
        <f t="shared" si="17"/>
        <v>0</v>
      </c>
      <c r="I184" s="1675">
        <f t="shared" si="17"/>
        <v>0</v>
      </c>
      <c r="J184" s="1675">
        <f t="shared" si="17"/>
        <v>0</v>
      </c>
      <c r="K184" s="1675">
        <f>SUM(K180,K182,K183)</f>
        <v>299857</v>
      </c>
      <c r="L184" s="1675">
        <f>SUM(L180, L182:L183)</f>
        <v>445589</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v>0</v>
      </c>
    </row>
    <row r="189" spans="1:14" x14ac:dyDescent="0.2">
      <c r="A189" s="1504" t="s">
        <v>304</v>
      </c>
      <c r="B189" s="614">
        <v>4120</v>
      </c>
      <c r="C189" s="616"/>
      <c r="D189" s="616"/>
      <c r="E189" s="466"/>
      <c r="F189" s="616"/>
      <c r="G189" s="616"/>
      <c r="H189" s="466"/>
      <c r="I189" s="477"/>
      <c r="J189" s="616"/>
      <c r="K189" s="1669">
        <f t="shared" si="18"/>
        <v>0</v>
      </c>
      <c r="L189" s="466">
        <v>0</v>
      </c>
    </row>
    <row r="190" spans="1:14" x14ac:dyDescent="0.2">
      <c r="A190" s="1504" t="s">
        <v>305</v>
      </c>
      <c r="B190" s="628">
        <v>4130</v>
      </c>
      <c r="C190" s="616"/>
      <c r="D190" s="616"/>
      <c r="E190" s="466"/>
      <c r="F190" s="616"/>
      <c r="G190" s="616"/>
      <c r="H190" s="466"/>
      <c r="I190" s="477"/>
      <c r="J190" s="616"/>
      <c r="K190" s="1669">
        <f t="shared" si="18"/>
        <v>0</v>
      </c>
      <c r="L190" s="466">
        <v>0</v>
      </c>
    </row>
    <row r="191" spans="1:14" x14ac:dyDescent="0.2">
      <c r="A191" s="1504" t="s">
        <v>697</v>
      </c>
      <c r="B191" s="614">
        <v>4140</v>
      </c>
      <c r="C191" s="616"/>
      <c r="D191" s="616"/>
      <c r="E191" s="466"/>
      <c r="F191" s="616"/>
      <c r="G191" s="616"/>
      <c r="H191" s="466"/>
      <c r="I191" s="477"/>
      <c r="J191" s="616"/>
      <c r="K191" s="1669">
        <f t="shared" si="18"/>
        <v>0</v>
      </c>
      <c r="L191" s="466">
        <v>0</v>
      </c>
    </row>
    <row r="192" spans="1:14" x14ac:dyDescent="0.2">
      <c r="A192" s="1504" t="s">
        <v>86</v>
      </c>
      <c r="B192" s="614">
        <v>4170</v>
      </c>
      <c r="C192" s="616"/>
      <c r="D192" s="616"/>
      <c r="E192" s="466"/>
      <c r="F192" s="616"/>
      <c r="G192" s="616"/>
      <c r="H192" s="466"/>
      <c r="I192" s="477"/>
      <c r="J192" s="616"/>
      <c r="K192" s="1669">
        <f t="shared" si="18"/>
        <v>0</v>
      </c>
      <c r="L192" s="466">
        <v>0</v>
      </c>
    </row>
    <row r="193" spans="1:14" x14ac:dyDescent="0.2">
      <c r="A193" s="1508"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v>0</v>
      </c>
    </row>
    <row r="200" spans="1:14" x14ac:dyDescent="0.2">
      <c r="A200" s="1504" t="s">
        <v>88</v>
      </c>
      <c r="B200" s="614">
        <v>5120</v>
      </c>
      <c r="C200" s="616"/>
      <c r="D200" s="616"/>
      <c r="E200" s="616"/>
      <c r="F200" s="616"/>
      <c r="G200" s="616"/>
      <c r="H200" s="466"/>
      <c r="I200" s="616"/>
      <c r="J200" s="616"/>
      <c r="K200" s="1669">
        <f>SUM(H200)</f>
        <v>0</v>
      </c>
      <c r="L200" s="466">
        <v>0</v>
      </c>
    </row>
    <row r="201" spans="1:14" ht="12.75" customHeight="1" x14ac:dyDescent="0.2">
      <c r="A201" s="1504" t="s">
        <v>1170</v>
      </c>
      <c r="B201" s="628" t="s">
        <v>617</v>
      </c>
      <c r="C201" s="616"/>
      <c r="D201" s="616"/>
      <c r="E201" s="616"/>
      <c r="F201" s="616"/>
      <c r="G201" s="616"/>
      <c r="H201" s="466"/>
      <c r="I201" s="616"/>
      <c r="J201" s="616"/>
      <c r="K201" s="1669">
        <f>SUM(H201)</f>
        <v>0</v>
      </c>
      <c r="L201" s="466">
        <v>0</v>
      </c>
    </row>
    <row r="202" spans="1:14" x14ac:dyDescent="0.2">
      <c r="A202" s="1504" t="s">
        <v>89</v>
      </c>
      <c r="B202" s="614" t="s">
        <v>589</v>
      </c>
      <c r="C202" s="616"/>
      <c r="D202" s="616"/>
      <c r="E202" s="616"/>
      <c r="F202" s="616"/>
      <c r="G202" s="616"/>
      <c r="H202" s="466"/>
      <c r="I202" s="616"/>
      <c r="J202" s="616"/>
      <c r="K202" s="1669">
        <f>SUM(H202)</f>
        <v>0</v>
      </c>
      <c r="L202" s="466">
        <v>0</v>
      </c>
    </row>
    <row r="203" spans="1:14" x14ac:dyDescent="0.2">
      <c r="A203" s="1516"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1671</v>
      </c>
      <c r="B206" s="672" t="s">
        <v>31</v>
      </c>
      <c r="C206" s="616"/>
      <c r="D206" s="616"/>
      <c r="E206" s="616"/>
      <c r="F206" s="616"/>
      <c r="G206" s="616"/>
      <c r="H206" s="466"/>
      <c r="I206" s="616"/>
      <c r="J206" s="616"/>
      <c r="K206" s="1669">
        <f>SUM(H206)</f>
        <v>0</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164033</v>
      </c>
      <c r="D210" s="1668">
        <f>SUM(D184,D185)</f>
        <v>47353</v>
      </c>
      <c r="E210" s="1668">
        <f>SUM(E184,E185,E196)</f>
        <v>52100</v>
      </c>
      <c r="F210" s="1668">
        <f>SUM(F184,F185)</f>
        <v>36371</v>
      </c>
      <c r="G210" s="1668">
        <f>SUM(G184,G185)</f>
        <v>0</v>
      </c>
      <c r="H210" s="1668">
        <f>SUM(H184,H185,H196,H208,H209)</f>
        <v>0</v>
      </c>
      <c r="I210" s="1668">
        <f>SUM(I184,I185)</f>
        <v>0</v>
      </c>
      <c r="J210" s="1668">
        <f>SUM(J184,J185)</f>
        <v>0</v>
      </c>
      <c r="K210" s="1669">
        <f>SUM(K184,K185,K196,K208,K209)</f>
        <v>299857</v>
      </c>
      <c r="L210" s="1668">
        <f>SUM(L184,L185,L196,L208,L209)</f>
        <v>445589</v>
      </c>
    </row>
    <row r="211" spans="1:14" ht="13.5" thickTop="1" x14ac:dyDescent="0.2">
      <c r="A211" s="2181" t="s">
        <v>996</v>
      </c>
      <c r="B211" s="2182"/>
      <c r="C211" s="618"/>
      <c r="D211" s="618"/>
      <c r="E211" s="618"/>
      <c r="F211" s="618"/>
      <c r="G211" s="618"/>
      <c r="H211" s="618"/>
      <c r="I211" s="616"/>
      <c r="J211" s="616"/>
      <c r="K211" s="1682">
        <f>'Revenues 9-14'!F268-'Expenditures 15-22'!K210</f>
        <v>106532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23116</v>
      </c>
      <c r="E215" s="616"/>
      <c r="F215" s="616"/>
      <c r="G215" s="616"/>
      <c r="H215" s="616"/>
      <c r="I215" s="616"/>
      <c r="J215" s="616"/>
      <c r="K215" s="1669">
        <f>D215</f>
        <v>23116</v>
      </c>
      <c r="L215" s="466">
        <v>0</v>
      </c>
    </row>
    <row r="216" spans="1:14" x14ac:dyDescent="0.2">
      <c r="A216" s="1504" t="s">
        <v>163</v>
      </c>
      <c r="B216" s="614" t="s">
        <v>967</v>
      </c>
      <c r="C216" s="616"/>
      <c r="D216" s="467"/>
      <c r="E216" s="616"/>
      <c r="F216" s="616"/>
      <c r="G216" s="616"/>
      <c r="H216" s="616"/>
      <c r="I216" s="616"/>
      <c r="J216" s="616"/>
      <c r="K216" s="1669">
        <f t="shared" ref="K216:K228" si="19">D216</f>
        <v>0</v>
      </c>
      <c r="L216" s="466">
        <v>25070</v>
      </c>
    </row>
    <row r="217" spans="1:14" x14ac:dyDescent="0.2">
      <c r="A217" s="1504" t="s">
        <v>164</v>
      </c>
      <c r="B217" s="614">
        <v>1200</v>
      </c>
      <c r="C217" s="616"/>
      <c r="D217" s="466">
        <v>27966</v>
      </c>
      <c r="E217" s="616"/>
      <c r="F217" s="616"/>
      <c r="G217" s="616"/>
      <c r="H217" s="616"/>
      <c r="I217" s="616"/>
      <c r="J217" s="616"/>
      <c r="K217" s="1669">
        <f t="shared" si="19"/>
        <v>27966</v>
      </c>
      <c r="L217" s="466">
        <v>38500</v>
      </c>
    </row>
    <row r="218" spans="1:14" x14ac:dyDescent="0.2">
      <c r="A218" s="1504" t="s">
        <v>278</v>
      </c>
      <c r="B218" s="614" t="s">
        <v>968</v>
      </c>
      <c r="C218" s="616"/>
      <c r="D218" s="467"/>
      <c r="E218" s="616"/>
      <c r="F218" s="616"/>
      <c r="G218" s="616"/>
      <c r="H218" s="616"/>
      <c r="I218" s="616"/>
      <c r="J218" s="616"/>
      <c r="K218" s="1669">
        <f t="shared" si="19"/>
        <v>0</v>
      </c>
      <c r="L218" s="466">
        <v>0</v>
      </c>
    </row>
    <row r="219" spans="1:14" x14ac:dyDescent="0.2">
      <c r="A219" s="1504" t="s">
        <v>279</v>
      </c>
      <c r="B219" s="614">
        <v>1250</v>
      </c>
      <c r="C219" s="616"/>
      <c r="D219" s="466">
        <v>15023</v>
      </c>
      <c r="E219" s="616"/>
      <c r="F219" s="616"/>
      <c r="G219" s="616"/>
      <c r="H219" s="616"/>
      <c r="I219" s="616"/>
      <c r="J219" s="616"/>
      <c r="K219" s="1669">
        <f t="shared" si="19"/>
        <v>15023</v>
      </c>
      <c r="L219" s="466">
        <v>19700</v>
      </c>
    </row>
    <row r="220" spans="1:14" x14ac:dyDescent="0.2">
      <c r="A220" s="1504" t="s">
        <v>280</v>
      </c>
      <c r="B220" s="614" t="s">
        <v>161</v>
      </c>
      <c r="C220" s="616"/>
      <c r="D220" s="467"/>
      <c r="E220" s="616"/>
      <c r="F220" s="616"/>
      <c r="G220" s="616"/>
      <c r="H220" s="616"/>
      <c r="I220" s="616"/>
      <c r="J220" s="616"/>
      <c r="K220" s="1669">
        <f t="shared" si="19"/>
        <v>0</v>
      </c>
      <c r="L220" s="466">
        <v>0</v>
      </c>
    </row>
    <row r="221" spans="1:14" x14ac:dyDescent="0.2">
      <c r="A221" s="1504" t="s">
        <v>962</v>
      </c>
      <c r="B221" s="614">
        <v>1300</v>
      </c>
      <c r="C221" s="616"/>
      <c r="D221" s="466"/>
      <c r="E221" s="616"/>
      <c r="F221" s="616"/>
      <c r="G221" s="616"/>
      <c r="H221" s="616"/>
      <c r="I221" s="616"/>
      <c r="J221" s="616"/>
      <c r="K221" s="1669">
        <f t="shared" si="19"/>
        <v>0</v>
      </c>
      <c r="L221" s="466">
        <v>0</v>
      </c>
    </row>
    <row r="222" spans="1:14" x14ac:dyDescent="0.2">
      <c r="A222" s="1504" t="s">
        <v>723</v>
      </c>
      <c r="B222" s="614">
        <v>1400</v>
      </c>
      <c r="C222" s="616"/>
      <c r="D222" s="466">
        <v>4503</v>
      </c>
      <c r="E222" s="616"/>
      <c r="F222" s="616"/>
      <c r="G222" s="616"/>
      <c r="H222" s="616"/>
      <c r="I222" s="616"/>
      <c r="J222" s="616"/>
      <c r="K222" s="1669">
        <f t="shared" si="19"/>
        <v>4503</v>
      </c>
      <c r="L222" s="466">
        <v>4600</v>
      </c>
    </row>
    <row r="223" spans="1:14" x14ac:dyDescent="0.2">
      <c r="A223" s="1504" t="s">
        <v>963</v>
      </c>
      <c r="B223" s="614">
        <v>1500</v>
      </c>
      <c r="C223" s="616"/>
      <c r="D223" s="466">
        <v>14396</v>
      </c>
      <c r="E223" s="616"/>
      <c r="F223" s="616"/>
      <c r="G223" s="616"/>
      <c r="H223" s="616"/>
      <c r="I223" s="616"/>
      <c r="J223" s="616"/>
      <c r="K223" s="1669">
        <f t="shared" si="19"/>
        <v>14396</v>
      </c>
      <c r="L223" s="466">
        <v>16500</v>
      </c>
    </row>
    <row r="224" spans="1:14" x14ac:dyDescent="0.2">
      <c r="A224" s="1504" t="s">
        <v>964</v>
      </c>
      <c r="B224" s="614">
        <v>1600</v>
      </c>
      <c r="C224" s="616"/>
      <c r="D224" s="466"/>
      <c r="E224" s="616"/>
      <c r="F224" s="616"/>
      <c r="G224" s="616"/>
      <c r="H224" s="616"/>
      <c r="I224" s="616"/>
      <c r="J224" s="616"/>
      <c r="K224" s="1669">
        <f t="shared" si="19"/>
        <v>0</v>
      </c>
      <c r="L224" s="466">
        <v>0</v>
      </c>
    </row>
    <row r="225" spans="1:12" x14ac:dyDescent="0.2">
      <c r="A225" s="1504" t="s">
        <v>987</v>
      </c>
      <c r="B225" s="614">
        <v>1650</v>
      </c>
      <c r="C225" s="616"/>
      <c r="D225" s="466"/>
      <c r="E225" s="616"/>
      <c r="F225" s="616"/>
      <c r="G225" s="616"/>
      <c r="H225" s="616"/>
      <c r="I225" s="616"/>
      <c r="J225" s="616"/>
      <c r="K225" s="1669">
        <f t="shared" si="19"/>
        <v>0</v>
      </c>
      <c r="L225" s="466">
        <v>0</v>
      </c>
    </row>
    <row r="226" spans="1:12" x14ac:dyDescent="0.2">
      <c r="A226" s="1504" t="s">
        <v>724</v>
      </c>
      <c r="B226" s="614" t="s">
        <v>162</v>
      </c>
      <c r="C226" s="616"/>
      <c r="D226" s="467">
        <v>1093</v>
      </c>
      <c r="E226" s="616"/>
      <c r="F226" s="616"/>
      <c r="G226" s="616"/>
      <c r="H226" s="616"/>
      <c r="I226" s="616"/>
      <c r="J226" s="616"/>
      <c r="K226" s="1669">
        <f t="shared" si="19"/>
        <v>1093</v>
      </c>
      <c r="L226" s="466">
        <v>1500</v>
      </c>
    </row>
    <row r="227" spans="1:12" x14ac:dyDescent="0.2">
      <c r="A227" s="1504" t="s">
        <v>1087</v>
      </c>
      <c r="B227" s="614">
        <v>1800</v>
      </c>
      <c r="C227" s="616"/>
      <c r="D227" s="466"/>
      <c r="E227" s="616"/>
      <c r="F227" s="616"/>
      <c r="G227" s="616"/>
      <c r="H227" s="616"/>
      <c r="I227" s="616"/>
      <c r="J227" s="616"/>
      <c r="K227" s="1669">
        <f t="shared" si="19"/>
        <v>0</v>
      </c>
      <c r="L227" s="466">
        <v>0</v>
      </c>
    </row>
    <row r="228" spans="1:12" x14ac:dyDescent="0.2">
      <c r="A228" s="1504" t="s">
        <v>1088</v>
      </c>
      <c r="B228" s="614">
        <v>1900</v>
      </c>
      <c r="C228" s="616"/>
      <c r="D228" s="466"/>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86097</v>
      </c>
      <c r="E229" s="616"/>
      <c r="F229" s="616"/>
      <c r="G229" s="616"/>
      <c r="H229" s="616"/>
      <c r="I229" s="616"/>
      <c r="J229" s="616"/>
      <c r="K229" s="1668">
        <f>SUM(K215:K228)</f>
        <v>86097</v>
      </c>
      <c r="L229" s="1668">
        <f>SUM(L215:L228)</f>
        <v>105870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v>0</v>
      </c>
    </row>
    <row r="233" spans="1:12" x14ac:dyDescent="0.2">
      <c r="A233" s="1504" t="s">
        <v>1090</v>
      </c>
      <c r="B233" s="614">
        <v>2120</v>
      </c>
      <c r="C233" s="616"/>
      <c r="D233" s="466">
        <v>8419</v>
      </c>
      <c r="E233" s="616"/>
      <c r="F233" s="616"/>
      <c r="G233" s="616"/>
      <c r="H233" s="616"/>
      <c r="I233" s="616"/>
      <c r="J233" s="616"/>
      <c r="K233" s="1669">
        <f t="shared" si="20"/>
        <v>8419</v>
      </c>
      <c r="L233" s="466">
        <v>11000</v>
      </c>
    </row>
    <row r="234" spans="1:12" x14ac:dyDescent="0.2">
      <c r="A234" s="1504" t="s">
        <v>198</v>
      </c>
      <c r="B234" s="614">
        <v>2130</v>
      </c>
      <c r="C234" s="616"/>
      <c r="D234" s="466">
        <v>1644</v>
      </c>
      <c r="E234" s="616"/>
      <c r="F234" s="616"/>
      <c r="G234" s="616"/>
      <c r="H234" s="616"/>
      <c r="I234" s="616"/>
      <c r="J234" s="616"/>
      <c r="K234" s="1669">
        <f t="shared" si="20"/>
        <v>1644</v>
      </c>
      <c r="L234" s="466">
        <v>3535</v>
      </c>
    </row>
    <row r="235" spans="1:12" x14ac:dyDescent="0.2">
      <c r="A235" s="1504" t="s">
        <v>199</v>
      </c>
      <c r="B235" s="614">
        <v>2140</v>
      </c>
      <c r="C235" s="616"/>
      <c r="D235" s="466">
        <v>789</v>
      </c>
      <c r="E235" s="616"/>
      <c r="F235" s="616"/>
      <c r="G235" s="616"/>
      <c r="H235" s="616"/>
      <c r="I235" s="616"/>
      <c r="J235" s="616"/>
      <c r="K235" s="1669">
        <f t="shared" si="20"/>
        <v>789</v>
      </c>
      <c r="L235" s="466">
        <v>1100</v>
      </c>
    </row>
    <row r="236" spans="1:12" x14ac:dyDescent="0.2">
      <c r="A236" s="1504" t="s">
        <v>200</v>
      </c>
      <c r="B236" s="614">
        <v>2150</v>
      </c>
      <c r="C236" s="616"/>
      <c r="D236" s="466"/>
      <c r="E236" s="616"/>
      <c r="F236" s="616"/>
      <c r="G236" s="616"/>
      <c r="H236" s="616"/>
      <c r="I236" s="616"/>
      <c r="J236" s="616"/>
      <c r="K236" s="1669">
        <f t="shared" si="20"/>
        <v>0</v>
      </c>
      <c r="L236" s="466">
        <v>0</v>
      </c>
    </row>
    <row r="237" spans="1:12" x14ac:dyDescent="0.2">
      <c r="A237" s="1504"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10852</v>
      </c>
      <c r="E238" s="616"/>
      <c r="F238" s="616"/>
      <c r="G238" s="616"/>
      <c r="H238" s="616"/>
      <c r="I238" s="616"/>
      <c r="J238" s="616"/>
      <c r="K238" s="1668">
        <f>SUM(K232:K237)</f>
        <v>10852</v>
      </c>
      <c r="L238" s="1668">
        <f>SUM(L232:L237)</f>
        <v>15635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v>0</v>
      </c>
    </row>
    <row r="241" spans="1:12" x14ac:dyDescent="0.2">
      <c r="A241" s="1504" t="s">
        <v>815</v>
      </c>
      <c r="B241" s="614">
        <v>2220</v>
      </c>
      <c r="C241" s="616"/>
      <c r="D241" s="466">
        <v>7806</v>
      </c>
      <c r="E241" s="616"/>
      <c r="F241" s="616"/>
      <c r="G241" s="616"/>
      <c r="H241" s="616"/>
      <c r="I241" s="616"/>
      <c r="J241" s="616"/>
      <c r="K241" s="1670">
        <f>D241</f>
        <v>7806</v>
      </c>
      <c r="L241" s="466">
        <v>4940</v>
      </c>
    </row>
    <row r="242" spans="1:12" x14ac:dyDescent="0.2">
      <c r="A242" s="1504"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7806</v>
      </c>
      <c r="E243" s="616"/>
      <c r="F243" s="616"/>
      <c r="G243" s="616"/>
      <c r="H243" s="616"/>
      <c r="I243" s="616"/>
      <c r="J243" s="616"/>
      <c r="K243" s="1668">
        <f>SUM(K240:K242)</f>
        <v>7806</v>
      </c>
      <c r="L243" s="1668">
        <f>SUM(L240:L242)</f>
        <v>4940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v>0</v>
      </c>
    </row>
    <row r="246" spans="1:12" x14ac:dyDescent="0.2">
      <c r="A246" s="1504" t="s">
        <v>818</v>
      </c>
      <c r="B246" s="614">
        <v>2320</v>
      </c>
      <c r="C246" s="616"/>
      <c r="D246" s="466">
        <v>1839</v>
      </c>
      <c r="E246" s="616"/>
      <c r="F246" s="616"/>
      <c r="G246" s="616"/>
      <c r="H246" s="616"/>
      <c r="I246" s="616"/>
      <c r="J246" s="616"/>
      <c r="K246" s="1670">
        <f t="shared" ref="K246:K256" si="21">D246</f>
        <v>1839</v>
      </c>
      <c r="L246" s="466">
        <v>2550</v>
      </c>
    </row>
    <row r="247" spans="1:12" x14ac:dyDescent="0.2">
      <c r="A247" s="1504" t="s">
        <v>819</v>
      </c>
      <c r="B247" s="614">
        <v>2330</v>
      </c>
      <c r="C247" s="616"/>
      <c r="D247" s="466"/>
      <c r="E247" s="616"/>
      <c r="F247" s="616"/>
      <c r="G247" s="616"/>
      <c r="H247" s="616"/>
      <c r="I247" s="616"/>
      <c r="J247" s="616"/>
      <c r="K247" s="1670">
        <f t="shared" si="21"/>
        <v>0</v>
      </c>
      <c r="L247" s="466">
        <v>0</v>
      </c>
    </row>
    <row r="248" spans="1:12" x14ac:dyDescent="0.2">
      <c r="A248" s="1505" t="s">
        <v>299</v>
      </c>
      <c r="B248" s="602" t="s">
        <v>281</v>
      </c>
      <c r="C248" s="616"/>
      <c r="D248" s="474"/>
      <c r="E248" s="616"/>
      <c r="F248" s="616"/>
      <c r="G248" s="616"/>
      <c r="H248" s="616"/>
      <c r="I248" s="616"/>
      <c r="J248" s="616"/>
      <c r="K248" s="1670">
        <f t="shared" si="21"/>
        <v>0</v>
      </c>
      <c r="L248" s="466">
        <v>0</v>
      </c>
    </row>
    <row r="249" spans="1:12" x14ac:dyDescent="0.2">
      <c r="A249" s="1506" t="s">
        <v>1804</v>
      </c>
      <c r="B249" s="683" t="s">
        <v>282</v>
      </c>
      <c r="C249" s="616"/>
      <c r="D249" s="474"/>
      <c r="E249" s="616"/>
      <c r="F249" s="616"/>
      <c r="G249" s="616"/>
      <c r="H249" s="616"/>
      <c r="I249" s="616"/>
      <c r="J249" s="616"/>
      <c r="K249" s="1670">
        <f t="shared" si="21"/>
        <v>0</v>
      </c>
      <c r="L249" s="466">
        <v>0</v>
      </c>
    </row>
    <row r="250" spans="1:12" x14ac:dyDescent="0.2">
      <c r="A250" s="1505" t="s">
        <v>1805</v>
      </c>
      <c r="B250" s="602" t="s">
        <v>283</v>
      </c>
      <c r="C250" s="616"/>
      <c r="D250" s="474"/>
      <c r="E250" s="616"/>
      <c r="F250" s="616"/>
      <c r="G250" s="616"/>
      <c r="H250" s="616"/>
      <c r="I250" s="616"/>
      <c r="J250" s="616"/>
      <c r="K250" s="1670">
        <f t="shared" si="21"/>
        <v>0</v>
      </c>
      <c r="L250" s="466">
        <v>0</v>
      </c>
    </row>
    <row r="251" spans="1:12" x14ac:dyDescent="0.2">
      <c r="A251" s="1505" t="s">
        <v>238</v>
      </c>
      <c r="B251" s="602" t="s">
        <v>284</v>
      </c>
      <c r="C251" s="616"/>
      <c r="D251" s="474"/>
      <c r="E251" s="616"/>
      <c r="F251" s="616"/>
      <c r="G251" s="616"/>
      <c r="H251" s="616"/>
      <c r="I251" s="616"/>
      <c r="J251" s="616"/>
      <c r="K251" s="1670">
        <f t="shared" si="21"/>
        <v>0</v>
      </c>
      <c r="L251" s="466">
        <v>0</v>
      </c>
    </row>
    <row r="252" spans="1:12" x14ac:dyDescent="0.2">
      <c r="A252" s="1505" t="s">
        <v>702</v>
      </c>
      <c r="B252" s="602" t="s">
        <v>285</v>
      </c>
      <c r="C252" s="616"/>
      <c r="D252" s="474"/>
      <c r="E252" s="616"/>
      <c r="F252" s="616"/>
      <c r="G252" s="616"/>
      <c r="H252" s="616"/>
      <c r="I252" s="616"/>
      <c r="J252" s="616"/>
      <c r="K252" s="1670">
        <f t="shared" si="21"/>
        <v>0</v>
      </c>
      <c r="L252" s="466">
        <v>0</v>
      </c>
    </row>
    <row r="253" spans="1:12" x14ac:dyDescent="0.2">
      <c r="A253" s="1505" t="s">
        <v>239</v>
      </c>
      <c r="B253" s="602" t="s">
        <v>286</v>
      </c>
      <c r="C253" s="616"/>
      <c r="D253" s="474"/>
      <c r="E253" s="616"/>
      <c r="F253" s="616"/>
      <c r="G253" s="616"/>
      <c r="H253" s="616"/>
      <c r="I253" s="616"/>
      <c r="J253" s="616"/>
      <c r="K253" s="1670">
        <f t="shared" si="21"/>
        <v>0</v>
      </c>
      <c r="L253" s="466">
        <v>0</v>
      </c>
    </row>
    <row r="254" spans="1:12" ht="22.5" x14ac:dyDescent="0.2">
      <c r="A254" s="1505" t="s">
        <v>1029</v>
      </c>
      <c r="B254" s="683" t="s">
        <v>287</v>
      </c>
      <c r="C254" s="616"/>
      <c r="D254" s="474"/>
      <c r="E254" s="616"/>
      <c r="F254" s="616"/>
      <c r="G254" s="616"/>
      <c r="H254" s="616"/>
      <c r="I254" s="616"/>
      <c r="J254" s="616"/>
      <c r="K254" s="1670">
        <f t="shared" si="21"/>
        <v>0</v>
      </c>
      <c r="L254" s="466">
        <v>0</v>
      </c>
    </row>
    <row r="255" spans="1:12" x14ac:dyDescent="0.2">
      <c r="A255" s="1505" t="s">
        <v>1030</v>
      </c>
      <c r="B255" s="602" t="s">
        <v>288</v>
      </c>
      <c r="C255" s="616"/>
      <c r="D255" s="474"/>
      <c r="E255" s="616"/>
      <c r="F255" s="616"/>
      <c r="G255" s="616"/>
      <c r="H255" s="616"/>
      <c r="I255" s="616"/>
      <c r="J255" s="616"/>
      <c r="K255" s="1670">
        <f t="shared" si="21"/>
        <v>0</v>
      </c>
      <c r="L255" s="466">
        <v>0</v>
      </c>
    </row>
    <row r="256" spans="1:12" x14ac:dyDescent="0.2">
      <c r="A256" s="1505"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1839</v>
      </c>
      <c r="E257" s="616"/>
      <c r="F257" s="616"/>
      <c r="G257" s="616"/>
      <c r="H257" s="616"/>
      <c r="I257" s="616"/>
      <c r="J257" s="616"/>
      <c r="K257" s="1668">
        <f>SUM(K245:K256)</f>
        <v>1839</v>
      </c>
      <c r="L257" s="1668">
        <f>SUM(L245:L256)</f>
        <v>2550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16489</v>
      </c>
      <c r="E259" s="616"/>
      <c r="F259" s="616"/>
      <c r="G259" s="616"/>
      <c r="H259" s="616"/>
      <c r="I259" s="616"/>
      <c r="J259" s="616"/>
      <c r="K259" s="1670">
        <f>D259</f>
        <v>16489</v>
      </c>
      <c r="L259" s="481">
        <v>19000</v>
      </c>
    </row>
    <row r="260" spans="1:14" s="597" customFormat="1" x14ac:dyDescent="0.2">
      <c r="A260" s="1522" t="s">
        <v>1803</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16489</v>
      </c>
      <c r="E261" s="616"/>
      <c r="F261" s="616"/>
      <c r="G261" s="616"/>
      <c r="H261" s="616"/>
      <c r="I261" s="616"/>
      <c r="J261" s="616"/>
      <c r="K261" s="1668">
        <f>SUM(K259:K260)</f>
        <v>16489</v>
      </c>
      <c r="L261" s="1668">
        <f>SUM(L259:L260)</f>
        <v>19000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v>0</v>
      </c>
    </row>
    <row r="264" spans="1:14" x14ac:dyDescent="0.2">
      <c r="A264" s="1504" t="s">
        <v>463</v>
      </c>
      <c r="B264" s="685">
        <v>2520</v>
      </c>
      <c r="C264" s="616"/>
      <c r="D264" s="466">
        <v>21005</v>
      </c>
      <c r="E264" s="616"/>
      <c r="F264" s="616"/>
      <c r="G264" s="616"/>
      <c r="H264" s="616"/>
      <c r="I264" s="616"/>
      <c r="J264" s="616"/>
      <c r="K264" s="1670">
        <f t="shared" ref="K264:K269" si="22">D264</f>
        <v>21005</v>
      </c>
      <c r="L264" s="466">
        <v>25400</v>
      </c>
    </row>
    <row r="265" spans="1:14" x14ac:dyDescent="0.2">
      <c r="A265" s="1504" t="s">
        <v>4</v>
      </c>
      <c r="B265" s="614">
        <v>2530</v>
      </c>
      <c r="C265" s="616"/>
      <c r="D265" s="466"/>
      <c r="E265" s="616"/>
      <c r="F265" s="616"/>
      <c r="G265" s="616"/>
      <c r="H265" s="616"/>
      <c r="I265" s="616"/>
      <c r="J265" s="616"/>
      <c r="K265" s="1670">
        <f t="shared" si="22"/>
        <v>0</v>
      </c>
      <c r="L265" s="466">
        <v>0</v>
      </c>
    </row>
    <row r="266" spans="1:14" x14ac:dyDescent="0.2">
      <c r="A266" s="1504" t="s">
        <v>197</v>
      </c>
      <c r="B266" s="614">
        <v>2540</v>
      </c>
      <c r="C266" s="616"/>
      <c r="D266" s="466">
        <v>45546</v>
      </c>
      <c r="E266" s="616"/>
      <c r="F266" s="616"/>
      <c r="G266" s="616"/>
      <c r="H266" s="616"/>
      <c r="I266" s="616"/>
      <c r="J266" s="616"/>
      <c r="K266" s="1670">
        <f t="shared" si="22"/>
        <v>45546</v>
      </c>
      <c r="L266" s="466">
        <v>50000</v>
      </c>
    </row>
    <row r="267" spans="1:14" x14ac:dyDescent="0.2">
      <c r="A267" s="1504" t="s">
        <v>953</v>
      </c>
      <c r="B267" s="614">
        <v>2550</v>
      </c>
      <c r="C267" s="616"/>
      <c r="D267" s="466">
        <v>19686</v>
      </c>
      <c r="E267" s="616"/>
      <c r="F267" s="616"/>
      <c r="G267" s="616"/>
      <c r="H267" s="616"/>
      <c r="I267" s="616"/>
      <c r="J267" s="616"/>
      <c r="K267" s="1670">
        <f t="shared" si="22"/>
        <v>19686</v>
      </c>
      <c r="L267" s="466">
        <v>26200</v>
      </c>
    </row>
    <row r="268" spans="1:14" x14ac:dyDescent="0.2">
      <c r="A268" s="1504" t="s">
        <v>100</v>
      </c>
      <c r="B268" s="614">
        <v>2560</v>
      </c>
      <c r="C268" s="616"/>
      <c r="D268" s="466">
        <v>12341</v>
      </c>
      <c r="E268" s="616"/>
      <c r="F268" s="616"/>
      <c r="G268" s="616"/>
      <c r="H268" s="616"/>
      <c r="I268" s="616"/>
      <c r="J268" s="616"/>
      <c r="K268" s="1670">
        <f t="shared" si="22"/>
        <v>12341</v>
      </c>
      <c r="L268" s="466">
        <v>15500</v>
      </c>
    </row>
    <row r="269" spans="1:14" x14ac:dyDescent="0.2">
      <c r="A269" s="1504"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98578</v>
      </c>
      <c r="E270" s="616"/>
      <c r="F270" s="616"/>
      <c r="G270" s="616"/>
      <c r="H270" s="616"/>
      <c r="I270" s="616"/>
      <c r="J270" s="616"/>
      <c r="K270" s="1668">
        <f>SUM(K263:K269)</f>
        <v>98578</v>
      </c>
      <c r="L270" s="1668">
        <f>SUM(L263:L269)</f>
        <v>117100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v>0</v>
      </c>
    </row>
    <row r="273" spans="1:12" x14ac:dyDescent="0.2">
      <c r="A273" s="1504" t="s">
        <v>607</v>
      </c>
      <c r="B273" s="628">
        <v>2620</v>
      </c>
      <c r="C273" s="616"/>
      <c r="D273" s="466">
        <v>21</v>
      </c>
      <c r="E273" s="616"/>
      <c r="F273" s="616"/>
      <c r="G273" s="616"/>
      <c r="H273" s="616"/>
      <c r="I273" s="616"/>
      <c r="J273" s="616"/>
      <c r="K273" s="1670">
        <f>D273</f>
        <v>21</v>
      </c>
      <c r="L273" s="466">
        <v>1500</v>
      </c>
    </row>
    <row r="274" spans="1:12" ht="12" customHeight="1" x14ac:dyDescent="0.2">
      <c r="A274" s="1504" t="s">
        <v>1061</v>
      </c>
      <c r="B274" s="614">
        <v>2630</v>
      </c>
      <c r="C274" s="616"/>
      <c r="D274" s="466"/>
      <c r="E274" s="616"/>
      <c r="F274" s="616"/>
      <c r="G274" s="616"/>
      <c r="H274" s="616"/>
      <c r="I274" s="616"/>
      <c r="J274" s="616"/>
      <c r="K274" s="1670">
        <f>D274</f>
        <v>0</v>
      </c>
      <c r="L274" s="466">
        <v>0</v>
      </c>
    </row>
    <row r="275" spans="1:12" x14ac:dyDescent="0.2">
      <c r="A275" s="1504" t="s">
        <v>403</v>
      </c>
      <c r="B275" s="614">
        <v>2640</v>
      </c>
      <c r="C275" s="616"/>
      <c r="D275" s="466">
        <v>162</v>
      </c>
      <c r="E275" s="616"/>
      <c r="F275" s="616"/>
      <c r="G275" s="616"/>
      <c r="H275" s="616"/>
      <c r="I275" s="616"/>
      <c r="J275" s="616"/>
      <c r="K275" s="1670">
        <f>D275</f>
        <v>162</v>
      </c>
      <c r="L275" s="466">
        <v>0</v>
      </c>
    </row>
    <row r="276" spans="1:12" x14ac:dyDescent="0.2">
      <c r="A276" s="1504" t="s">
        <v>404</v>
      </c>
      <c r="B276" s="614">
        <v>2660</v>
      </c>
      <c r="C276" s="616"/>
      <c r="D276" s="466">
        <v>125</v>
      </c>
      <c r="E276" s="616"/>
      <c r="F276" s="616"/>
      <c r="G276" s="616"/>
      <c r="H276" s="616"/>
      <c r="I276" s="616"/>
      <c r="J276" s="616"/>
      <c r="K276" s="1670">
        <f>D276</f>
        <v>125</v>
      </c>
      <c r="L276" s="466">
        <v>0</v>
      </c>
    </row>
    <row r="277" spans="1:12" ht="12.75" customHeight="1" thickBot="1" x14ac:dyDescent="0.25">
      <c r="A277" s="1689" t="s">
        <v>37</v>
      </c>
      <c r="B277" s="1667" t="s">
        <v>36</v>
      </c>
      <c r="C277" s="616"/>
      <c r="D277" s="1668">
        <f>SUM(D272:D276)</f>
        <v>308</v>
      </c>
      <c r="E277" s="616"/>
      <c r="F277" s="616"/>
      <c r="G277" s="616"/>
      <c r="H277" s="616"/>
      <c r="I277" s="616"/>
      <c r="J277" s="616"/>
      <c r="K277" s="1668">
        <f>SUM(K272:K276)</f>
        <v>308</v>
      </c>
      <c r="L277" s="1668">
        <f>SUM(L272:L276)</f>
        <v>1500</v>
      </c>
    </row>
    <row r="278" spans="1:12" ht="13.5" customHeight="1" thickTop="1" x14ac:dyDescent="0.2">
      <c r="A278" s="1510" t="s">
        <v>980</v>
      </c>
      <c r="B278" s="655" t="s">
        <v>574</v>
      </c>
      <c r="C278" s="616"/>
      <c r="D278" s="656">
        <v>90</v>
      </c>
      <c r="E278" s="616"/>
      <c r="F278" s="616"/>
      <c r="G278" s="616"/>
      <c r="H278" s="616"/>
      <c r="I278" s="616"/>
      <c r="J278" s="616"/>
      <c r="K278" s="1683">
        <f>D278</f>
        <v>90</v>
      </c>
      <c r="L278" s="656">
        <v>500</v>
      </c>
    </row>
    <row r="279" spans="1:12" ht="12.75" customHeight="1" thickBot="1" x14ac:dyDescent="0.25">
      <c r="A279" s="1696" t="s">
        <v>811</v>
      </c>
      <c r="B279" s="1679">
        <v>2000</v>
      </c>
      <c r="C279" s="616"/>
      <c r="D279" s="1675">
        <f>SUM(D238,D243,D257,D261,D270,D277,D278)</f>
        <v>135962</v>
      </c>
      <c r="E279" s="616"/>
      <c r="F279" s="616"/>
      <c r="G279" s="616"/>
      <c r="H279" s="616"/>
      <c r="I279" s="616"/>
      <c r="J279" s="616"/>
      <c r="K279" s="1675">
        <f>SUM(K238,K243,K257,K261,K270,K277,K278)</f>
        <v>135962</v>
      </c>
      <c r="L279" s="1675">
        <f>SUM(L238,L243,L257,L261,L270,L277,L278)</f>
        <v>161225</v>
      </c>
    </row>
    <row r="280" spans="1:12" ht="15.75" customHeight="1" thickTop="1" thickBot="1" x14ac:dyDescent="0.25">
      <c r="A280" s="1624" t="s">
        <v>875</v>
      </c>
      <c r="B280" s="1613">
        <v>3000</v>
      </c>
      <c r="C280" s="616"/>
      <c r="D280" s="576"/>
      <c r="E280" s="616"/>
      <c r="F280" s="616"/>
      <c r="G280" s="616"/>
      <c r="H280" s="616"/>
      <c r="I280" s="616"/>
      <c r="J280" s="616"/>
      <c r="K280" s="1677">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1843</v>
      </c>
      <c r="C282" s="616"/>
      <c r="D282" s="467"/>
      <c r="E282" s="616"/>
      <c r="F282" s="616"/>
      <c r="G282" s="616"/>
      <c r="H282" s="616"/>
      <c r="I282" s="616"/>
      <c r="J282" s="616"/>
      <c r="K282" s="1669">
        <f>D282</f>
        <v>0</v>
      </c>
      <c r="L282" s="467">
        <v>0</v>
      </c>
    </row>
    <row r="283" spans="1:12" x14ac:dyDescent="0.2">
      <c r="A283" s="1504" t="s">
        <v>304</v>
      </c>
      <c r="B283" s="614">
        <v>4120</v>
      </c>
      <c r="C283" s="616"/>
      <c r="D283" s="466"/>
      <c r="E283" s="616"/>
      <c r="F283" s="616"/>
      <c r="G283" s="616"/>
      <c r="H283" s="616"/>
      <c r="I283" s="616"/>
      <c r="J283" s="616"/>
      <c r="K283" s="1669">
        <f>D283</f>
        <v>0</v>
      </c>
      <c r="L283" s="466">
        <v>0</v>
      </c>
    </row>
    <row r="284" spans="1:12" x14ac:dyDescent="0.2">
      <c r="A284" s="1504"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v>0</v>
      </c>
    </row>
    <row r="289" spans="1:14" x14ac:dyDescent="0.2">
      <c r="A289" s="1504" t="s">
        <v>88</v>
      </c>
      <c r="B289" s="614">
        <v>5120</v>
      </c>
      <c r="C289" s="616"/>
      <c r="D289" s="616"/>
      <c r="E289" s="616"/>
      <c r="F289" s="616"/>
      <c r="G289" s="616"/>
      <c r="H289" s="466"/>
      <c r="I289" s="616"/>
      <c r="J289" s="616"/>
      <c r="K289" s="1669">
        <f>H289</f>
        <v>0</v>
      </c>
      <c r="L289" s="466">
        <v>0</v>
      </c>
    </row>
    <row r="290" spans="1:14" ht="12.75" customHeight="1" x14ac:dyDescent="0.2">
      <c r="A290" s="1504" t="s">
        <v>1170</v>
      </c>
      <c r="B290" s="628" t="s">
        <v>617</v>
      </c>
      <c r="C290" s="616"/>
      <c r="D290" s="616"/>
      <c r="E290" s="616"/>
      <c r="F290" s="616"/>
      <c r="G290" s="616"/>
      <c r="H290" s="466"/>
      <c r="I290" s="616"/>
      <c r="J290" s="616"/>
      <c r="K290" s="1669">
        <f>H290</f>
        <v>0</v>
      </c>
      <c r="L290" s="466">
        <v>0</v>
      </c>
    </row>
    <row r="291" spans="1:14" x14ac:dyDescent="0.2">
      <c r="A291" s="1504" t="s">
        <v>89</v>
      </c>
      <c r="B291" s="614" t="s">
        <v>589</v>
      </c>
      <c r="C291" s="616"/>
      <c r="D291" s="616"/>
      <c r="E291" s="616"/>
      <c r="F291" s="616"/>
      <c r="G291" s="616"/>
      <c r="H291" s="466"/>
      <c r="I291" s="616"/>
      <c r="J291" s="616"/>
      <c r="K291" s="1669">
        <f>H291</f>
        <v>0</v>
      </c>
      <c r="L291" s="466">
        <v>0</v>
      </c>
    </row>
    <row r="292" spans="1:14" x14ac:dyDescent="0.2">
      <c r="A292" s="1504"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68">
        <f>SUM(D229,D279,D280,D285)</f>
        <v>222059</v>
      </c>
      <c r="E295" s="616"/>
      <c r="F295" s="616"/>
      <c r="G295" s="616"/>
      <c r="H295" s="1668">
        <f>H293</f>
        <v>0</v>
      </c>
      <c r="I295" s="616"/>
      <c r="J295" s="616"/>
      <c r="K295" s="1668">
        <f>SUM(K229,K279,K280,K285,K293,K294)</f>
        <v>222059</v>
      </c>
      <c r="L295" s="1668">
        <f>SUM(L229,L279,L280,L285,L293,L294)</f>
        <v>267095</v>
      </c>
    </row>
    <row r="296" spans="1:14" ht="13.5" thickTop="1" x14ac:dyDescent="0.2">
      <c r="A296" s="2181" t="s">
        <v>996</v>
      </c>
      <c r="B296" s="2182"/>
      <c r="C296" s="616"/>
      <c r="D296" s="618"/>
      <c r="E296" s="616"/>
      <c r="F296" s="616"/>
      <c r="G296" s="616"/>
      <c r="H296" s="687"/>
      <c r="I296" s="616"/>
      <c r="J296" s="616"/>
      <c r="K296" s="1682">
        <f>'Revenues 9-14'!G268-'Expenditures 15-22'!K295</f>
        <v>56334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62172</v>
      </c>
      <c r="F301" s="466"/>
      <c r="G301" s="466"/>
      <c r="H301" s="466"/>
      <c r="I301" s="467"/>
      <c r="J301" s="467"/>
      <c r="K301" s="1669">
        <f>SUM(C301:J301)</f>
        <v>62172</v>
      </c>
      <c r="L301" s="467">
        <v>150000</v>
      </c>
    </row>
    <row r="302" spans="1:14" ht="13.5" customHeight="1" x14ac:dyDescent="0.2">
      <c r="A302" s="1517"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62172</v>
      </c>
      <c r="F303" s="1675">
        <f t="shared" si="23"/>
        <v>0</v>
      </c>
      <c r="G303" s="1675">
        <f t="shared" si="23"/>
        <v>0</v>
      </c>
      <c r="H303" s="1675">
        <f t="shared" si="23"/>
        <v>0</v>
      </c>
      <c r="I303" s="1675">
        <f t="shared" si="23"/>
        <v>0</v>
      </c>
      <c r="J303" s="1675">
        <f t="shared" si="23"/>
        <v>0</v>
      </c>
      <c r="K303" s="1675">
        <f t="shared" si="23"/>
        <v>62172</v>
      </c>
      <c r="L303" s="1675">
        <f t="shared" si="23"/>
        <v>150000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69">
        <f>SUM(E306,H306)</f>
        <v>0</v>
      </c>
      <c r="L306" s="467">
        <v>0</v>
      </c>
    </row>
    <row r="307" spans="1:14" x14ac:dyDescent="0.2">
      <c r="A307" s="1504" t="s">
        <v>304</v>
      </c>
      <c r="B307" s="614">
        <v>4120</v>
      </c>
      <c r="C307" s="616"/>
      <c r="D307" s="616"/>
      <c r="E307" s="467"/>
      <c r="F307" s="616"/>
      <c r="G307" s="616"/>
      <c r="H307" s="467"/>
      <c r="I307" s="477"/>
      <c r="J307" s="616"/>
      <c r="K307" s="1669">
        <f>SUM(E307,H307)</f>
        <v>0</v>
      </c>
      <c r="L307" s="466">
        <v>0</v>
      </c>
    </row>
    <row r="308" spans="1:14" x14ac:dyDescent="0.2">
      <c r="A308" s="1504" t="s">
        <v>697</v>
      </c>
      <c r="B308" s="614">
        <v>4140</v>
      </c>
      <c r="C308" s="616"/>
      <c r="D308" s="616"/>
      <c r="E308" s="467"/>
      <c r="F308" s="616"/>
      <c r="G308" s="616"/>
      <c r="H308" s="467"/>
      <c r="I308" s="477"/>
      <c r="J308" s="616"/>
      <c r="K308" s="1669">
        <f>SUM(E308,H308)</f>
        <v>0</v>
      </c>
      <c r="L308" s="466">
        <v>0</v>
      </c>
    </row>
    <row r="309" spans="1:14" ht="12.75" customHeight="1" x14ac:dyDescent="0.2">
      <c r="A309" s="1508"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68">
        <f>SUM(C303)</f>
        <v>0</v>
      </c>
      <c r="D312" s="1668">
        <f>SUM(D303)</f>
        <v>0</v>
      </c>
      <c r="E312" s="1668">
        <f>SUM(E303,E310)</f>
        <v>62172</v>
      </c>
      <c r="F312" s="1668">
        <f>SUM(F303)</f>
        <v>0</v>
      </c>
      <c r="G312" s="1668">
        <f>SUM(G303)</f>
        <v>0</v>
      </c>
      <c r="H312" s="1668">
        <f>SUM(H303,H310)</f>
        <v>0</v>
      </c>
      <c r="I312" s="1668">
        <f>SUM(I303)</f>
        <v>0</v>
      </c>
      <c r="J312" s="1668">
        <f>SUM(J303)</f>
        <v>0</v>
      </c>
      <c r="K312" s="1668">
        <f>SUM(K303,K310,K311)</f>
        <v>62172</v>
      </c>
      <c r="L312" s="1668">
        <f>SUM(L303,L310,L311)</f>
        <v>150000</v>
      </c>
      <c r="M312" s="665"/>
      <c r="N312" s="665"/>
    </row>
    <row r="313" spans="1:14" ht="13.5" thickTop="1" x14ac:dyDescent="0.2">
      <c r="A313" s="2165" t="s">
        <v>996</v>
      </c>
      <c r="B313" s="2166"/>
      <c r="C313" s="626"/>
      <c r="D313" s="626"/>
      <c r="E313" s="626"/>
      <c r="F313" s="626"/>
      <c r="G313" s="626"/>
      <c r="H313" s="626"/>
      <c r="I313" s="626"/>
      <c r="J313" s="626"/>
      <c r="K313" s="1683">
        <f>'Revenues 9-14'!H268-'Expenditures 15-22'!K312</f>
        <v>711889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3" t="s">
        <v>1804</v>
      </c>
      <c r="B320" s="698" t="s">
        <v>282</v>
      </c>
      <c r="C320" s="467"/>
      <c r="D320" s="467"/>
      <c r="E320" s="467">
        <v>50015</v>
      </c>
      <c r="F320" s="467"/>
      <c r="G320" s="467"/>
      <c r="H320" s="467"/>
      <c r="I320" s="467"/>
      <c r="J320" s="467"/>
      <c r="K320" s="1669">
        <f t="shared" ref="K320:K327" si="24">SUM(C320:J320)</f>
        <v>50015</v>
      </c>
      <c r="L320" s="467">
        <v>55000</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v>2000</v>
      </c>
      <c r="M321" s="665"/>
      <c r="N321" s="665"/>
    </row>
    <row r="322" spans="1:14" s="674" customFormat="1" x14ac:dyDescent="0.2">
      <c r="A322" s="1519" t="s">
        <v>238</v>
      </c>
      <c r="B322" s="697" t="s">
        <v>284</v>
      </c>
      <c r="C322" s="467"/>
      <c r="D322" s="467"/>
      <c r="E322" s="467">
        <v>7764</v>
      </c>
      <c r="F322" s="467"/>
      <c r="G322" s="467"/>
      <c r="H322" s="467"/>
      <c r="I322" s="467"/>
      <c r="J322" s="467"/>
      <c r="K322" s="1669">
        <f t="shared" si="24"/>
        <v>7764</v>
      </c>
      <c r="L322" s="467">
        <v>10000</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9" t="s">
        <v>971</v>
      </c>
      <c r="B327" s="697" t="s">
        <v>289</v>
      </c>
      <c r="C327" s="467"/>
      <c r="D327" s="467"/>
      <c r="E327" s="467">
        <v>8776</v>
      </c>
      <c r="F327" s="467"/>
      <c r="G327" s="467"/>
      <c r="H327" s="467"/>
      <c r="I327" s="467"/>
      <c r="J327" s="467"/>
      <c r="K327" s="1669">
        <f t="shared" si="24"/>
        <v>8776</v>
      </c>
      <c r="L327" s="467">
        <v>25000</v>
      </c>
      <c r="M327" s="665"/>
      <c r="N327" s="665"/>
    </row>
    <row r="328" spans="1:14" s="674" customFormat="1" x14ac:dyDescent="0.2">
      <c r="A328" s="1520" t="s">
        <v>472</v>
      </c>
      <c r="B328" s="690" t="s">
        <v>1132</v>
      </c>
      <c r="C328" s="474"/>
      <c r="D328" s="474"/>
      <c r="E328" s="474">
        <v>66597</v>
      </c>
      <c r="F328" s="474"/>
      <c r="G328" s="474"/>
      <c r="H328" s="474"/>
      <c r="I328" s="474"/>
      <c r="J328" s="474"/>
      <c r="K328" s="1697">
        <f>SUM(C328:J328)</f>
        <v>66597</v>
      </c>
      <c r="L328" s="474">
        <v>70000</v>
      </c>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133152</v>
      </c>
      <c r="F330" s="1668">
        <f t="shared" si="25"/>
        <v>0</v>
      </c>
      <c r="G330" s="1668">
        <f t="shared" si="25"/>
        <v>0</v>
      </c>
      <c r="H330" s="1668">
        <f t="shared" si="25"/>
        <v>0</v>
      </c>
      <c r="I330" s="1668">
        <f t="shared" si="25"/>
        <v>0</v>
      </c>
      <c r="J330" s="1668">
        <f t="shared" si="25"/>
        <v>0</v>
      </c>
      <c r="K330" s="1668">
        <f>SUM(K319:K329)</f>
        <v>133152</v>
      </c>
      <c r="L330" s="1668">
        <f>SUM(L319:L329)</f>
        <v>162000</v>
      </c>
      <c r="M330" s="665"/>
      <c r="N330" s="665"/>
    </row>
    <row r="331" spans="1:14" s="674" customFormat="1" ht="12.75" customHeight="1" thickTop="1" x14ac:dyDescent="0.2">
      <c r="A331" s="1829" t="s">
        <v>1849</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1843</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1845</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1850</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v>0</v>
      </c>
    </row>
    <row r="338" spans="1:14" ht="12.75" customHeight="1" x14ac:dyDescent="0.2">
      <c r="A338" s="1518" t="s">
        <v>1170</v>
      </c>
      <c r="B338" s="690" t="s">
        <v>617</v>
      </c>
      <c r="C338" s="638"/>
      <c r="D338" s="638"/>
      <c r="E338" s="638"/>
      <c r="F338" s="638"/>
      <c r="G338" s="638"/>
      <c r="H338" s="478"/>
      <c r="I338" s="638"/>
      <c r="J338" s="638"/>
      <c r="K338" s="1669">
        <f>H338</f>
        <v>0</v>
      </c>
      <c r="L338" s="478">
        <v>0</v>
      </c>
    </row>
    <row r="339" spans="1:14" x14ac:dyDescent="0.2">
      <c r="A339" s="1504"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0</v>
      </c>
      <c r="D342" s="1668">
        <f>SUM(D330)</f>
        <v>0</v>
      </c>
      <c r="E342" s="1668">
        <f>SUM(E330)</f>
        <v>133152</v>
      </c>
      <c r="F342" s="1668">
        <f>SUM(F330)</f>
        <v>0</v>
      </c>
      <c r="G342" s="1668">
        <f>SUM(G330)</f>
        <v>0</v>
      </c>
      <c r="H342" s="1668">
        <f>SUM(H330,H334,H340)</f>
        <v>0</v>
      </c>
      <c r="I342" s="1668">
        <f>SUM(I330)</f>
        <v>0</v>
      </c>
      <c r="J342" s="1668">
        <f>SUM(J330)</f>
        <v>0</v>
      </c>
      <c r="K342" s="1668">
        <f>SUM(K330,K334,K340)</f>
        <v>133152</v>
      </c>
      <c r="L342" s="1675">
        <f>SUM(L330,L334,L340,L341)</f>
        <v>162000</v>
      </c>
    </row>
    <row r="343" spans="1:14" ht="12.75" customHeight="1" thickTop="1" x14ac:dyDescent="0.2">
      <c r="A343" s="2167" t="s">
        <v>996</v>
      </c>
      <c r="B343" s="2168"/>
      <c r="C343" s="616"/>
      <c r="D343" s="616"/>
      <c r="E343" s="616"/>
      <c r="F343" s="616"/>
      <c r="G343" s="616"/>
      <c r="H343" s="616"/>
      <c r="I343" s="616"/>
      <c r="J343" s="616"/>
      <c r="K343" s="1682">
        <f>'Revenues 9-14'!J268-'Expenditures 15-22'!K342</f>
        <v>19454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v>0</v>
      </c>
    </row>
    <row r="349" spans="1:14" x14ac:dyDescent="0.2">
      <c r="A349" s="1504" t="s">
        <v>197</v>
      </c>
      <c r="B349" s="614">
        <v>2540</v>
      </c>
      <c r="C349" s="466"/>
      <c r="D349" s="466"/>
      <c r="E349" s="466"/>
      <c r="F349" s="466"/>
      <c r="G349" s="466"/>
      <c r="H349" s="466"/>
      <c r="I349" s="467"/>
      <c r="J349" s="467"/>
      <c r="K349" s="1669">
        <f>SUM(C349:J349)</f>
        <v>0</v>
      </c>
      <c r="L349" s="466">
        <v>57008</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57008</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57008</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1851</v>
      </c>
      <c r="B354" s="683" t="s">
        <v>1843</v>
      </c>
      <c r="C354" s="616"/>
      <c r="D354" s="616"/>
      <c r="E354" s="616"/>
      <c r="F354" s="616"/>
      <c r="G354" s="616"/>
      <c r="H354" s="474"/>
      <c r="I354" s="701"/>
      <c r="J354" s="616"/>
      <c r="K354" s="1697">
        <f>H354</f>
        <v>0</v>
      </c>
      <c r="L354" s="471">
        <v>0</v>
      </c>
    </row>
    <row r="355" spans="1:14" ht="12.75" customHeight="1" x14ac:dyDescent="0.2">
      <c r="A355" s="1513" t="s">
        <v>1852</v>
      </c>
      <c r="B355" s="690" t="s">
        <v>1845</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v>0</v>
      </c>
    </row>
    <row r="361" spans="1:14" ht="12.75" customHeight="1" x14ac:dyDescent="0.2">
      <c r="A361" s="1505"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57008</v>
      </c>
    </row>
    <row r="368" spans="1:14" ht="13.5" thickTop="1" x14ac:dyDescent="0.2">
      <c r="A368" s="2181" t="s">
        <v>996</v>
      </c>
      <c r="B368" s="2182"/>
      <c r="C368" s="654"/>
      <c r="D368" s="654"/>
      <c r="E368" s="626"/>
      <c r="F368" s="626"/>
      <c r="G368" s="626"/>
      <c r="H368" s="626"/>
      <c r="I368" s="626"/>
      <c r="J368" s="623"/>
      <c r="K368" s="1669">
        <f>'Revenues 9-14'!K268-'Expenditures 15-22'!K367</f>
        <v>59987</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http://purl.org/dc/elements/1.1/"/>
    <ds:schemaRef ds:uri="http://purl.org/dc/dcmitype/"/>
    <ds:schemaRef ds:uri="http://schemas.microsoft.com/sharepoint/v3"/>
    <ds:schemaRef ds:uri="http://schemas.microsoft.com/office/2006/documentManagement/types"/>
    <ds:schemaRef ds:uri="http://schemas.microsoft.com/office/infopath/2007/PartnerControls"/>
    <ds:schemaRef ds:uri="6ce3111e-7420-4802-b50a-75d4e9a0b980"/>
    <ds:schemaRef ds:uri="http://purl.org/dc/terms/"/>
    <ds:schemaRef ds:uri="4d435f69-8686-490b-bd6d-b153bf22ab5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2019-11-13T21:46:49Z</cp:lastPrinted>
  <dcterms:created xsi:type="dcterms:W3CDTF">2003-10-29T19:06:34Z</dcterms:created>
  <dcterms:modified xsi:type="dcterms:W3CDTF">2019-11-26T16:42:27Z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