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17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SEFA NOTES" sheetId="173" r:id="rId30"/>
    <sheet name="SF&amp;QC Sec-1" sheetId="174" r:id="rId31"/>
    <sheet name="SF&amp;QC Sec-2" sheetId="175" r:id="rId32"/>
    <sheet name="SF&amp;QC Sec-2 (2)" sheetId="183" r:id="rId33"/>
    <sheet name="SF&amp;QC Sec-2 (3)" sheetId="185" r:id="rId34"/>
    <sheet name="SF&amp;QC Sec-3" sheetId="176" r:id="rId35"/>
    <sheet name="SSPAF" sheetId="177" r:id="rId36"/>
  </sheets>
  <definedNames>
    <definedName name="abc" localSheetId="28">#REF!</definedName>
    <definedName name="abc" localSheetId="33">#REF!</definedName>
    <definedName name="abc">#REF!</definedName>
    <definedName name="_xlnm.Print_Area" localSheetId="27">' SEFA'!$B$1:$M$46</definedName>
    <definedName name="_xlnm.Print_Area" localSheetId="28">' SEFA (2)'!$B$1:$M$45</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K22" i="184" l="1"/>
  <c r="K23" i="184" s="1"/>
  <c r="J22" i="184"/>
  <c r="J23" i="184" s="1"/>
  <c r="I22" i="184"/>
  <c r="I23" i="184" s="1"/>
  <c r="H22" i="184"/>
  <c r="H23" i="184" s="1"/>
  <c r="G22" i="184"/>
  <c r="G23" i="184" s="1"/>
  <c r="F22" i="184"/>
  <c r="F23" i="184" s="1"/>
  <c r="E22" i="184"/>
  <c r="E23" i="184" s="1"/>
  <c r="L21" i="184"/>
  <c r="L20" i="184"/>
  <c r="L19" i="184"/>
  <c r="L18" i="184"/>
  <c r="L17" i="184"/>
  <c r="L16" i="184"/>
  <c r="L15" i="184"/>
  <c r="L14" i="184"/>
  <c r="L13" i="184"/>
  <c r="L12" i="184"/>
  <c r="L11" i="184"/>
  <c r="B4" i="184"/>
  <c r="L22" i="184" l="1"/>
  <c r="K27" i="179"/>
  <c r="J27" i="179"/>
  <c r="I27" i="179"/>
  <c r="H27" i="179"/>
  <c r="G27" i="179"/>
  <c r="F27" i="179"/>
  <c r="E27" i="179"/>
  <c r="K22" i="179"/>
  <c r="J22" i="179"/>
  <c r="I22" i="179"/>
  <c r="H22" i="179"/>
  <c r="G22" i="179"/>
  <c r="F22" i="179"/>
  <c r="E22" i="179"/>
  <c r="H26" i="184" l="1"/>
  <c r="J26" i="184"/>
  <c r="G26" i="184"/>
  <c r="E26" i="184"/>
  <c r="F26" i="184"/>
  <c r="K26" i="184"/>
  <c r="I26" i="184"/>
  <c r="L26" i="184" l="1"/>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F30" i="181" s="1"/>
  <c r="E29" i="181"/>
  <c r="E28" i="181"/>
  <c r="F28" i="181" s="1"/>
  <c r="E27" i="181"/>
  <c r="F27" i="181" s="1"/>
  <c r="G27" i="181" s="1"/>
  <c r="E26" i="181"/>
  <c r="F26" i="181" s="1"/>
  <c r="E25" i="181"/>
  <c r="E24" i="181"/>
  <c r="E23" i="181"/>
  <c r="E22" i="181"/>
  <c r="E21" i="181"/>
  <c r="E20" i="181"/>
  <c r="F20" i="181" s="1"/>
  <c r="E19" i="181"/>
  <c r="F19" i="181" s="1"/>
  <c r="F29" i="181" l="1"/>
  <c r="G29" i="181" s="1"/>
  <c r="F25" i="18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4" l="1"/>
  <c r="B2" i="185"/>
  <c r="B1" i="183"/>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6" i="108"/>
  <c r="G26"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J22" i="37"/>
  <c r="D69" i="36" l="1"/>
  <c r="D68" i="36"/>
  <c r="G15" i="145"/>
  <c r="B6995" i="106"/>
  <c r="D6995" i="106" s="1"/>
  <c r="B2836" i="106"/>
  <c r="D2836" i="106" s="1"/>
  <c r="D6103" i="106"/>
  <c r="H33" i="118"/>
  <c r="E38" i="108"/>
  <c r="F50" i="34"/>
  <c r="B1124" i="106"/>
  <c r="D1124" i="106" s="1"/>
  <c r="D24" i="37"/>
  <c r="B4270" i="106" s="1"/>
  <c r="D4270" i="106" s="1"/>
  <c r="L13" i="11"/>
  <c r="B2060" i="106" s="1"/>
  <c r="D2060" i="106" s="1"/>
  <c r="B7076" i="106"/>
  <c r="D7076" i="106" s="1"/>
  <c r="E33" i="108"/>
  <c r="E34" i="108"/>
  <c r="F71" i="34"/>
  <c r="B4211" i="106"/>
  <c r="D4211" i="106" s="1"/>
  <c r="B7074" i="106"/>
  <c r="D7074" i="106" s="1"/>
  <c r="D54" i="36"/>
  <c r="H112" i="29"/>
  <c r="B7018" i="106" s="1"/>
  <c r="D7018" i="106" s="1"/>
  <c r="G35" i="108"/>
  <c r="E35" i="108"/>
  <c r="F28" i="108"/>
  <c r="F46" i="34"/>
  <c r="F69" i="34"/>
  <c r="D36" i="108"/>
  <c r="B7047" i="106"/>
  <c r="D7047" i="106" s="1"/>
  <c r="F36" i="108"/>
  <c r="F52" i="34"/>
  <c r="G30" i="108"/>
  <c r="F34" i="34"/>
  <c r="G39" i="108"/>
  <c r="B3647" i="106"/>
  <c r="D3647" i="106" s="1"/>
  <c r="G29" i="108"/>
  <c r="J41" i="3"/>
  <c r="B6216" i="106" s="1"/>
  <c r="D6216" i="106" s="1"/>
  <c r="B6289" i="106"/>
  <c r="D6289" i="106" s="1"/>
  <c r="H28" i="118"/>
  <c r="L5" i="11"/>
  <c r="B2056" i="106" s="1"/>
  <c r="D2056" i="106" s="1"/>
  <c r="L22" i="37"/>
  <c r="L342" i="29"/>
  <c r="E29" i="108"/>
  <c r="H365" i="29"/>
  <c r="B7242" i="106" s="1"/>
  <c r="D7242" i="106" s="1"/>
  <c r="L367" i="29"/>
  <c r="C342" i="29"/>
  <c r="B7216" i="106" s="1"/>
  <c r="D7216" i="106" s="1"/>
  <c r="G14" i="4"/>
  <c r="B2609" i="106" s="1"/>
  <c r="D2609" i="106" s="1"/>
  <c r="F72" i="34"/>
  <c r="H342" i="29"/>
  <c r="B7221" i="106" s="1"/>
  <c r="D7221" i="106" s="1"/>
  <c r="I210" i="29"/>
  <c r="B7071" i="106" s="1"/>
  <c r="D7071" i="106" s="1"/>
  <c r="H76" i="4"/>
  <c r="B3298" i="106" s="1"/>
  <c r="D3298" i="106" s="1"/>
  <c r="F77" i="4"/>
  <c r="B3255" i="106" s="1"/>
  <c r="D3255" i="106" s="1"/>
  <c r="J77" i="4"/>
  <c r="B6262" i="106" s="1"/>
  <c r="D6262" i="106" s="1"/>
  <c r="F19" i="7"/>
  <c r="B1807" i="106" s="1"/>
  <c r="D1807" i="106" s="1"/>
  <c r="K184" i="29"/>
  <c r="F13" i="4" s="1"/>
  <c r="B2596" i="106" s="1"/>
  <c r="D2596" i="106" s="1"/>
  <c r="J352" i="29"/>
  <c r="J367" i="29" s="1"/>
  <c r="B7245" i="106" s="1"/>
  <c r="D7245" i="106" s="1"/>
  <c r="J210" i="29"/>
  <c r="B7072" i="106" s="1"/>
  <c r="D7072" i="106" s="1"/>
  <c r="J129" i="29"/>
  <c r="B7038" i="106" s="1"/>
  <c r="D7038" i="106" s="1"/>
  <c r="C352" i="29"/>
  <c r="B3621" i="106" s="1"/>
  <c r="D3621" i="106" s="1"/>
  <c r="G210" i="29"/>
  <c r="I129" i="29"/>
  <c r="B7037" i="106" s="1"/>
  <c r="D7037" i="106" s="1"/>
  <c r="C129" i="29"/>
  <c r="C151" i="29" s="1"/>
  <c r="B1226" i="106" s="1"/>
  <c r="D1226" i="106" s="1"/>
  <c r="K76" i="4"/>
  <c r="B3586" i="106" s="1"/>
  <c r="D358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6" i="106"/>
  <c r="D7254" i="106"/>
  <c r="D7251" i="106"/>
  <c r="L16" i="11"/>
  <c r="B2061" i="106" s="1"/>
  <c r="D2061" i="106" s="1"/>
  <c r="I151" i="29"/>
  <c r="F59" i="34" s="1"/>
  <c r="D51" i="36"/>
  <c r="F41" i="108"/>
  <c r="G43" i="108" s="1"/>
  <c r="J16" i="4"/>
  <c r="B6226" i="106" s="1"/>
  <c r="D6226" i="106" s="1"/>
  <c r="B1328" i="106"/>
  <c r="D1328" i="106" s="1"/>
  <c r="B1266" i="106"/>
  <c r="D1266" i="106" s="1"/>
  <c r="C367" i="29"/>
  <c r="B3622" i="106" s="1"/>
  <c r="D3622" i="106" s="1"/>
  <c r="J151" i="29"/>
  <c r="B7052" i="106" s="1"/>
  <c r="D7052" i="106" s="1"/>
  <c r="B1225" i="106"/>
  <c r="D1225" i="106" s="1"/>
  <c r="H77" i="4"/>
  <c r="B3299" i="106" s="1"/>
  <c r="D3299" i="106" s="1"/>
  <c r="B1381" i="106"/>
  <c r="D1381" i="106" s="1"/>
  <c r="B4435" i="106"/>
  <c r="D4435" i="106" s="1"/>
  <c r="K28" i="118"/>
  <c r="O27" i="118" s="1"/>
  <c r="O29" i="118" s="1"/>
  <c r="K77" i="4"/>
  <c r="B3587" i="106" s="1"/>
  <c r="D3587" i="106" s="1"/>
  <c r="N23" i="3"/>
  <c r="B284" i="106" s="1"/>
  <c r="D284" i="106" s="1"/>
  <c r="B5778" i="106"/>
  <c r="D5778" i="106" s="1"/>
  <c r="G6" i="4"/>
  <c r="B2604" i="106" s="1"/>
  <c r="D2604" i="106" s="1"/>
  <c r="B5770" i="106"/>
  <c r="D5770" i="106" s="1"/>
  <c r="B5527" i="106"/>
  <c r="D5527" i="106" s="1"/>
  <c r="L114" i="29"/>
  <c r="F66" i="34"/>
  <c r="B1365" i="106"/>
  <c r="D1365" i="106" s="1"/>
  <c r="F65" i="34"/>
  <c r="B7235" i="106"/>
  <c r="D7235" i="106" s="1"/>
  <c r="K365" i="29"/>
  <c r="B7243" i="106" s="1"/>
  <c r="D7243" i="106" s="1"/>
  <c r="K342" i="29"/>
  <c r="F13" i="34" s="1"/>
  <c r="C114" i="29"/>
  <c r="B757" i="106" s="1"/>
  <c r="D757" i="106" s="1"/>
  <c r="D44" i="36"/>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051" i="106"/>
  <c r="D7051" i="106" s="1"/>
  <c r="B7224" i="106"/>
  <c r="D7224" i="106" s="1"/>
  <c r="B1145" i="106"/>
  <c r="D1145" i="106" s="1"/>
  <c r="K16" i="4"/>
  <c r="B3574" i="106" s="1"/>
  <c r="D3574" i="106" s="1"/>
  <c r="K367" i="29"/>
  <c r="B3678" i="106" s="1"/>
  <c r="D3678"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368" i="29"/>
  <c r="B3681" i="106" s="1"/>
  <c r="D3681" i="106" s="1"/>
  <c r="J20" i="4"/>
  <c r="J78" i="4" s="1"/>
  <c r="B6223" i="106"/>
  <c r="D6223" i="106" s="1"/>
  <c r="J10" i="4"/>
  <c r="B6225" i="106" s="1"/>
  <c r="D6225" i="106" s="1"/>
  <c r="K17" i="4"/>
  <c r="K19" i="4" s="1"/>
  <c r="B4144" i="106" s="1"/>
  <c r="D4144"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3575" i="106"/>
  <c r="D3575" i="106" s="1"/>
  <c r="K20" i="4"/>
  <c r="K78" i="4"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8" i="146" l="1"/>
  <c r="B3576" i="106"/>
  <c r="D3576" i="106" s="1"/>
  <c r="D78" i="4"/>
  <c r="D81" i="4" s="1"/>
  <c r="F175" i="34"/>
  <c r="F79" i="34"/>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7" i="34"/>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<sst xmlns="http://schemas.openxmlformats.org/spreadsheetml/2006/main" count="5372" uniqueCount="2222">
  <si>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</si>
  <si>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</si>
  <si>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</si>
  <si>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</si>
  <si>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</si>
  <si>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</si>
  <si>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</si>
  <si>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</si>
  <si>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</si>
  <si>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</si>
  <si>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</si>
  <si>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</si>
  <si>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</si>
  <si>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</si>
  <si>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</si>
  <si>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</si>
  <si>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</si>
  <si>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</si>
  <si>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</si>
  <si>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</si>
  <si>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</si>
  <si>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</si>
  <si>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</si>
  <si>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</si>
  <si>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</si>
  <si>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</si>
  <si>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</si>
  <si>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</si>
  <si>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</si>
  <si>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</si>
  <si>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</si>
  <si>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</si>
  <si>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</si>
  <si>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</si>
  <si>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</si>
  <si>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</si>
  <si>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</si>
  <si>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</si>
  <si>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</si>
  <si>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</si>
  <si>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</si>
  <si>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</si>
  <si>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</si>
  <si>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</si>
  <si>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</si>
  <si>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</si>
  <si>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</si>
  <si>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</si>
  <si>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</si>
  <si>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</si>
  <si>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</si>
  <si>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</si>
  <si>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</si>
  <si>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</si>
  <si>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</si>
  <si>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</si>
  <si>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</si>
  <si>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</si>
  <si>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</si>
  <si>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</si>
  <si>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</si>
  <si>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</si>
  <si>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</si>
  <si>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</si>
  <si>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</si>
  <si>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</si>
  <si>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</si>
  <si>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</si>
  <si>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</si>
  <si>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</si>
  <si>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</si>
  <si>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</si>
  <si>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</si>
  <si>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</si>
  <si>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</si>
  <si>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</si>
  <si>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</si>
  <si>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</si>
  <si>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</si>
  <si>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</si>
  <si>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</si>
  <si>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</si>
  <si>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</si>
  <si>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</si>
  <si>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</si>
  <si>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</si>
  <si>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</si>
  <si>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</si>
  <si>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</si>
  <si>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</si>
  <si>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</si>
  <si>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</si>
  <si>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</si>
  <si>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</si>
  <si>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</si>
  <si>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</si>
  <si>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</si>
  <si>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</si>
  <si>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</si>
  <si>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</si>
  <si>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</si>
  <si>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</si>
  <si>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</si>
  <si>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</si>
  <si>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</si>
  <si>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</si>
  <si>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</si>
  <si>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</si>
  <si>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</si>
  <si>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</si>
  <si>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</si>
  <si>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</si>
  <si>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</si>
  <si>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</si>
  <si>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</si>
  <si>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</si>
  <si>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</si>
  <si>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</si>
  <si>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</si>
  <si>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</si>
  <si>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</si>
  <si>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</si>
  <si>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</si>
  <si>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</si>
  <si>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</si>
  <si>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</si>
  <si>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</si>
  <si>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</si>
  <si>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</si>
  <si>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</si>
  <si>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</si>
  <si>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</si>
  <si>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</si>
  <si>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</si>
  <si>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</si>
  <si>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</si>
  <si>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</si>
  <si>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</si>
  <si>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</si>
  <si>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</si>
  <si>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</si>
  <si>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</si>
  <si>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</si>
  <si>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</si>
  <si>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</si>
  <si>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</si>
  <si>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</si>
  <si>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</si>
  <si>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</si>
  <si>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</si>
  <si>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</si>
  <si>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</si>
  <si>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</si>
  <si>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</si>
  <si>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</si>
  <si>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</si>
  <si>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</si>
  <si>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</si>
  <si>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</si>
  <si>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</si>
  <si>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</si>
  <si>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</si>
  <si>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</si>
  <si>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</si>
  <si>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</si>
  <si>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</si>
  <si>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</si>
  <si>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</si>
  <si>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</si>
  <si>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</si>
  <si>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</si>
  <si>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</si>
  <si>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</si>
  <si>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</si>
  <si>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</si>
  <si>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</si>
  <si>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</si>
  <si>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</si>
  <si>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</si>
  <si>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</si>
  <si>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</si>
  <si>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</si>
  <si>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</si>
  <si>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</si>
  <si>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</si>
  <si>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</si>
  <si>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</si>
  <si>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</si>
  <si>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</si>
  <si>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</si>
  <si>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</si>
  <si>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</si>
  <si>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</si>
  <si>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</si>
  <si>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</si>
  <si>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</si>
  <si>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</si>
  <si>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</si>
  <si>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</si>
  <si>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</si>
  <si>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</si>
  <si>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</si>
  <si>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</si>
  <si>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</si>
  <si>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</si>
  <si>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</si>
  <si>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</si>
  <si>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</si>
  <si>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</si>
  <si>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</si>
  <si>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</si>
  <si>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</si>
  <si>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</si>
  <si>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</si>
  <si>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</si>
  <si>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</si>
  <si>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</si>
  <si>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</si>
  <si>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</si>
  <si>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</si>
  <si>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</si>
  <si>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</si>
  <si>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</si>
  <si>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</si>
  <si>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</si>
  <si>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</si>
  <si>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</si>
  <si>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</si>
  <si>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</si>
  <si>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</si>
  <si>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</si>
  <si>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</si>
  <si>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</si>
  <si>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</si>
  <si>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</si>
  <si>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</si>
  <si>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</si>
  <si>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</si>
  <si>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</si>
  <si>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</si>
  <si>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</si>
  <si>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</si>
  <si>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</si>
  <si>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</si>
  <si>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</si>
  <si>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</si>
  <si>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</si>
  <si>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</si>
  <si>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</si>
  <si>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</si>
  <si>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</si>
  <si>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</si>
  <si>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</si>
  <si>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</si>
  <si>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</si>
  <si>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</si>
  <si>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</si>
  <si>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</si>
  <si>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</si>
  <si>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</si>
  <si>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</si>
  <si>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</si>
  <si>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</si>
  <si>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</si>
  <si>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</si>
  <si>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</si>
  <si>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</si>
  <si>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</si>
  <si>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</si>
  <si>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</si>
  <si>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</si>
  <si>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</si>
  <si>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</si>
  <si>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</si>
  <si>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</si>
  <si>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</si>
  <si>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</si>
  <si>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</si>
  <si>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</si>
  <si>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</si>
  <si>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</si>
  <si>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</si>
  <si>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</si>
  <si>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</si>
  <si>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</si>
  <si>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</si>
  <si>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</si>
  <si>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</si>
  <si>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</si>
  <si>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</si>
  <si>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</si>
  <si>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</si>
  <si>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</si>
  <si>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</si>
  <si>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</si>
  <si>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</si>
  <si>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</si>
  <si>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</si>
  <si>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</si>
  <si>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</si>
  <si>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</si>
  <si>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</si>
  <si>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</si>
  <si>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</si>
  <si>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</si>
  <si>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</si>
  <si>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</si>
  <si>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</si>
  <si>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</si>
  <si>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</si>
  <si>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</si>
  <si>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</si>
  <si>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</si>
  <si>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</si>
  <si>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</si>
  <si>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</si>
  <si>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</si>
  <si>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</si>
  <si>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</si>
  <si>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</si>
  <si>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</si>
  <si>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</si>
  <si>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</si>
  <si>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</si>
  <si>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</si>
  <si>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</si>
  <si>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</si>
  <si>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</si>
  <si>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</si>
  <si>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</si>
  <si>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</si>
  <si>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</si>
  <si>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</si>
  <si>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</si>
  <si>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</si>
  <si>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</si>
  <si>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</si>
  <si>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</si>
  <si>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</si>
  <si>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</si>
  <si>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</si>
  <si>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</si>
  <si>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</si>
  <si>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</si>
  <si>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</si>
  <si>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</si>
  <si>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</si>
  <si>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</si>
  <si>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</si>
  <si>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</si>
  <si>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</si>
  <si>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</si>
  <si>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</si>
  <si>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</si>
  <si>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</si>
  <si>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</si>
  <si>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</si>
  <si>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</si>
  <si>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</si>
  <si>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</si>
  <si>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</si>
  <si>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</si>
  <si>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</si>
  <si>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</si>
  <si>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</si>
  <si>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</si>
  <si>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</si>
  <si>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</si>
  <si>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</si>
  <si>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</si>
  <si>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</si>
  <si>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</si>
  <si>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</si>
  <si>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</si>
  <si>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</si>
  <si>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</si>
  <si>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</si>
  <si>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</si>
  <si>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</si>
  <si>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</si>
  <si>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</si>
  <si>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</si>
  <si>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</si>
  <si>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</si>
  <si>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</si>
  <si>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</si>
  <si>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</si>
  <si>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</si>
  <si>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</si>
  <si>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</si>
  <si>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</si>
  <si>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</si>
  <si>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</si>
  <si>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</si>
  <si>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</si>
  <si>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</si>
  <si>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</si>
  <si>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</si>
  <si>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</si>
  <si>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</si>
  <si>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</si>
  <si>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</si>
  <si>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</si>
  <si>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</si>
  <si>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</si>
  <si>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</si>
  <si>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</si>
  <si>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</si>
  <si>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</si>
  <si>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</si>
  <si>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</si>
  <si>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</si>
  <si>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</si>
  <si>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</si>
  <si>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</si>
  <si>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</si>
  <si>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</si>
  <si>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</si>
  <si>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</si>
  <si>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</si>
  <si>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</si>
  <si>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</si>
  <si>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</si>
  <si>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</si>
  <si>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</si>
  <si>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</si>
  <si>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</si>
  <si>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</si>
  <si>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</si>
  <si>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</si>
  <si>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</si>
  <si>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</si>
  <si>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</si>
  <si>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</si>
  <si>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</si>
  <si>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</si>
  <si>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</si>
  <si>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</si>
  <si>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</si>
  <si>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</si>
  <si>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</si>
  <si>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</si>
  <si>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</si>
  <si>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</si>
  <si>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</si>
  <si>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</si>
  <si>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</si>
  <si>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</si>
  <si>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</si>
  <si>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</si>
  <si>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</si>
  <si>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</si>
  <si>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</si>
  <si>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</si>
  <si>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</si>
  <si>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</si>
  <si>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</si>
  <si>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</si>
  <si>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</si>
  <si>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</si>
  <si>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</si>
  <si>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</si>
  <si>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</si>
  <si>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</si>
  <si>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</si>
  <si>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</si>
  <si>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</si>
  <si>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</si>
  <si>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</si>
  <si>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</si>
  <si>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</si>
  <si>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</si>
  <si>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</si>
  <si>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</si>
  <si>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</si>
  <si>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</si>
  <si>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</si>
  <si>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</si>
  <si>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</si>
  <si>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</si>
  <si>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</si>
  <si>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</si>
  <si>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</si>
  <si>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</si>
  <si>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</si>
  <si>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</si>
  <si>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</si>
  <si>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</si>
  <si>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</si>
  <si>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</si>
  <si>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</si>
  <si>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</si>
  <si>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</si>
  <si>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</si>
  <si>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</si>
  <si>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</si>
  <si>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</si>
  <si>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</si>
  <si>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</si>
  <si>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</si>
  <si>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</si>
  <si>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</si>
  <si>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</si>
  <si>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</si>
  <si>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</si>
  <si>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</si>
  <si>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</si>
  <si>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</si>
  <si>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</si>
  <si>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</si>
  <si>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</si>
  <si>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</si>
  <si>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</si>
  <si>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</si>
  <si>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</si>
  <si>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</si>
  <si>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</si>
  <si>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</si>
  <si>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</si>
  <si>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</si>
  <si>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</si>
  <si>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</si>
  <si>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</si>
  <si>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</si>
  <si>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</si>
  <si>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</si>
  <si>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</si>
  <si>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</si>
  <si>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</si>
  <si>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</si>
  <si>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</si>
  <si>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</si>
  <si>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</si>
  <si>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</si>
  <si>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</si>
  <si>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</si>
  <si>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</si>
  <si>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</si>
  <si>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</si>
  <si>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</si>
  <si>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</si>
  <si>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</si>
  <si>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</si>
  <si>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</si>
  <si>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</si>
  <si>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</si>
  <si>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</si>
  <si>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</si>
  <si>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</si>
  <si>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</si>
  <si>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</si>
  <si>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</si>
  <si>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</si>
  <si>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</si>
  <si>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</si>
  <si>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</si>
  <si>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</si>
  <si>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</si>
  <si>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</si>
  <si>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</si>
  <si>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</si>
  <si>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</si>
  <si>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</si>
  <si>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</si>
  <si>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</si>
  <si>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</si>
  <si>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</si>
  <si>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</si>
  <si>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</si>
  <si>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</si>
  <si>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</si>
  <si>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</si>
  <si>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</si>
  <si>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</si>
  <si>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</si>
  <si>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</si>
  <si>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</si>
  <si>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</si>
  <si>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</si>
  <si>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</si>
  <si>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</si>
  <si>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</si>
  <si>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</si>
  <si>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</si>
  <si>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</si>
  <si>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</si>
  <si>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</si>
  <si>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</si>
  <si>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</si>
  <si>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</si>
  <si>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</si>
  <si>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</si>
  <si>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</si>
  <si>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</si>
  <si>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</si>
  <si>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</si>
  <si>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</si>
  <si>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</si>
  <si>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</si>
  <si>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</si>
  <si>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</si>
  <si>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</si>
  <si>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</si>
  <si>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</si>
  <si>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</si>
  <si>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</si>
  <si>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</si>
  <si>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</si>
  <si>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</si>
  <si>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</si>
  <si>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</si>
  <si>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</si>
  <si>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</si>
  <si>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</si>
  <si>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</si>
  <si>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</si>
  <si>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</si>
  <si>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</si>
  <si>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</si>
  <si>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</si>
  <si>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</si>
  <si>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</si>
  <si>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</si>
  <si>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</si>
  <si>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</si>
  <si>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</si>
  <si>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</si>
  <si>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</si>
  <si>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</si>
  <si>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</si>
  <si>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</si>
  <si>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</si>
  <si>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</si>
  <si>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</si>
  <si>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</si>
  <si>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</si>
  <si>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</si>
  <si>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</si>
  <si>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</si>
  <si>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</si>
  <si>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</si>
  <si>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</si>
  <si>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</si>
  <si>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</si>
  <si>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</si>
  <si>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</si>
  <si>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</si>
  <si>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</si>
  <si>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</si>
  <si>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</si>
  <si>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</si>
  <si>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</si>
  <si>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</si>
  <si>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</si>
  <si>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</si>
  <si>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</si>
  <si>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</si>
  <si>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</si>
  <si>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</si>
  <si>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</si>
  <si>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</si>
  <si>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</si>
  <si>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</si>
  <si>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</si>
  <si>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</si>
  <si>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</si>
  <si>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</si>
  <si>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</si>
  <si>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</si>
  <si>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</si>
  <si>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</si>
  <si>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</si>
  <si>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</si>
  <si>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</si>
  <si>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</si>
  <si>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</si>
  <si>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</si>
  <si>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</si>
  <si>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</si>
  <si>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</si>
  <si>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</si>
  <si>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</si>
  <si>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</si>
  <si>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</si>
  <si>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</si>
  <si>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</si>
  <si>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</si>
  <si>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</si>
  <si>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</si>
  <si>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</si>
  <si>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</si>
  <si>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</si>
  <si>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</si>
  <si>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</si>
  <si>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</si>
  <si>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</si>
  <si>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</si>
  <si>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</si>
  <si>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</si>
  <si>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</si>
  <si>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</si>
  <si>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</si>
  <si>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</si>
  <si>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</si>
  <si>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</si>
  <si>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</si>
  <si>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</si>
  <si>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</si>
  <si>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</si>
  <si>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</si>
  <si>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</si>
  <si>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</si>
  <si>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</si>
  <si>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</si>
  <si>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</si>
  <si>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</si>
  <si>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</si>
  <si>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</si>
  <si>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</si>
  <si>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</si>
  <si>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</si>
  <si>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</si>
  <si>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</si>
  <si>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</si>
  <si>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</si>
  <si>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</si>
  <si>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</si>
  <si>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</si>
  <si>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</si>
  <si>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</si>
  <si>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</si>
  <si>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</si>
  <si>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</si>
  <si>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</si>
  <si>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</si>
  <si>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</si>
  <si>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</si>
  <si>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</si>
  <si>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</si>
  <si>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</si>
  <si>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</si>
  <si>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</si>
  <si>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</si>
  <si>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</si>
  <si>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</si>
  <si>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</si>
  <si>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</si>
  <si>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</si>
  <si>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</si>
  <si>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</si>
  <si>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</si>
  <si>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</si>
  <si>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</si>
  <si>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</si>
  <si>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</si>
  <si>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</si>
  <si>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</si>
  <si>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</si>
  <si>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</si>
  <si>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</si>
  <si>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</si>
  <si>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</si>
  <si>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</si>
  <si>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</si>
  <si>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</si>
  <si>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</si>
  <si>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</si>
  <si>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</si>
  <si>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</si>
  <si>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</si>
  <si>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</si>
  <si>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</si>
  <si>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</si>
  <si>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</si>
  <si>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</si>
  <si>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</si>
  <si>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</si>
  <si>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</si>
  <si>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</si>
  <si>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</si>
  <si>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</si>
  <si>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</si>
  <si>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</si>
  <si>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</si>
  <si>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</si>
  <si>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</si>
  <si>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</si>
  <si>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</si>
  <si>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</si>
  <si>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</si>
  <si>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</si>
  <si>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</si>
  <si>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</si>
  <si>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</si>
  <si>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</si>
  <si>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</si>
  <si>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</si>
  <si>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</si>
  <si>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</si>
  <si>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</si>
  <si>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</si>
  <si>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</si>
  <si>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</si>
  <si>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</si>
  <si>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</si>
  <si>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</si>
  <si>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</si>
  <si>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</si>
  <si>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</si>
  <si>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</si>
  <si>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</si>
  <si>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</si>
  <si>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</si>
  <si>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</si>
  <si>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</si>
  <si>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</si>
  <si>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</si>
  <si>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</si>
  <si>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</si>
  <si>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</si>
  <si>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</si>
  <si>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</si>
  <si>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</si>
  <si>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</si>
  <si>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</si>
  <si>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</si>
  <si>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</si>
  <si>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</si>
  <si>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</si>
  <si>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</si>
  <si>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</si>
  <si>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</si>
  <si>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</si>
  <si>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</si>
  <si>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</si>
  <si>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</si>
  <si>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</si>
  <si>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</si>
  <si>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</si>
  <si>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</si>
  <si>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</si>
  <si>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</si>
  <si>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</si>
  <si>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</si>
  <si>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</si>
  <si>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</si>
  <si>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</si>
  <si>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</si>
  <si>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</si>
  <si>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</si>
  <si>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</si>
  <si>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</si>
  <si>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</si>
  <si>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</si>
  <si>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</si>
  <si>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</si>
  <si>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</si>
  <si>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</si>
  <si>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</si>
  <si>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</si>
  <si>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</si>
  <si>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</si>
  <si>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</si>
  <si>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</si>
  <si>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</si>
  <si>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</si>
  <si>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</si>
  <si>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</si>
  <si>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</si>
  <si>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</si>
  <si>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</si>
  <si>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</si>
  <si>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</si>
  <si>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</si>
  <si>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</si>
  <si>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</si>
  <si>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</si>
  <si>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</si>
  <si>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</si>
  <si>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</si>
  <si>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</si>
  <si>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</si>
  <si>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</si>
  <si>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</si>
  <si>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</si>
  <si>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</si>
  <si>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</si>
  <si>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</si>
  <si>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</si>
  <si>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</si>
  <si>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</si>
  <si>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</si>
  <si>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</si>
  <si>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</si>
  <si>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</si>
  <si>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</si>
  <si>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</si>
  <si>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</si>
  <si>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</si>
  <si>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</si>
  <si>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</si>
  <si>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</si>
  <si>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</si>
  <si>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</si>
  <si>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</si>
  <si>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</si>
  <si>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</si>
  <si>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</si>
  <si>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</si>
  <si>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</si>
  <si>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</si>
  <si>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</si>
  <si>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</si>
  <si>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</si>
  <si>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</si>
  <si>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</si>
  <si>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</si>
  <si>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</si>
  <si>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</si>
  <si>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</si>
  <si>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</si>
  <si>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</si>
  <si>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</si>
  <si>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</si>
  <si>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</si>
  <si>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</si>
  <si>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</si>
  <si>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</si>
  <si>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</si>
  <si>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</si>
  <si>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</si>
  <si>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</si>
  <si>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</si>
  <si>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</si>
  <si>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</si>
  <si>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</si>
  <si>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</si>
  <si>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</si>
  <si>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</si>
  <si>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</si>
  <si>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</si>
  <si>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</si>
  <si>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</si>
  <si>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</si>
  <si>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</si>
  <si>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</si>
  <si>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</si>
  <si>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</si>
  <si>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</si>
  <si>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</si>
  <si>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</si>
  <si>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</si>
  <si>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</si>
  <si>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</si>
  <si>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</si>
  <si>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</si>
  <si>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</si>
  <si>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</si>
  <si>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</si>
  <si>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</si>
  <si>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</si>
  <si>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</si>
  <si>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</si>
  <si>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</si>
  <si>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</si>
  <si>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</si>
  <si>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</si>
  <si>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</si>
  <si>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</si>
  <si>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</si>
  <si>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</si>
  <si>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</si>
  <si>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</si>
  <si>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</si>
  <si>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</si>
  <si>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</si>
  <si>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</si>
  <si>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</si>
  <si>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</si>
  <si>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</si>
  <si>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</si>
  <si>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</si>
  <si>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</si>
  <si>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</si>
  <si>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</si>
  <si>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</si>
  <si>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</si>
  <si>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</si>
  <si>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</si>
  <si>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</si>
  <si>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</si>
  <si>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</si>
  <si>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</si>
  <si>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</si>
  <si>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</si>
  <si>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</si>
  <si>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</si>
  <si>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</si>
  <si>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</si>
  <si>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</si>
  <si>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</si>
  <si>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</si>
  <si>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</si>
  <si>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</si>
  <si>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</si>
  <si>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</si>
  <si>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</si>
  <si>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</si>
  <si>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</si>
  <si>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</si>
  <si>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</si>
  <si>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</si>
  <si>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</si>
  <si>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</si>
  <si>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</si>
  <si>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</si>
  <si>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</si>
  <si>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</si>
  <si>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</si>
  <si>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</si>
  <si>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</si>
  <si>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</si>
  <si>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</si>
  <si>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</si>
  <si>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</si>
  <si>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</si>
  <si>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</si>
  <si>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</si>
  <si>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</si>
  <si>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</si>
  <si>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</si>
  <si>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</si>
  <si>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</si>
  <si>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</si>
  <si>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</si>
  <si>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</si>
  <si>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</si>
  <si>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</si>
  <si>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</si>
  <si>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</si>
  <si>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</si>
  <si>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</si>
  <si>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</si>
  <si>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</si>
  <si>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</si>
  <si>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</si>
  <si>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</si>
  <si>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</si>
  <si>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</si>
  <si>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</si>
  <si>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</si>
  <si>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</si>
  <si>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</si>
  <si>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</si>
  <si>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</si>
  <si>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</si>
  <si>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</si>
  <si>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</si>
  <si>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</si>
  <si>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</si>
  <si>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</si>
  <si>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</si>
  <si>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</si>
  <si>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</si>
  <si>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</si>
  <si>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</si>
  <si>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</si>
  <si>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</si>
  <si>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</si>
  <si>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</si>
  <si>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</si>
  <si>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</si>
  <si>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</si>
  <si>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</si>
  <si>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</si>
  <si>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</si>
  <si>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</si>
  <si>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</si>
  <si>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</si>
  <si>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</si>
  <si>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</si>
  <si>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</si>
  <si>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</si>
  <si>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</si>
  <si>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</si>
  <si>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</si>
  <si>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</si>
  <si>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</si>
  <si>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</si>
  <si>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</si>
  <si>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</si>
  <si>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</si>
  <si>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</si>
  <si>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</si>
  <si>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</si>
  <si>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</si>
  <si>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</si>
  <si>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</si>
  <si>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</si>
  <si>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</si>
  <si>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</si>
  <si>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</si>
  <si>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</si>
  <si>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</si>
  <si>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</si>
  <si>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</si>
  <si>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</si>
  <si>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</si>
  <si>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</si>
  <si>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</si>
  <si>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</si>
  <si>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</si>
  <si>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</si>
  <si>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</si>
  <si>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</si>
  <si>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</si>
  <si>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</si>
  <si>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</si>
  <si>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</si>
  <si>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</si>
  <si>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</si>
  <si>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</si>
  <si>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</si>
  <si>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</si>
  <si>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</si>
  <si>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</si>
  <si>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</si>
  <si>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</si>
  <si>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</si>
  <si>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</si>
  <si>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</si>
  <si>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</si>
  <si>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</si>
  <si>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</si>
  <si>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</si>
  <si>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</si>
  <si>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</si>
  <si>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</si>
  <si>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</si>
  <si>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</si>
  <si>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</si>
  <si>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</si>
  <si>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</si>
  <si>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</si>
  <si>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</si>
  <si>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</si>
  <si>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</si>
  <si>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</si>
  <si>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</si>
  <si>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</si>
  <si>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</si>
  <si>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</si>
  <si>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</si>
  <si>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</si>
  <si>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</si>
  <si>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</si>
  <si>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</si>
  <si>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</si>
  <si>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</si>
  <si>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</si>
  <si>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</si>
  <si>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</si>
  <si>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</si>
  <si>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</si>
  <si>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</si>
  <si>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</si>
  <si>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</si>
  <si>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</si>
  <si>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</si>
  <si>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</si>
  <si>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</si>
  <si>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</si>
  <si>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</si>
  <si>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</si>
  <si>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</si>
  <si>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</si>
  <si>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</si>
  <si>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</si>
  <si>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</si>
  <si>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</si>
  <si>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</si>
  <si>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</si>
  <si>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</si>
  <si>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</si>
  <si>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</si>
  <si>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</si>
  <si>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</si>
  <si>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</si>
  <si>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</si>
  <si>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</si>
  <si>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</si>
  <si>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</si>
  <si>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</si>
  <si>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</si>
  <si>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</si>
  <si>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</si>
  <si>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</si>
  <si>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</si>
  <si>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</si>
  <si>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</si>
  <si>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</si>
  <si>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</si>
  <si>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</si>
  <si>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</si>
  <si>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</si>
  <si>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</si>
  <si>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</si>
  <si>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</si>
  <si>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</si>
  <si>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</si>
  <si>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</si>
  <si>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</si>
  <si>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</si>
  <si>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</si>
  <si>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</si>
  <si>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</si>
  <si>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</si>
  <si>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</si>
  <si>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</si>
  <si>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</si>
  <si>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</si>
  <si>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</si>
  <si>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</si>
  <si>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</si>
  <si>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</si>
  <si>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</si>
  <si>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</si>
  <si>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</si>
  <si>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</si>
  <si>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</si>
  <si>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</si>
  <si>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</si>
  <si>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</si>
  <si>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</si>
  <si>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</si>
  <si>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</si>
  <si>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</si>
  <si>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</si>
  <si>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</si>
  <si>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</si>
  <si>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</si>
  <si>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</si>
  <si>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</si>
  <si>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</si>
  <si>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</si>
  <si>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</si>
  <si>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</si>
  <si>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</si>
  <si>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</si>
  <si>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</si>
  <si>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</si>
  <si>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</si>
  <si>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</si>
  <si>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</si>
  <si>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</si>
  <si>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</si>
  <si>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</si>
  <si>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</si>
  <si>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</si>
  <si>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</si>
  <si>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</si>
  <si>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</si>
  <si>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</si>
  <si>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</si>
  <si>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</si>
  <si>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</si>
  <si>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</si>
  <si>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</si>
  <si>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</si>
  <si>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</si>
  <si>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</si>
  <si>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</si>
  <si>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</si>
  <si>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</si>
  <si>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</si>
  <si>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</si>
  <si>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</si>
  <si>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</si>
  <si>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</si>
  <si>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</si>
  <si>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</si>
  <si>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</si>
  <si>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</si>
  <si>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</si>
  <si>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</si>
  <si>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</si>
  <si>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</si>
  <si>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</si>
  <si>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</si>
  <si>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</si>
  <si>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</si>
  <si>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</si>
  <si>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</si>
  <si>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</si>
  <si>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</si>
  <si>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</si>
  <si>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</si>
  <si>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</si>
  <si>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</si>
  <si>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</si>
  <si>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</si>
  <si>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</si>
  <si>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</si>
  <si>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</si>
  <si>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</si>
  <si>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</si>
  <si>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</si>
  <si>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</si>
  <si>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</si>
  <si>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</si>
  <si>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</si>
  <si>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</si>
  <si>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</si>
  <si>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</si>
  <si>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</si>
  <si>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</si>
  <si>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</si>
  <si>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</si>
  <si>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</si>
  <si>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</si>
  <si>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</si>
  <si>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</si>
  <si>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</si>
  <si>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</si>
  <si>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</si>
  <si>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</si>
  <si>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</si>
  <si>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</si>
  <si>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</si>
  <si>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</si>
  <si>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</si>
  <si>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</si>
  <si>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</si>
  <si>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</si>
  <si>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</si>
  <si>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</si>
  <si>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</si>
  <si>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</si>
  <si>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</si>
  <si>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</si>
  <si>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</si>
  <si>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</si>
  <si>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</si>
  <si>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</si>
  <si>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</si>
  <si>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</si>
  <si>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</si>
  <si>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</si>
  <si>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</si>
  <si>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</si>
  <si>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</si>
  <si>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</si>
  <si>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</si>
  <si>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</si>
  <si>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</si>
  <si>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</si>
  <si>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</si>
  <si>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</si>
  <si>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</si>
  <si>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</si>
  <si>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</si>
  <si>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</si>
  <si>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</si>
  <si>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</si>
  <si>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</si>
  <si>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</si>
  <si>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</si>
  <si>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</si>
  <si>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</si>
  <si>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</si>
  <si>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</si>
  <si>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</si>
  <si>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</si>
  <si>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</si>
  <si>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</si>
  <si>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</si>
  <si>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</si>
  <si>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</si>
  <si>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</si>
  <si>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</si>
  <si>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</si>
  <si>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</si>
  <si>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</si>
  <si>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</si>
  <si>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</si>
  <si>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</si>
  <si>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</si>
  <si>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</si>
  <si>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</si>
  <si>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</si>
  <si>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</si>
  <si>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</si>
  <si>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</si>
  <si>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</si>
  <si>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</si>
  <si>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</si>
  <si>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</si>
  <si>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</si>
  <si>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</si>
  <si>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</si>
  <si>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</si>
  <si>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</si>
  <si>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</si>
  <si>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</si>
  <si>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</si>
  <si>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</si>
  <si>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</si>
  <si>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</si>
  <si>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</si>
  <si>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</si>
  <si>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</si>
  <si>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</si>
  <si>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</si>
  <si>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</si>
  <si>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</si>
  <si>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</si>
  <si>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</si>
  <si>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</si>
  <si>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</si>
  <si>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</si>
  <si>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</si>
  <si>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</si>
  <si>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</si>
  <si>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</si>
  <si>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</si>
  <si>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</si>
  <si>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</si>
  <si>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</si>
  <si>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</si>
  <si>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</si>
  <si>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</si>
  <si>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</si>
  <si>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</si>
  <si>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</si>
  <si>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</si>
  <si>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</si>
  <si>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</si>
  <si>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</si>
  <si>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</si>
  <si>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</si>
  <si>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</si>
  <si>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</si>
  <si>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</si>
  <si>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</si>
  <si>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</si>
  <si>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</si>
  <si>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</si>
  <si>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</si>
  <si>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</si>
  <si>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</si>
  <si>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</si>
  <si>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</si>
  <si>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</si>
  <si>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</si>
  <si>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</si>
  <si>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</si>
  <si>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</si>
  <si>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</si>
  <si>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</si>
  <si>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</si>
  <si>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</si>
  <si>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</si>
  <si>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</si>
  <si>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</si>
  <si>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</si>
  <si>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</si>
  <si>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</si>
  <si>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</si>
  <si>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</si>
  <si>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</si>
  <si>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</si>
  <si>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</si>
  <si>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</si>
  <si>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</si>
  <si>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</si>
  <si>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</si>
  <si>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</si>
  <si>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</si>
  <si>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</si>
  <si>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</si>
  <si>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</si>
  <si>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</si>
  <si>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</si>
  <si>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</si>
  <si>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</si>
  <si>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</si>
  <si>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</si>
  <si>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</si>
  <si>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</si>
  <si>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</si>
  <si>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</si>
  <si>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</si>
  <si>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</si>
  <si>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</si>
  <si>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</si>
  <si>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</si>
  <si>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</si>
  <si>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</si>
  <si>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</si>
  <si>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</si>
  <si>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</si>
  <si>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</si>
  <si>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</si>
  <si>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</si>
  <si>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</si>
  <si>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</si>
  <si>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</si>
  <si>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</si>
  <si>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</si>
  <si>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</si>
  <si>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</si>
  <si>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</si>
  <si>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</si>
  <si>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</si>
  <si>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</si>
  <si>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</si>
  <si>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</si>
  <si>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</si>
  <si>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</si>
  <si>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</si>
  <si>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</si>
  <si>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</si>
  <si>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</si>
  <si>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</si>
  <si>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</si>
  <si>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</si>
  <si>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</si>
  <si>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</si>
  <si>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</si>
  <si>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</si>
  <si>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</si>
  <si>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</si>
  <si>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</si>
  <si>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</si>
  <si>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</si>
  <si>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</si>
  <si>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</si>
  <si>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</si>
  <si>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</si>
  <si>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</si>
  <si>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</si>
  <si>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</si>
  <si>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</si>
  <si>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</si>
  <si>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</si>
  <si>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</si>
  <si>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</si>
  <si>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</si>
  <si>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</si>
  <si>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</si>
  <si>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</si>
  <si>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</si>
  <si>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</si>
  <si>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</si>
  <si>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</si>
  <si>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</si>
  <si>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</si>
  <si>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</si>
  <si>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</si>
  <si>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</si>
  <si>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</si>
  <si>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</si>
  <si>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</si>
  <si>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</si>
  <si>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</si>
  <si>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</si>
  <si>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</si>
  <si>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</si>
  <si>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</si>
  <si>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</si>
  <si>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</si>
  <si>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</si>
  <si>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</si>
  <si>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</si>
  <si>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</si>
  <si>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</si>
  <si>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</si>
  <si>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</si>
  <si>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</si>
  <si>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</si>
  <si>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</si>
  <si>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</si>
  <si>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</si>
  <si>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</si>
  <si>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</si>
  <si>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</si>
  <si>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</si>
  <si>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</si>
  <si>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</si>
  <si>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</si>
  <si>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</si>
  <si>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</si>
  <si>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</si>
  <si>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</si>
  <si>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</si>
  <si>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</si>
  <si>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</si>
  <si>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</si>
  <si>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</si>
  <si>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</si>
  <si>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</si>
  <si>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</si>
  <si>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</si>
  <si>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</si>
  <si>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</si>
  <si>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</si>
  <si>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</si>
  <si>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</si>
  <si>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</si>
  <si>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</si>
  <si>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</si>
  <si>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</si>
  <si>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</si>
  <si>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</si>
  <si>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</si>
  <si>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</si>
  <si>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</si>
  <si>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</si>
  <si>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</si>
  <si>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</si>
  <si>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</si>
  <si>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</si>
  <si>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</si>
  <si>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</si>
  <si>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</si>
  <si>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</si>
  <si>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</si>
  <si>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</si>
  <si>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</si>
  <si>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</si>
  <si>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</si>
  <si>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</si>
  <si>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</si>
  <si>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</si>
  <si>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</si>
  <si>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</si>
  <si>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</si>
  <si>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</si>
  <si>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</si>
  <si>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</si>
  <si>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</si>
  <si>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</si>
  <si>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</si>
  <si>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</si>
  <si>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</si>
  <si>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</si>
  <si>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</si>
  <si>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</si>
  <si>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</si>
  <si>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</si>
  <si>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</si>
  <si>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</si>
  <si>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</si>
  <si>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</si>
  <si>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</si>
  <si>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</si>
  <si>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</si>
  <si>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</si>
  <si>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</si>
  <si>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</si>
  <si>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</si>
  <si>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</si>
  <si>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</si>
  <si>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</si>
  <si>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</si>
  <si>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</si>
  <si>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</si>
  <si>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</si>
  <si>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</si>
  <si>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</si>
  <si>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</si>
  <si>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</si>
  <si>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</si>
  <si>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</si>
  <si>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</si>
  <si>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</si>
  <si>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</si>
  <si>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</si>
  <si>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</si>
  <si>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</si>
  <si>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</si>
  <si>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</si>
  <si>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</si>
  <si>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</si>
  <si>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</si>
  <si>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</si>
  <si>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</si>
  <si>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</si>
  <si>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</si>
  <si>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</si>
  <si>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</si>
  <si>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</si>
  <si>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</si>
  <si>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</si>
  <si>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</si>
  <si>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</si>
  <si>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</si>
  <si>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</si>
  <si>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</si>
  <si>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</si>
  <si>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</si>
  <si>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</si>
  <si>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</si>
  <si>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</si>
  <si>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</si>
  <si>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</si>
  <si>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</si>
  <si>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</si>
  <si>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</si>
  <si>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</si>
  <si>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</si>
  <si>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</si>
  <si>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</si>
  <si>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</si>
  <si>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</si>
  <si>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</si>
  <si>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</si>
  <si>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</si>
  <si>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</si>
  <si>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</si>
  <si>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</si>
  <si>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</si>
  <si>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</si>
  <si>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</si>
  <si>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</si>
  <si>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</si>
  <si>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</si>
  <si>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</si>
  <si>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</si>
  <si>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</si>
  <si>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</si>
  <si>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</si>
  <si>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</si>
  <si>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</si>
  <si>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</si>
  <si>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</si>
  <si>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</si>
  <si>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</si>
  <si>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</si>
  <si>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</si>
  <si>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</si>
  <si>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</si>
  <si>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</si>
  <si>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</si>
  <si>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</si>
  <si>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</si>
  <si>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</si>
  <si>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</si>
  <si>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</si>
  <si>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</si>
  <si>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</si>
  <si>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</si>
  <si>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</si>
  <si>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</si>
  <si>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</si>
  <si>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</si>
  <si>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</si>
  <si>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</si>
  <si>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</si>
  <si>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</si>
  <si>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</si>
  <si>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</si>
  <si>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</si>
  <si>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</si>
  <si>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</si>
  <si>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</si>
  <si>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</si>
  <si>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</si>
  <si>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</si>
  <si>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</si>
  <si>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</si>
  <si>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</si>
  <si>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</si>
  <si>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</si>
  <si>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</si>
  <si>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</si>
  <si>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</si>
  <si>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</si>
  <si>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</si>
  <si>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</si>
  <si>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</si>
  <si>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</si>
  <si>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</si>
  <si>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</si>
  <si>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</si>
  <si>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</si>
  <si>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</si>
  <si>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</si>
  <si>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</si>
  <si>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</si>
  <si>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</si>
  <si>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</si>
  <si>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</si>
  <si>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</si>
  <si>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</si>
  <si>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</si>
  <si>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</si>
  <si>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</si>
  <si>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</si>
  <si>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</si>
  <si>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</si>
  <si>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</si>
  <si>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</si>
  <si>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</si>
  <si>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</si>
  <si>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</si>
  <si>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</si>
  <si>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</si>
  <si>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</si>
  <si>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</si>
  <si>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</si>
  <si>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</si>
  <si>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</si>
  <si>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</si>
  <si>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</si>
  <si>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</si>
  <si>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</si>
  <si>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</si>
  <si>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</si>
  <si>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</si>
  <si>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</si>
  <si>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</si>
  <si>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</si>
  <si>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</si>
  <si>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</si>
  <si>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</si>
  <si>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</si>
  <si>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</si>
  <si>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</si>
  <si>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</si>
  <si>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</si>
  <si>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</si>
  <si>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</si>
  <si>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</si>
  <si>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</si>
  <si>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</si>
  <si>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</si>
  <si>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</si>
  <si>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</si>
  <si>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</si>
  <si>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</si>
  <si>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</si>
  <si>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</si>
  <si>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</si>
  <si>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</si>
  <si>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</si>
  <si>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</si>
  <si>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</si>
  <si>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</si>
  <si>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</si>
  <si>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</si>
  <si>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</si>
  <si>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</si>
  <si>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</si>
  <si>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</si>
  <si>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</si>
  <si>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</si>
  <si>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</si>
  <si>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</si>
  <si>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</si>
  <si>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</si>
  <si>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</si>
  <si>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</si>
  <si>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</si>
  <si>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</si>
  <si>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</si>
  <si>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</si>
  <si>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</si>
  <si>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</si>
  <si>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</si>
  <si>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</si>
  <si>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</si>
  <si>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</si>
  <si>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</si>
  <si>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</si>
  <si>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</si>
  <si>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</si>
  <si>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</si>
  <si>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</si>
  <si>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</si>
  <si>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</si>
  <si>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</si>
  <si>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</si>
  <si>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</si>
  <si>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</si>
  <si>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</si>
  <si>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</si>
  <si>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</si>
  <si>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</si>
  <si>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</si>
  <si>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</si>
  <si>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</si>
  <si>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</si>
  <si>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</si>
  <si>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</si>
  <si>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</si>
  <si>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</si>
  <si>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</si>
  <si>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</si>
  <si>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</si>
  <si>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</si>
  <si>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</si>
  <si>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</si>
  <si>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</si>
  <si>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</si>
  <si>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</si>
  <si>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</si>
  <si>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</si>
  <si>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</si>
  <si>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</si>
  <si>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</si>
  <si>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</si>
  <si>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</si>
  <si>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</si>
  <si>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</si>
  <si>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</si>
  <si>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</si>
  <si>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</si>
  <si>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</si>
  <si>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</si>
  <si>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</si>
  <si>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</si>
  <si>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</si>
  <si>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</si>
  <si>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</si>
  <si>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</si>
  <si>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</si>
  <si>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</si>
  <si>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</si>
  <si>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</si>
  <si>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</si>
  <si>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</si>
  <si>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</si>
  <si>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</si>
  <si>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</si>
  <si>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</si>
  <si>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</si>
  <si>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</si>
  <si>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</si>
  <si>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</si>
  <si>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</si>
  <si>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</si>
  <si>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</si>
  <si>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</si>
  <si>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</si>
  <si>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</si>
  <si>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</si>
  <si>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</si>
  <si>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</si>
  <si>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</si>
  <si>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</si>
  <si>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</si>
  <si>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</si>
  <si>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</si>
  <si>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</si>
  <si>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</si>
  <si>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</si>
  <si>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</si>
  <si>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</si>
  <si>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</si>
  <si>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</si>
  <si>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</si>
  <si>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</si>
  <si>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</si>
  <si>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</si>
  <si>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</si>
  <si>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</si>
  <si>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</si>
  <si>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</si>
  <si>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</si>
  <si>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</si>
  <si>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</si>
  <si>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</si>
  <si>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</si>
  <si>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</si>
  <si>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</si>
  <si>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</si>
  <si>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</si>
  <si>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</si>
  <si>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</si>
  <si>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</si>
  <si>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</si>
  <si>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</si>
  <si>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</si>
  <si>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</si>
  <si>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</si>
  <si>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</si>
  <si>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</si>
  <si>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</si>
  <si>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</si>
  <si>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</si>
  <si>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</si>
  <si>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</si>
  <si>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</si>
  <si>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</si>
  <si>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</si>
  <si>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</si>
  <si>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</si>
  <si>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</si>
  <si>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</si>
  <si>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</si>
  <si>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</si>
  <si>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</si>
  <si>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</si>
  <si>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</si>
  <si>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</si>
  <si>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</si>
  <si>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</si>
  <si>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</si>
  <si>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</si>
  <si>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</si>
  <si>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</si>
  <si>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</si>
  <si>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</si>
  <si>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</si>
  <si>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</si>
  <si>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</si>
  <si>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</si>
  <si>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</si>
  <si>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</si>
  <si>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</si>
  <si>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</si>
  <si>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</si>
  <si>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</si>
  <si>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</si>
  <si>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</si>
  <si>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</si>
  <si>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</si>
  <si>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</si>
  <si>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</si>
  <si>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</si>
  <si>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</si>
  <si>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</si>
  <si>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</si>
  <si>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</si>
  <si>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</si>
  <si>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</si>
  <si>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</si>
  <si>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</si>
  <si>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</si>
  <si>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</si>
  <si>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</si>
  <si>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</si>
  <si>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</si>
  <si>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</si>
  <si>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</si>
  <si>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</si>
  <si>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</si>
  <si>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</si>
  <si>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</si>
  <si>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</si>
  <si>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</si>
  <si>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</si>
  <si>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</si>
  <si>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</si>
  <si>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</si>
  <si>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</si>
  <si>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</si>
  <si>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</si>
  <si>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</si>
  <si>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</si>
  <si>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</si>
  <si>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</si>
  <si>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White County</t>
  </si>
  <si>
    <t>211 West Robinson Street</t>
  </si>
  <si>
    <t>Carmi</t>
  </si>
  <si>
    <t>blee@carmischools.org</t>
  </si>
  <si>
    <t>Brad K. Lee</t>
  </si>
  <si>
    <t>618-382-2341</t>
  </si>
  <si>
    <t>618-384-3207</t>
  </si>
  <si>
    <t>Kemper CPA Group LLP</t>
  </si>
  <si>
    <t>Krista McLaren</t>
  </si>
  <si>
    <t>703 W Main Street, PO Box 447</t>
  </si>
  <si>
    <t>Olney</t>
  </si>
  <si>
    <t>IL</t>
  </si>
  <si>
    <t>618-395-2105</t>
  </si>
  <si>
    <t>618-395-7079</t>
  </si>
  <si>
    <t>065-032563</t>
  </si>
  <si>
    <t>kmclaren@kempercpa.com</t>
  </si>
  <si>
    <t>Part C, Number 23:  The Auditor's Report contains a qualified opinion because the financial statements do not include disclosures regarding postemployment health insurance benefits required by the financial reporting provisions of the ISBE.</t>
  </si>
  <si>
    <t>10-2540-600</t>
  </si>
  <si>
    <t xml:space="preserve">Education - Contractual Services </t>
  </si>
  <si>
    <t>Bushue HR Inc.</t>
  </si>
  <si>
    <t>10-2300-300</t>
  </si>
  <si>
    <t>Education - Annual Audit</t>
  </si>
  <si>
    <t>10-2560-300</t>
  </si>
  <si>
    <t>Koorsen Fire &amp; Security</t>
  </si>
  <si>
    <t>Lanter Distributing</t>
  </si>
  <si>
    <t>Republic Services</t>
  </si>
  <si>
    <t>20-2540-300</t>
  </si>
  <si>
    <t>Campbell Fire &amp; Safety</t>
  </si>
  <si>
    <t>Operations &amp; Maintenance - Contractual Services</t>
  </si>
  <si>
    <t>Maxitrol Security Systems</t>
  </si>
  <si>
    <t>20-2540-600</t>
  </si>
  <si>
    <t>Slays Restoration</t>
  </si>
  <si>
    <t>Terminix</t>
  </si>
  <si>
    <t>Thyssenkrupp Elevator</t>
  </si>
  <si>
    <t>40-2550-300</t>
  </si>
  <si>
    <t>Midwest Bus Leasing</t>
  </si>
  <si>
    <t>Transportation - Contractual Services</t>
  </si>
  <si>
    <t>Mid-West Truckers</t>
  </si>
  <si>
    <t>Transportation - Other - Durg/Physical/CDL</t>
  </si>
  <si>
    <t>The District does not currently employ an individual with the necessary knowledge and expertise to draft the footnotes to the financial statements in accordance with the financial reporting provisions of the Illinois State Board of Education.</t>
  </si>
  <si>
    <t>In the absence of the necessary knowledge, training, and expertise, the District must rely on the auditors to ensure the notes to the financial statements are properly presented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</si>
  <si>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</si>
  <si>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District's personnel have not obtained the necessary knowledge, training, or expertise.</t>
  </si>
  <si>
    <t>The District should provide the necessary training to personnel or contract with an independent contractor with the knowledge to properly prepare the notes to the financial statements.</t>
  </si>
  <si>
    <t>The District does not intend to correct the finding in the next fiscal year.</t>
  </si>
  <si>
    <t>The District has inadequate controls over cash receipts due to a lack of segregation of duties.</t>
  </si>
  <si>
    <t>The District does not have the resources to hire additional staff to adequately segregate duties.</t>
  </si>
  <si>
    <t>Job duties should be segregated to prevent any one person from controlling conflicting aspects of any single transaction.</t>
  </si>
  <si>
    <t>Due to limited personnel, management believes it is unfeasible to correct this deficiency.</t>
  </si>
  <si>
    <t>In the absence of proper segregation of duties over cash receipts, improper transactions may occur.</t>
  </si>
  <si>
    <t>2018-001</t>
  </si>
  <si>
    <t>The School District does not have any individual</t>
  </si>
  <si>
    <t>staff with the necessary knowledge and expertise</t>
  </si>
  <si>
    <t>Repeated as 2019-001</t>
  </si>
  <si>
    <t>U.S. Department of Education</t>
  </si>
  <si>
    <t xml:space="preserve">   Pass Through from Illinois State Board of
   Education</t>
  </si>
  <si>
    <t xml:space="preserve">         Title II - Teacher Quality</t>
  </si>
  <si>
    <t xml:space="preserve">         Title V - Rural Education Initiative </t>
  </si>
  <si>
    <t xml:space="preserve">         IDEA Part B - Room &amp; Board</t>
  </si>
  <si>
    <t>84.010A</t>
  </si>
  <si>
    <t>84.358B</t>
  </si>
  <si>
    <t>84.027A</t>
  </si>
  <si>
    <t>2019-4300</t>
  </si>
  <si>
    <t>2018-4300</t>
  </si>
  <si>
    <t>2019-4305</t>
  </si>
  <si>
    <t>2018-4305</t>
  </si>
  <si>
    <t>2019-4932</t>
  </si>
  <si>
    <t>2018-4932</t>
  </si>
  <si>
    <t>2019-4107</t>
  </si>
  <si>
    <t>2018-4107</t>
  </si>
  <si>
    <t>2018-4625</t>
  </si>
  <si>
    <t>Total U.S. Department of Education</t>
  </si>
  <si>
    <t>U.S. Department of Health &amp; Human Services</t>
  </si>
  <si>
    <r>
      <t xml:space="preserve">   </t>
    </r>
    <r>
      <rPr>
        <b/>
        <sz val="8"/>
        <rFont val="Calibri"/>
        <family val="2"/>
        <scheme val="minor"/>
      </rPr>
      <t>Pass Through From Illinois Healthcare &amp; Family
   Services</t>
    </r>
  </si>
  <si>
    <t xml:space="preserve">         Medicaid Matching</t>
  </si>
  <si>
    <t>Total U.S. Department of Health &amp; Human
Services</t>
  </si>
  <si>
    <t>2019-4991</t>
  </si>
  <si>
    <t>N/A</t>
  </si>
  <si>
    <t>Title I - Neglected/Baptist Children's Home and Family Services</t>
  </si>
  <si>
    <t>U.S. Department of Agriculture</t>
  </si>
  <si>
    <r>
      <t xml:space="preserve">   </t>
    </r>
    <r>
      <rPr>
        <b/>
        <sz val="8"/>
        <rFont val="Calibri"/>
        <family val="2"/>
        <scheme val="minor"/>
      </rPr>
      <t>Child Nutrition Cluster</t>
    </r>
  </si>
  <si>
    <t>Total Child Nutrition Cluster</t>
  </si>
  <si>
    <t>Total U.S. Department of Agriculture</t>
  </si>
  <si>
    <t>GRAND TOTAL</t>
  </si>
  <si>
    <t>2019-4210</t>
  </si>
  <si>
    <t>2018-4210</t>
  </si>
  <si>
    <t>2019-4215</t>
  </si>
  <si>
    <t>2018-4215</t>
  </si>
  <si>
    <t>2019-4220</t>
  </si>
  <si>
    <t>2018-4220</t>
  </si>
  <si>
    <t>Title I</t>
  </si>
  <si>
    <t>G.O. School Refunding Bonds, Series 2011</t>
  </si>
  <si>
    <t>G.O. School Refunding Bonds, Series 2008</t>
  </si>
  <si>
    <t>Wabash &amp; Ohio Valley Special Ed District</t>
  </si>
  <si>
    <t>Hamilton County CUSD #10</t>
  </si>
  <si>
    <t>Ohio &amp; Wabash Valley Regional Vocational System</t>
  </si>
  <si>
    <t>Brad Lee</t>
  </si>
  <si>
    <t>2018-002</t>
  </si>
  <si>
    <t>There were four instances in our sampling of</t>
  </si>
  <si>
    <t>fifty-one applications that were not identified</t>
  </si>
  <si>
    <t>as error-prone when the application should</t>
  </si>
  <si>
    <t>have been marked as error-prone.</t>
  </si>
  <si>
    <t>Resolved</t>
  </si>
  <si>
    <t>2018-003</t>
  </si>
  <si>
    <t xml:space="preserve">There was one instance in our sampling of </t>
  </si>
  <si>
    <t xml:space="preserve">based on our testing of the application, the </t>
  </si>
  <si>
    <t>individual was eligible for a free meal.</t>
  </si>
  <si>
    <t xml:space="preserve">fifty-one applications that was identified as </t>
  </si>
  <si>
    <t>eligible to receive a meal at a reduced price, but</t>
  </si>
  <si>
    <t>2018-004</t>
  </si>
  <si>
    <t>The District has inadequate controls over cash</t>
  </si>
  <si>
    <t>receipts due to a lack of segregation of duties.</t>
  </si>
  <si>
    <t>Repeated as 2019-002</t>
  </si>
  <si>
    <t>Bus Lease #1 - (1) 14 Passenger Bus</t>
  </si>
  <si>
    <t>Bus Lease #2 - (1) 14 Passenger Bus</t>
  </si>
  <si>
    <t>Bus Lease #3 - (3) 71 Passenger Buses</t>
  </si>
  <si>
    <t>Bus Lease #4 - (2) 71 Passenger Buses</t>
  </si>
  <si>
    <t>Capital Lease</t>
  </si>
  <si>
    <t>Page 10, Line 72; Sales to Pupils - Other - Pre-K Refreshments $1,095</t>
  </si>
  <si>
    <t>Page 12, Line 168; Other Restricted Revenue from State Sources - Orphanage Tuition $92,342; Other State Revenue $2,857</t>
  </si>
  <si>
    <t>Page 15, Line 41; Other Support Services - Pupils - Secretaries Salaries $46,074; Employee Benefits $2,726</t>
  </si>
  <si>
    <t>Page 16, Line 56; Other Support Services - School Admin - Equipment Rental $841; Supplies $2,032</t>
  </si>
  <si>
    <t>Page 19, Line 237; Other Support Services - Pupils - Employee Benefits for Secretaries $4,425</t>
  </si>
  <si>
    <t>Schedule of Long Term Debt</t>
  </si>
  <si>
    <t>Page 24, Cell G33; Activity related to a capital lease recorded in the Transportation Fund. See Note 7 to the financial statements for</t>
  </si>
  <si>
    <t>more detail.</t>
  </si>
  <si>
    <t>Page 24, Cell G34; Activity related to a capital lease recorded in the Transportation Fund. See Note 7 to the financial statements for</t>
  </si>
  <si>
    <t>Page 24, Cell G35; Activity related to a capital lease recorded in the Transportation Fund. See Note 7 to the financial statements for</t>
  </si>
  <si>
    <t>Page 24, Cell G36; Activity related to a capital lease recorded in the Transportation Fund. See Note 7 to the financial statements for</t>
  </si>
  <si>
    <t>Unmodified</t>
  </si>
  <si>
    <t>Other Receipts $35,079</t>
  </si>
  <si>
    <t>Page 7, Line 43; Other Sources Not Classified Elsewhere - Proceeds from bus leases - $474,002</t>
  </si>
  <si>
    <t>The accompanying Schedule of Expenditures of Federal Awards includes the federal grant activity of Carmi-White County Community Unit School District No. 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</si>
  <si>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The following amounts were expended in the form of non-cash assistance by Carmi-White County Community Unit School District No. 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</si>
  <si>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National School Lunch Program </t>
  </si>
  <si>
    <t xml:space="preserve">         Special Milk Program </t>
  </si>
  <si>
    <t xml:space="preserve">         School Breakfast Program </t>
  </si>
  <si>
    <t xml:space="preserve">         Non-cash Food Commodities </t>
  </si>
  <si>
    <t xml:space="preserve">         Non-cash Fresh Fruit &amp; Vegetables </t>
  </si>
  <si>
    <t xml:space="preserve">         Title I - Low Income (M)</t>
  </si>
  <si>
    <t xml:space="preserve">         Title I - Neglected (M)</t>
  </si>
  <si>
    <t>2019-N/A</t>
  </si>
  <si>
    <t>In the absence of proper account reconciliations, the District's financial statements could be misstated.</t>
  </si>
  <si>
    <t>The District's general ledger is at risk of misstatements occurring that are not detected through the reconciliation process.</t>
  </si>
  <si>
    <t>The District failed to properly reconcile certain cash, revenue, and expense general ledger accounts.</t>
  </si>
  <si>
    <t>The District should review its general ledger activity to ensure all revenue and expenses are recorded properly in accordance with the reporting provisions of the ISBE and should modify its procedures over reconciling cash.</t>
  </si>
  <si>
    <t>The District will ensure proper reviews and reconciliations of general ledger accounts are performed for the next fiscal year-end.</t>
  </si>
  <si>
    <t>Page 10, Line 107; Other Revenue - Chair Back Rental $6,415; Soybean Plot Revenue $10,777; Insurance revenues $94,936</t>
  </si>
  <si>
    <t>Page 10, Line 107; Other Revenue - Other Revenue $10</t>
  </si>
  <si>
    <t>Page 10, Line 107; Other Revenue - Sale of Equipment $1,512; Other Revenue $2,335</t>
  </si>
  <si>
    <t>Of the federal expenditures presented in the schedule, Carmi-White County Community Unit School District No. 5 provided federal awards to subrecipients as follows:</t>
  </si>
  <si>
    <t>District personnel do not possess the necessary technical accounting expertise to prepare the footnotes to the financial statements in accordance with the financial reporting provisions of the Illinois State Board of Education.</t>
  </si>
  <si>
    <t>Internal controls should be in place to provide reasonable assurance that cash receipts are properly recorded.</t>
  </si>
  <si>
    <t>Due to a lack of segregation of duties over cash receipts, cash transactions may occur that are not properly recorded.</t>
  </si>
  <si>
    <t>The District did not reconcile certain cash, revenue, and expense accounts to the general ledger.</t>
  </si>
  <si>
    <t>The District did not have proper internal controls over reconciling certain cash, revenue, and expense accounts to supporting documentation.</t>
  </si>
  <si>
    <t>financial statements.</t>
  </si>
  <si>
    <t xml:space="preserve">to properly draft the footnotes to the </t>
  </si>
  <si>
    <t>Carmi-White County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</si>
</sst>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3" fontId="63" fillId="0" borderId="22" xfId="3" applyNumberFormat="1" applyFont="1" applyBorder="1" applyAlignment="1" applyProtection="1">
      <alignment horizontal="left" vertical="center" wrapText="1"/>
      <protection locked="0"/>
    </xf>
    <xf numFmtId="181" fontId="61" fillId="0" borderId="22" xfId="1" applyNumberFormat="1" applyFont="1" applyBorder="1" applyAlignment="1" applyProtection="1">
      <alignment horizontal="center"/>
      <protection locked="0"/>
    </xf>
    <xf numFmtId="181" fontId="61" fillId="0" borderId="22" xfId="1" applyNumberFormat="1" applyFont="1" applyBorder="1" applyAlignment="1" applyProtection="1">
      <protection locked="0"/>
    </xf>
    <xf numFmtId="178" fontId="64" fillId="0" borderId="9" xfId="3" applyNumberFormat="1" applyFont="1" applyFill="1" applyBorder="1" applyAlignment="1" applyProtection="1">
      <alignment horizontal="left"/>
      <protection locked="0"/>
    </xf>
    <xf numFmtId="0" fontId="64" fillId="0" borderId="78" xfId="0" applyFont="1" applyBorder="1" applyAlignment="1">
      <alignment horizontal="center"/>
    </xf>
    <xf numFmtId="0" fontId="53" fillId="0" borderId="0" xfId="3" applyFont="1" applyAlignment="1" applyProtection="1">
      <alignment horizontal="center"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152400</xdr:rowOff>
        </xdr:from>
        <xdr:to>
          <xdr:col>1</xdr:col>
          <xdr:colOff>1962150</xdr:colOff>
          <xdr:row>5</xdr:row>
          <xdr:rowOff>28575</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0</xdr:row>
          <xdr:rowOff>142875</xdr:rowOff>
        </xdr:from>
        <xdr:to>
          <xdr:col>1</xdr:col>
          <xdr:colOff>3219450</xdr:colOff>
          <xdr:row>5</xdr:row>
          <xdr:rowOff>19050</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1</xdr:col>
          <xdr:colOff>904875</xdr:colOff>
          <xdr:row>10</xdr:row>
          <xdr:rowOff>38100</xdr:rowOff>
        </xdr:to>
        <xdr:sp macro="" textlink="">
          <xdr:nvSpPr>
            <xdr:cNvPr id="37892" name="Object 4" hidden="1">
              <a:extLst>
                <a:ext uri="{63B3BB69-23CF-44E3-9099-C40C66FF867C}">
                  <a14:compatExt spid="_x0000_s378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6</xdr:row>
          <xdr:rowOff>28575</xdr:rowOff>
        </xdr:from>
        <xdr:to>
          <xdr:col>1</xdr:col>
          <xdr:colOff>1952625</xdr:colOff>
          <xdr:row>10</xdr:row>
          <xdr:rowOff>66675</xdr:rowOff>
        </xdr:to>
        <xdr:sp macro="" textlink="">
          <xdr:nvSpPr>
            <xdr:cNvPr id="37893" name="Object 5" hidden="1">
              <a:extLst>
                <a:ext uri="{63B3BB69-23CF-44E3-9099-C40C66FF867C}">
                  <a14:compatExt spid="_x0000_s378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6</xdr:row>
          <xdr:rowOff>19050</xdr:rowOff>
        </xdr:from>
        <xdr:to>
          <xdr:col>1</xdr:col>
          <xdr:colOff>3238500</xdr:colOff>
          <xdr:row>10</xdr:row>
          <xdr:rowOff>57150</xdr:rowOff>
        </xdr:to>
        <xdr:sp macro="" textlink="">
          <xdr:nvSpPr>
            <xdr:cNvPr id="37894" name="Object 6" hidden="1">
              <a:extLst>
                <a:ext uri="{63B3BB69-23CF-44E3-9099-C40C66FF867C}">
                  <a14:compatExt spid="_x0000_s378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package" Target="../embeddings/Microsoft_Excel_Worksheet.xls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92" t="s">
        <v>405</v>
      </c>
      <c r="J1" s="1993"/>
      <c r="K1" s="1993"/>
      <c r="L1" s="1993"/>
      <c r="M1" s="1993"/>
      <c r="N1" s="1993"/>
      <c r="O1" s="1993"/>
      <c r="P1" s="1993"/>
      <c r="Q1" s="1993"/>
      <c r="R1" s="1993"/>
      <c r="S1" s="1993"/>
    </row>
    <row r="2" spans="1:28" ht="12" customHeight="1" x14ac:dyDescent="0.2">
      <c r="A2" s="47" t="s">
        <v>1988</v>
      </c>
      <c r="D2" s="48"/>
      <c r="I2" s="1994" t="s">
        <v>979</v>
      </c>
      <c r="J2" s="1993"/>
      <c r="K2" s="1993"/>
      <c r="L2" s="1993"/>
      <c r="M2" s="1993"/>
      <c r="N2" s="1993"/>
      <c r="O2" s="1993"/>
      <c r="P2" s="1993"/>
      <c r="Q2" s="1993"/>
      <c r="R2" s="1993"/>
      <c r="S2" s="1993"/>
    </row>
    <row r="3" spans="1:28" ht="12" customHeight="1" x14ac:dyDescent="0.2">
      <c r="A3" s="155" t="s">
        <v>1940</v>
      </c>
      <c r="B3" s="156"/>
      <c r="C3" s="156"/>
      <c r="D3" s="157"/>
      <c r="I3" s="1994" t="s">
        <v>52</v>
      </c>
      <c r="J3" s="1993"/>
      <c r="K3" s="1993"/>
      <c r="L3" s="1993"/>
      <c r="M3" s="1993"/>
      <c r="N3" s="1993"/>
      <c r="O3" s="1993"/>
      <c r="P3" s="1993"/>
      <c r="Q3" s="1993"/>
      <c r="R3" s="1993"/>
      <c r="S3" s="1993"/>
    </row>
    <row r="4" spans="1:28" ht="12" customHeight="1" x14ac:dyDescent="0.2">
      <c r="A4" s="37"/>
      <c r="I4" s="1994" t="s">
        <v>524</v>
      </c>
      <c r="J4" s="1993"/>
      <c r="K4" s="1993"/>
      <c r="L4" s="1993"/>
      <c r="M4" s="1993"/>
      <c r="N4" s="1993"/>
      <c r="O4" s="1993"/>
      <c r="P4" s="1993"/>
      <c r="Q4" s="1993"/>
      <c r="R4" s="1993"/>
      <c r="S4" s="1993"/>
    </row>
    <row r="5" spans="1:28" ht="14.1" customHeight="1" x14ac:dyDescent="0.2">
      <c r="B5" s="104" t="s">
        <v>2062</v>
      </c>
      <c r="C5" s="26" t="s">
        <v>910</v>
      </c>
      <c r="D5" s="84"/>
      <c r="E5" s="84"/>
      <c r="H5" s="38"/>
      <c r="I5" s="2002" t="s">
        <v>680</v>
      </c>
      <c r="J5" s="2001"/>
      <c r="K5" s="2001"/>
      <c r="L5" s="2001"/>
      <c r="M5" s="2001"/>
      <c r="N5" s="2001"/>
      <c r="O5" s="2001"/>
      <c r="P5" s="2001"/>
      <c r="Q5" s="2001"/>
      <c r="R5" s="2001"/>
      <c r="S5" s="2001"/>
    </row>
    <row r="6" spans="1:28" ht="14.1" customHeight="1" x14ac:dyDescent="0.2">
      <c r="B6" s="104"/>
      <c r="C6" s="26" t="s">
        <v>911</v>
      </c>
      <c r="D6" s="84"/>
      <c r="E6" s="84"/>
      <c r="I6" s="2000" t="s">
        <v>883</v>
      </c>
      <c r="J6" s="2001"/>
      <c r="K6" s="2001"/>
      <c r="L6" s="2001"/>
      <c r="M6" s="2001"/>
      <c r="N6" s="2001"/>
      <c r="O6" s="2001"/>
      <c r="P6" s="2001"/>
      <c r="Q6" s="2001"/>
      <c r="R6" s="2001"/>
      <c r="S6" s="2001"/>
    </row>
    <row r="7" spans="1:28" ht="12.2" customHeight="1" x14ac:dyDescent="0.2">
      <c r="I7" s="1995">
        <v>43646</v>
      </c>
      <c r="J7" s="1996"/>
      <c r="K7" s="1996"/>
      <c r="L7" s="1996"/>
      <c r="M7" s="1996"/>
      <c r="N7" s="1996"/>
      <c r="O7" s="1996"/>
      <c r="P7" s="1996"/>
      <c r="Q7" s="1996"/>
      <c r="R7" s="1996"/>
      <c r="S7" s="199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7" t="s">
        <v>674</v>
      </c>
      <c r="J9" s="1998"/>
      <c r="K9" s="1998"/>
      <c r="L9" s="1998"/>
      <c r="M9" s="1998"/>
      <c r="N9" s="1998"/>
      <c r="O9" s="1998"/>
      <c r="P9" s="1998"/>
      <c r="Q9" s="1998"/>
      <c r="R9" s="1998"/>
      <c r="S9" s="1999"/>
      <c r="T9" s="2013" t="s">
        <v>533</v>
      </c>
      <c r="U9" s="2014"/>
      <c r="V9" s="2014"/>
      <c r="W9" s="2014"/>
      <c r="X9" s="2014"/>
      <c r="Y9" s="2014"/>
      <c r="Z9" s="2014"/>
      <c r="AA9" s="2015"/>
    </row>
    <row r="10" spans="1:28" ht="13.5" customHeight="1" x14ac:dyDescent="0.2">
      <c r="A10" s="2020" t="s">
        <v>675</v>
      </c>
      <c r="B10" s="2021"/>
      <c r="C10" s="2021"/>
      <c r="D10" s="2021"/>
      <c r="E10" s="2021"/>
      <c r="F10" s="2021"/>
      <c r="G10" s="2021"/>
      <c r="H10" s="2022"/>
      <c r="I10" s="29"/>
      <c r="J10" s="30"/>
      <c r="K10" s="28"/>
      <c r="R10" s="30"/>
      <c r="S10" s="30"/>
      <c r="T10" s="2016"/>
      <c r="U10" s="2001"/>
      <c r="V10" s="2001"/>
      <c r="W10" s="2001"/>
      <c r="X10" s="2001"/>
      <c r="Y10" s="2001"/>
      <c r="Z10" s="2001"/>
      <c r="AA10" s="2007"/>
    </row>
    <row r="11" spans="1:28" ht="14.25" customHeight="1" x14ac:dyDescent="0.2">
      <c r="A11" s="2023" t="s">
        <v>955</v>
      </c>
      <c r="B11" s="2024"/>
      <c r="C11" s="2024"/>
      <c r="D11" s="2024"/>
      <c r="E11" s="2024"/>
      <c r="F11" s="2024"/>
      <c r="G11" s="2024"/>
      <c r="H11" s="2025"/>
      <c r="I11" s="27"/>
      <c r="J11" s="74"/>
      <c r="K11" s="27"/>
      <c r="O11" s="148" t="s">
        <v>2062</v>
      </c>
      <c r="P11" s="100" t="s">
        <v>201</v>
      </c>
      <c r="Q11" s="30"/>
      <c r="R11" s="28"/>
      <c r="S11" s="27"/>
      <c r="T11" s="2017"/>
      <c r="U11" s="2018"/>
      <c r="V11" s="2018"/>
      <c r="W11" s="2018"/>
      <c r="X11" s="2018"/>
      <c r="Y11" s="2018"/>
      <c r="Z11" s="2018"/>
      <c r="AA11" s="201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7">
        <v>20097005026</v>
      </c>
      <c r="B13" s="2028"/>
      <c r="C13" s="2028"/>
      <c r="D13" s="2028"/>
      <c r="E13" s="2028"/>
      <c r="F13" s="2028"/>
      <c r="G13" s="2028"/>
      <c r="H13" s="2029"/>
      <c r="I13" s="31"/>
      <c r="J13" s="30"/>
      <c r="K13" s="28"/>
      <c r="L13" s="30"/>
      <c r="M13" s="30"/>
      <c r="N13" s="30"/>
      <c r="O13" s="30"/>
      <c r="P13" s="30"/>
      <c r="Q13" s="30"/>
      <c r="R13" s="30"/>
      <c r="S13" s="30"/>
      <c r="T13" s="2032" t="s">
        <v>2070</v>
      </c>
      <c r="U13" s="2033"/>
      <c r="V13" s="2033"/>
      <c r="W13" s="2033"/>
      <c r="X13" s="2033"/>
      <c r="Y13" s="2034"/>
      <c r="Z13" s="2034"/>
      <c r="AA13" s="203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6" t="s">
        <v>2063</v>
      </c>
      <c r="B15" s="2030"/>
      <c r="C15" s="2030"/>
      <c r="D15" s="2030"/>
      <c r="E15" s="2030"/>
      <c r="F15" s="2030"/>
      <c r="G15" s="2030"/>
      <c r="H15" s="2031"/>
      <c r="T15" s="2036" t="s">
        <v>2071</v>
      </c>
      <c r="U15" s="1980"/>
      <c r="V15" s="1980"/>
      <c r="W15" s="1980"/>
      <c r="X15" s="1980"/>
      <c r="Y15" s="2037"/>
      <c r="Z15" s="2037"/>
      <c r="AA15" s="203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6" t="s">
        <v>2221</v>
      </c>
      <c r="B17" s="1987"/>
      <c r="C17" s="1987"/>
      <c r="D17" s="1987"/>
      <c r="E17" s="1987"/>
      <c r="F17" s="1987"/>
      <c r="G17" s="1987"/>
      <c r="H17" s="2012"/>
      <c r="T17" s="2043" t="s">
        <v>2072</v>
      </c>
      <c r="U17" s="2044"/>
      <c r="V17" s="2044"/>
      <c r="W17" s="2044"/>
      <c r="X17" s="2044"/>
      <c r="Y17" s="2044"/>
      <c r="Z17" s="2044"/>
      <c r="AA17" s="2045"/>
    </row>
    <row r="18" spans="1:27" ht="13.5" customHeight="1" x14ac:dyDescent="0.2">
      <c r="A18" s="85" t="s">
        <v>530</v>
      </c>
      <c r="B18" s="76"/>
      <c r="C18" s="72"/>
      <c r="D18" s="76"/>
      <c r="E18" s="76"/>
      <c r="F18" s="76"/>
      <c r="G18" s="76"/>
      <c r="H18" s="56"/>
      <c r="I18" s="2011" t="s">
        <v>676</v>
      </c>
      <c r="J18" s="1962"/>
      <c r="K18" s="1962"/>
      <c r="L18" s="1962"/>
      <c r="M18" s="1962"/>
      <c r="N18" s="1962"/>
      <c r="O18" s="1962"/>
      <c r="P18" s="1962"/>
      <c r="Q18" s="1962"/>
      <c r="R18" s="1962"/>
      <c r="S18" s="1963"/>
      <c r="T18" s="85" t="s">
        <v>711</v>
      </c>
      <c r="U18" s="51"/>
      <c r="V18" s="72"/>
      <c r="W18" s="50"/>
      <c r="X18" s="85" t="s">
        <v>266</v>
      </c>
      <c r="Y18" s="81"/>
      <c r="Z18" s="159" t="s">
        <v>677</v>
      </c>
      <c r="AA18" s="46"/>
    </row>
    <row r="19" spans="1:27" ht="13.5" customHeight="1" x14ac:dyDescent="0.2">
      <c r="A19" s="2026" t="s">
        <v>2064</v>
      </c>
      <c r="B19" s="1972"/>
      <c r="C19" s="1972"/>
      <c r="D19" s="1972"/>
      <c r="E19" s="1972"/>
      <c r="F19" s="1972"/>
      <c r="G19" s="1972"/>
      <c r="H19" s="1952"/>
      <c r="I19" s="30"/>
      <c r="J19" s="99"/>
      <c r="K19" s="40"/>
      <c r="L19" s="38"/>
      <c r="M19" s="112" t="s">
        <v>315</v>
      </c>
      <c r="P19" s="27"/>
      <c r="Q19" s="27"/>
      <c r="R19" s="27"/>
      <c r="S19" s="31"/>
      <c r="T19" s="2026" t="s">
        <v>2073</v>
      </c>
      <c r="U19" s="1951"/>
      <c r="V19" s="1951"/>
      <c r="W19" s="1952"/>
      <c r="X19" s="2041" t="s">
        <v>2074</v>
      </c>
      <c r="Y19" s="2042"/>
      <c r="Z19" s="2039">
        <v>62450</v>
      </c>
      <c r="AA19" s="204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0" t="s">
        <v>2065</v>
      </c>
      <c r="B21" s="1951"/>
      <c r="C21" s="1951"/>
      <c r="D21" s="1951"/>
      <c r="E21" s="1951"/>
      <c r="F21" s="1951"/>
      <c r="G21" s="1951"/>
      <c r="H21" s="1952"/>
      <c r="I21" s="2006" t="s">
        <v>678</v>
      </c>
      <c r="J21" s="2001"/>
      <c r="K21" s="2001"/>
      <c r="L21" s="2001"/>
      <c r="M21" s="2001"/>
      <c r="N21" s="2001"/>
      <c r="O21" s="2001"/>
      <c r="P21" s="2001"/>
      <c r="Q21" s="2001"/>
      <c r="R21" s="2001"/>
      <c r="S21" s="2007"/>
      <c r="T21" s="2050" t="s">
        <v>2075</v>
      </c>
      <c r="U21" s="2051"/>
      <c r="V21" s="2051"/>
      <c r="W21" s="2051"/>
      <c r="X21" s="2056" t="s">
        <v>2076</v>
      </c>
      <c r="Y21" s="2057"/>
      <c r="Z21" s="2057"/>
      <c r="AA21" s="2058"/>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3" t="s">
        <v>2066</v>
      </c>
      <c r="B23" s="2004"/>
      <c r="C23" s="2004"/>
      <c r="D23" s="2004"/>
      <c r="E23" s="2004"/>
      <c r="F23" s="2004"/>
      <c r="G23" s="2004"/>
      <c r="H23" s="2005"/>
      <c r="T23" s="1986" t="s">
        <v>2077</v>
      </c>
      <c r="U23" s="2049"/>
      <c r="V23" s="2049"/>
      <c r="W23" s="2049"/>
      <c r="X23" s="2053">
        <v>44469</v>
      </c>
      <c r="Y23" s="2054"/>
      <c r="Z23" s="2054"/>
      <c r="AA23" s="2055"/>
    </row>
    <row r="24" spans="1:27" ht="14.1" customHeight="1" x14ac:dyDescent="0.2">
      <c r="A24" s="88" t="s">
        <v>677</v>
      </c>
      <c r="B24" s="49"/>
      <c r="C24" s="49"/>
      <c r="D24" s="49"/>
      <c r="E24" s="49"/>
      <c r="F24" s="49"/>
      <c r="G24" s="49"/>
      <c r="H24" s="61"/>
      <c r="J24" s="1973">
        <f>IF(B5="x",IF(AUDITCHECK!D29="AFR form Incomplete.","",IF(AUDITCHECK!D29="Deficit reduction plan is required.","School District must complete a deficit reduction plan in the 2019-2020 Budget",)),"")</f>
        <v>0</v>
      </c>
      <c r="K24" s="1973"/>
      <c r="L24" s="1973"/>
      <c r="M24" s="1973"/>
      <c r="N24" s="1973"/>
      <c r="O24" s="1973"/>
      <c r="P24" s="1973"/>
      <c r="Q24" s="1973"/>
      <c r="R24" s="1973"/>
      <c r="S24" s="1974"/>
      <c r="T24" s="105" t="s">
        <v>531</v>
      </c>
      <c r="U24" s="106"/>
      <c r="V24" s="106"/>
      <c r="W24" s="106"/>
      <c r="X24" s="107"/>
      <c r="Y24" s="107"/>
      <c r="Z24" s="107"/>
      <c r="AA24" s="108"/>
    </row>
    <row r="25" spans="1:27" ht="14.1" customHeight="1" x14ac:dyDescent="0.2">
      <c r="A25" s="1950">
        <v>62821</v>
      </c>
      <c r="B25" s="1951"/>
      <c r="C25" s="1951"/>
      <c r="D25" s="1951"/>
      <c r="E25" s="1951"/>
      <c r="F25" s="1951"/>
      <c r="G25" s="1951"/>
      <c r="H25" s="1952"/>
      <c r="I25" s="113"/>
      <c r="J25" s="1975"/>
      <c r="K25" s="1975"/>
      <c r="L25" s="1975"/>
      <c r="M25" s="1975"/>
      <c r="N25" s="1975"/>
      <c r="O25" s="1975"/>
      <c r="P25" s="1975"/>
      <c r="Q25" s="1975"/>
      <c r="R25" s="1975"/>
      <c r="S25" s="1976"/>
      <c r="T25" s="2046" t="s">
        <v>2078</v>
      </c>
      <c r="U25" s="2047"/>
      <c r="V25" s="2047"/>
      <c r="W25" s="2047"/>
      <c r="X25" s="2047"/>
      <c r="Y25" s="2047"/>
      <c r="Z25" s="2047"/>
      <c r="AA25" s="20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1" t="s">
        <v>1511</v>
      </c>
      <c r="J27" s="1962"/>
      <c r="K27" s="1962"/>
      <c r="L27" s="1962"/>
      <c r="M27" s="1962"/>
      <c r="N27" s="1962"/>
      <c r="O27" s="1962"/>
      <c r="P27" s="1962"/>
      <c r="Q27" s="1962"/>
      <c r="R27" s="1962"/>
      <c r="S27" s="196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2"/>
      <c r="Q35" s="1951"/>
      <c r="R35" s="19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6" t="s">
        <v>2067</v>
      </c>
      <c r="B38" s="1987"/>
      <c r="C38" s="1987"/>
      <c r="D38" s="1987"/>
      <c r="E38" s="1987"/>
      <c r="F38" s="1951"/>
      <c r="G38" s="1951"/>
      <c r="H38" s="1952"/>
      <c r="I38" s="1979"/>
      <c r="J38" s="1980"/>
      <c r="K38" s="1980"/>
      <c r="L38" s="1980"/>
      <c r="M38" s="1980"/>
      <c r="N38" s="1980"/>
      <c r="O38" s="1980"/>
      <c r="P38" s="1981"/>
      <c r="Q38" s="1981"/>
      <c r="R38" s="1981"/>
      <c r="S38" s="1982"/>
      <c r="T38" s="2036"/>
      <c r="U38" s="1980"/>
      <c r="V38" s="1980"/>
      <c r="W38" s="1980"/>
      <c r="X38" s="1981"/>
      <c r="Y38" s="1981"/>
      <c r="Z38" s="1981"/>
      <c r="AA38" s="1982"/>
    </row>
    <row r="39" spans="1:27" ht="12" customHeight="1" x14ac:dyDescent="0.2">
      <c r="A39" s="1956" t="s">
        <v>531</v>
      </c>
      <c r="B39" s="1957"/>
      <c r="C39" s="72"/>
      <c r="D39" s="69"/>
      <c r="E39" s="69"/>
      <c r="F39" s="79"/>
      <c r="G39" s="69"/>
      <c r="H39" s="56"/>
      <c r="I39" s="1956" t="s">
        <v>531</v>
      </c>
      <c r="J39" s="1957"/>
      <c r="K39" s="1957"/>
      <c r="L39" s="1957"/>
      <c r="M39" s="1957"/>
      <c r="N39" s="67"/>
      <c r="O39" s="72"/>
      <c r="P39" s="72"/>
      <c r="Q39" s="78"/>
      <c r="R39" s="72"/>
      <c r="S39" s="56"/>
      <c r="T39" s="72" t="s">
        <v>531</v>
      </c>
      <c r="U39" s="51"/>
      <c r="V39" s="72"/>
      <c r="W39" s="50"/>
      <c r="X39" s="78"/>
      <c r="Y39" s="45"/>
      <c r="Z39" s="45"/>
      <c r="AA39" s="46"/>
    </row>
    <row r="40" spans="1:27" ht="13.5" customHeight="1" x14ac:dyDescent="0.2">
      <c r="A40" s="1964" t="s">
        <v>2066</v>
      </c>
      <c r="B40" s="1965"/>
      <c r="C40" s="1966"/>
      <c r="D40" s="1966"/>
      <c r="E40" s="1966"/>
      <c r="F40" s="1967"/>
      <c r="G40" s="1967"/>
      <c r="H40" s="1968"/>
      <c r="I40" s="1989"/>
      <c r="J40" s="1990"/>
      <c r="K40" s="1990"/>
      <c r="L40" s="1990"/>
      <c r="M40" s="1990"/>
      <c r="N40" s="1990"/>
      <c r="O40" s="1990"/>
      <c r="P40" s="1990"/>
      <c r="Q40" s="1990"/>
      <c r="R40" s="1990"/>
      <c r="S40" s="1991"/>
      <c r="T40" s="1989"/>
      <c r="U40" s="2052"/>
      <c r="V40" s="1990"/>
      <c r="W40" s="1990"/>
      <c r="X40" s="1990"/>
      <c r="Y40" s="1990"/>
      <c r="Z40" s="1990"/>
      <c r="AA40" s="199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8" t="s">
        <v>2068</v>
      </c>
      <c r="B42" s="1970"/>
      <c r="C42" s="1971"/>
      <c r="D42" s="1969" t="s">
        <v>2069</v>
      </c>
      <c r="E42" s="1970"/>
      <c r="F42" s="1970"/>
      <c r="G42" s="1970"/>
      <c r="H42" s="1971"/>
      <c r="I42" s="1953"/>
      <c r="J42" s="1954"/>
      <c r="K42" s="1954"/>
      <c r="L42" s="1954"/>
      <c r="M42" s="1954"/>
      <c r="N42" s="1954"/>
      <c r="O42" s="1955"/>
      <c r="P42" s="1988"/>
      <c r="Q42" s="1954"/>
      <c r="R42" s="1954"/>
      <c r="S42" s="1955"/>
      <c r="T42" s="1953"/>
      <c r="U42" s="1954"/>
      <c r="V42" s="1954"/>
      <c r="W42" s="1955"/>
      <c r="X42" s="1988"/>
      <c r="Y42" s="1954"/>
      <c r="Z42" s="1954"/>
      <c r="AA42" s="19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3"/>
      <c r="B44" s="1984"/>
      <c r="C44" s="1984"/>
      <c r="D44" s="1984"/>
      <c r="E44" s="1984"/>
      <c r="F44" s="1984"/>
      <c r="G44" s="1984"/>
      <c r="H44" s="1985"/>
      <c r="I44" s="1958"/>
      <c r="J44" s="1959"/>
      <c r="K44" s="1959"/>
      <c r="L44" s="1959"/>
      <c r="M44" s="1959"/>
      <c r="N44" s="1959"/>
      <c r="O44" s="1959"/>
      <c r="P44" s="1959"/>
      <c r="Q44" s="1959"/>
      <c r="R44" s="1959"/>
      <c r="S44" s="1960"/>
      <c r="T44" s="1958"/>
      <c r="U44" s="1977"/>
      <c r="V44" s="1977"/>
      <c r="W44" s="1977"/>
      <c r="X44" s="1977"/>
      <c r="Y44" s="1977"/>
      <c r="Z44" s="1959"/>
      <c r="AA44" s="196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4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5"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t="s">
        <v>2079</v>
      </c>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2070</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B1" colorId="8" zoomScale="110" zoomScaleNormal="110" workbookViewId="0">
      <selection activeCell="T28" sqref="T2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142744945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2.01E-2</v>
      </c>
      <c r="E10" s="356" t="s">
        <v>1005</v>
      </c>
      <c r="F10" s="355">
        <v>5.0000000000000001E-3</v>
      </c>
      <c r="G10" s="356" t="s">
        <v>1005</v>
      </c>
      <c r="H10" s="355">
        <v>2E-3</v>
      </c>
      <c r="I10" s="356" t="s">
        <v>1006</v>
      </c>
      <c r="J10" s="1732">
        <f>ROUND(D10+F10+H10,5)</f>
        <v>2.7099999999999999E-2</v>
      </c>
      <c r="K10" s="222"/>
      <c r="L10" s="355">
        <v>5.0000000000000001E-4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13437405</v>
      </c>
      <c r="E16" s="356"/>
      <c r="F16" s="1733">
        <f>SUM('Acct Summary 7-8'!C17,'Acct Summary 7-8'!D17,'Acct Summary 7-8'!F17)</f>
        <v>12286580</v>
      </c>
      <c r="G16" s="356"/>
      <c r="H16" s="1733">
        <f>SUM(D16-F16)</f>
        <v>1150825</v>
      </c>
      <c r="I16" s="222"/>
      <c r="J16" s="1733">
        <f>SUM('Acct Summary 7-8'!C81,'Acct Summary 7-8'!D81,'Acct Summary 7-8'!F81,'Acct Summary 7-8'!I81)</f>
        <v>7875077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19698802.41</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5584707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Carmi-White County CUSD 5</v>
      </c>
      <c r="E7" s="391"/>
      <c r="G7" s="252"/>
      <c r="H7" s="387"/>
      <c r="I7" s="387"/>
      <c r="J7" s="387"/>
      <c r="K7" s="387"/>
      <c r="L7" s="329"/>
      <c r="M7" s="329"/>
      <c r="N7" s="329"/>
      <c r="O7" s="329"/>
      <c r="P7" s="329"/>
    </row>
    <row r="8" spans="1:18" ht="12.75" x14ac:dyDescent="0.2">
      <c r="A8" s="329"/>
      <c r="B8" s="329"/>
      <c r="C8" s="389" t="s">
        <v>1125</v>
      </c>
      <c r="D8" s="392">
        <f>COVER!A13</f>
        <v>20097005026</v>
      </c>
      <c r="E8" s="393"/>
      <c r="G8" s="329"/>
      <c r="H8" s="329"/>
      <c r="I8" s="329"/>
      <c r="J8" s="329"/>
      <c r="K8" s="329"/>
      <c r="L8" s="329"/>
      <c r="M8" s="329"/>
      <c r="N8" s="329"/>
      <c r="O8" s="329"/>
      <c r="P8" s="329"/>
    </row>
    <row r="9" spans="1:18" ht="12.75" x14ac:dyDescent="0.2">
      <c r="A9" s="329"/>
      <c r="B9" s="329"/>
      <c r="C9" s="389" t="s">
        <v>713</v>
      </c>
      <c r="D9" s="394" t="str">
        <f>COVER!A15</f>
        <v>White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7875077</v>
      </c>
      <c r="I12" s="404"/>
      <c r="J12" s="404"/>
      <c r="K12" s="405">
        <f>TRUNC((H12/H13*100000),5)/100000</f>
        <v>0.58605638510000002</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13437405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12286580</v>
      </c>
      <c r="I17" s="404"/>
      <c r="J17" s="416"/>
      <c r="K17" s="405">
        <f>TRUNC((H17/H18*100000),5)/100000</f>
        <v>0.91435660380000006</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13437405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8114431</v>
      </c>
      <c r="I24" s="422"/>
      <c r="J24" s="422"/>
      <c r="K24" s="423">
        <f>TRUNC(((H24/H25*100000)/100000),2)</f>
        <v>237.75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34129.388890000002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3288129.8080799999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5584707</v>
      </c>
      <c r="I32" s="420"/>
      <c r="J32" s="420"/>
      <c r="K32" s="423">
        <f>TRUNC(100-((((H32/H33*100))*100)/100),2)</f>
        <v>71.64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19698802.41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Normal="100" workbookViewId="0">
      <selection activeCell="L4" activeCellId="1" sqref="C4:K5 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1651</v>
      </c>
      <c r="B4" s="464"/>
      <c r="C4" s="465">
        <v>1024091</v>
      </c>
      <c r="D4" s="466">
        <v>109268</v>
      </c>
      <c r="E4" s="466">
        <v>492302</v>
      </c>
      <c r="F4" s="466">
        <v>395261</v>
      </c>
      <c r="G4" s="466">
        <v>67775</v>
      </c>
      <c r="H4" s="466">
        <v>258704</v>
      </c>
      <c r="I4" s="466">
        <v>30141</v>
      </c>
      <c r="J4" s="467">
        <v>540949</v>
      </c>
      <c r="K4" s="466">
        <v>150710</v>
      </c>
      <c r="L4" s="466">
        <v>272339</v>
      </c>
      <c r="M4" s="468"/>
      <c r="N4" s="469"/>
    </row>
    <row r="5" spans="1:14" x14ac:dyDescent="0.2">
      <c r="A5" s="463" t="s">
        <v>992</v>
      </c>
      <c r="B5" s="470">
        <v>120</v>
      </c>
      <c r="C5" s="465">
        <v>5514272</v>
      </c>
      <c r="D5" s="466">
        <v>609405</v>
      </c>
      <c r="E5" s="466"/>
      <c r="F5" s="466"/>
      <c r="G5" s="466">
        <v>382591</v>
      </c>
      <c r="H5" s="466">
        <v>1015550</v>
      </c>
      <c r="I5" s="466">
        <v>431993</v>
      </c>
      <c r="J5" s="467"/>
      <c r="K5" s="471"/>
      <c r="L5" s="472">
        <v>342040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v>4859</v>
      </c>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6538363</v>
      </c>
      <c r="D13" s="1737">
        <f t="shared" ref="D13:L13" si="0">SUM(D4:D12)</f>
        <v>718673</v>
      </c>
      <c r="E13" s="1737">
        <f t="shared" si="0"/>
        <v>492302</v>
      </c>
      <c r="F13" s="1737">
        <f t="shared" si="0"/>
        <v>395261</v>
      </c>
      <c r="G13" s="1737">
        <f t="shared" si="0"/>
        <v>450366</v>
      </c>
      <c r="H13" s="1737">
        <f t="shared" si="0"/>
        <v>1274254</v>
      </c>
      <c r="I13" s="1737">
        <f t="shared" si="0"/>
        <v>462134</v>
      </c>
      <c r="J13" s="1737">
        <f t="shared" si="0"/>
        <v>545808</v>
      </c>
      <c r="K13" s="1737">
        <f t="shared" si="0"/>
        <v>150710</v>
      </c>
      <c r="L13" s="1737">
        <f t="shared" si="0"/>
        <v>614379</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71308</v>
      </c>
      <c r="N16" s="484"/>
    </row>
    <row r="17" spans="1:14" s="485" customFormat="1" ht="12.75" customHeight="1" x14ac:dyDescent="0.2">
      <c r="A17" s="482" t="s">
        <v>1403</v>
      </c>
      <c r="B17" s="483">
        <v>230</v>
      </c>
      <c r="C17" s="477"/>
      <c r="D17" s="477"/>
      <c r="E17" s="477"/>
      <c r="F17" s="477"/>
      <c r="G17" s="477"/>
      <c r="H17" s="477"/>
      <c r="I17" s="477"/>
      <c r="J17" s="477"/>
      <c r="K17" s="477"/>
      <c r="L17" s="477"/>
      <c r="M17" s="467">
        <v>16290265</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6286039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492302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5092405</v>
      </c>
    </row>
    <row r="23" spans="1:14" ht="13.5" customHeight="1" thickBot="1" x14ac:dyDescent="0.25">
      <c r="A23" s="1736" t="s">
        <v>643</v>
      </c>
      <c r="B23" s="1741"/>
      <c r="C23" s="468"/>
      <c r="D23" s="468"/>
      <c r="E23" s="468"/>
      <c r="F23" s="468"/>
      <c r="G23" s="468"/>
      <c r="H23" s="468"/>
      <c r="I23" s="468"/>
      <c r="J23" s="468"/>
      <c r="K23" s="468"/>
      <c r="L23" s="468"/>
      <c r="M23" s="1688">
        <f>SUM(M15:M22)</f>
        <v>22647612</v>
      </c>
      <c r="N23" s="1688">
        <f>SUM(N21:N22)</f>
        <v>5584707</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v>4859</v>
      </c>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229143</v>
      </c>
      <c r="D31" s="467">
        <v>661</v>
      </c>
      <c r="E31" s="467"/>
      <c r="F31" s="466">
        <v>4691</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614379</v>
      </c>
      <c r="M33" s="468"/>
      <c r="N33" s="469"/>
    </row>
    <row r="34" spans="1:14" ht="13.5" customHeight="1" thickBot="1" x14ac:dyDescent="0.25">
      <c r="A34" s="1738" t="s">
        <v>654</v>
      </c>
      <c r="B34" s="1739"/>
      <c r="C34" s="1740">
        <f>SUM(C25:C33)</f>
        <v>234002</v>
      </c>
      <c r="D34" s="1740">
        <f t="shared" ref="D34:K34" si="1">SUM(D25:D33)</f>
        <v>661</v>
      </c>
      <c r="E34" s="1740">
        <f t="shared" si="1"/>
        <v>0</v>
      </c>
      <c r="F34" s="1740">
        <f t="shared" si="1"/>
        <v>4691</v>
      </c>
      <c r="G34" s="1740">
        <f t="shared" si="1"/>
        <v>0</v>
      </c>
      <c r="H34" s="1740">
        <f t="shared" si="1"/>
        <v>0</v>
      </c>
      <c r="I34" s="1740">
        <f t="shared" si="1"/>
        <v>0</v>
      </c>
      <c r="J34" s="1740">
        <f t="shared" si="1"/>
        <v>0</v>
      </c>
      <c r="K34" s="1740">
        <f t="shared" si="1"/>
        <v>0</v>
      </c>
      <c r="L34" s="1721">
        <f>SUM(L33)</f>
        <v>614379</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5584707</v>
      </c>
    </row>
    <row r="37" spans="1:14" ht="13.5" thickBot="1" x14ac:dyDescent="0.25">
      <c r="A37" s="1736" t="s">
        <v>653</v>
      </c>
      <c r="B37" s="1741"/>
      <c r="C37" s="477"/>
      <c r="D37" s="477"/>
      <c r="E37" s="477"/>
      <c r="F37" s="477"/>
      <c r="G37" s="477"/>
      <c r="H37" s="477"/>
      <c r="I37" s="477"/>
      <c r="J37" s="477"/>
      <c r="K37" s="477"/>
      <c r="L37" s="480"/>
      <c r="M37" s="468"/>
      <c r="N37" s="1688">
        <f>SUM(N36:N36)</f>
        <v>5584707</v>
      </c>
    </row>
    <row r="38" spans="1:14" s="329" customFormat="1" ht="13.5" customHeight="1" thickTop="1" x14ac:dyDescent="0.2">
      <c r="A38" s="496" t="s">
        <v>420</v>
      </c>
      <c r="B38" s="483">
        <v>714</v>
      </c>
      <c r="C38" s="466"/>
      <c r="D38" s="466"/>
      <c r="E38" s="466"/>
      <c r="F38" s="466"/>
      <c r="G38" s="466">
        <v>47387</v>
      </c>
      <c r="H38" s="466"/>
      <c r="I38" s="466"/>
      <c r="J38" s="467"/>
      <c r="K38" s="466"/>
      <c r="L38" s="481"/>
      <c r="M38" s="497"/>
      <c r="N38" s="497"/>
    </row>
    <row r="39" spans="1:14" s="329" customFormat="1" ht="13.5" customHeight="1" x14ac:dyDescent="0.2">
      <c r="A39" s="496" t="s">
        <v>342</v>
      </c>
      <c r="B39" s="483">
        <v>730</v>
      </c>
      <c r="C39" s="466">
        <v>6304361</v>
      </c>
      <c r="D39" s="466">
        <v>718012</v>
      </c>
      <c r="E39" s="466">
        <v>492302</v>
      </c>
      <c r="F39" s="466">
        <v>390570</v>
      </c>
      <c r="G39" s="466">
        <v>402979</v>
      </c>
      <c r="H39" s="466">
        <v>1274254</v>
      </c>
      <c r="I39" s="466">
        <v>462134</v>
      </c>
      <c r="J39" s="467">
        <v>545808</v>
      </c>
      <c r="K39" s="466">
        <v>150710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22647612</v>
      </c>
      <c r="N40" s="497"/>
    </row>
    <row r="41" spans="1:14" ht="13.5" customHeight="1" thickBot="1" x14ac:dyDescent="0.25">
      <c r="A41" s="1736" t="s">
        <v>655</v>
      </c>
      <c r="B41" s="1706"/>
      <c r="C41" s="1688">
        <f>(SUM(C34,C37,C38,C39))</f>
        <v>6538363</v>
      </c>
      <c r="D41" s="1688">
        <f t="shared" ref="D41:L41" si="2">SUM(D34,D37,D38:D39)</f>
        <v>718673</v>
      </c>
      <c r="E41" s="1688">
        <f t="shared" si="2"/>
        <v>492302</v>
      </c>
      <c r="F41" s="1688">
        <f t="shared" si="2"/>
        <v>395261</v>
      </c>
      <c r="G41" s="1688">
        <f t="shared" si="2"/>
        <v>450366</v>
      </c>
      <c r="H41" s="1688">
        <f t="shared" si="2"/>
        <v>1274254</v>
      </c>
      <c r="I41" s="1688">
        <f t="shared" si="2"/>
        <v>462134</v>
      </c>
      <c r="J41" s="1688">
        <f t="shared" si="2"/>
        <v>545808</v>
      </c>
      <c r="K41" s="1688">
        <f t="shared" si="2"/>
        <v>150710</v>
      </c>
      <c r="L41" s="1688">
        <f t="shared" si="2"/>
        <v>614379</v>
      </c>
      <c r="M41" s="1688">
        <f>SUM(M40)</f>
        <v>22647612</v>
      </c>
      <c r="N41" s="1688">
        <f>SUM(N37)</f>
        <v>5584707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9" activePane="bottomLeft" state="frozen"/>
      <selection pane="bottomLeft" activeCell="C17" sqref="C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8" t="s">
        <v>1499</v>
      </c>
      <c r="B4" s="1929">
        <v>1000</v>
      </c>
      <c r="C4" s="1742">
        <f>'Revenues 9-14'!C109</f>
        <v>4855557</v>
      </c>
      <c r="D4" s="1742">
        <f>'Revenues 9-14'!D109</f>
        <v>693555</v>
      </c>
      <c r="E4" s="1742">
        <f>'Revenues 9-14'!E109</f>
        <v>731005</v>
      </c>
      <c r="F4" s="1742">
        <f>'Revenues 9-14'!F109</f>
        <v>281586</v>
      </c>
      <c r="G4" s="1742">
        <f>'Revenues 9-14'!G109</f>
        <v>432316</v>
      </c>
      <c r="H4" s="1742">
        <f>'Revenues 9-14'!H109</f>
        <v>484374</v>
      </c>
      <c r="I4" s="1742">
        <f>'Revenues 9-14'!I109</f>
        <v>75511</v>
      </c>
      <c r="J4" s="1742">
        <f>'Revenues 9-14'!J109</f>
        <v>770242</v>
      </c>
      <c r="K4" s="1742">
        <f>'Revenues 9-14'!K109</f>
        <v>69379</v>
      </c>
      <c r="L4" s="347"/>
    </row>
    <row r="5" spans="1:13" ht="15.75" customHeight="1" x14ac:dyDescent="0.2">
      <c r="A5" s="1576" t="s">
        <v>1500</v>
      </c>
      <c r="B5" s="1577">
        <v>2000</v>
      </c>
      <c r="C5" s="1743">
        <f>'Revenues 9-14'!C114</f>
        <v>5284</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5817801</v>
      </c>
      <c r="D6" s="1743">
        <f>'Revenues 9-14'!D170</f>
        <v>0</v>
      </c>
      <c r="E6" s="1743">
        <f>'Revenues 9-14'!E170</f>
        <v>0</v>
      </c>
      <c r="F6" s="1743">
        <f>'Revenues 9-14'!F170</f>
        <v>432429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1275682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11954324</v>
      </c>
      <c r="D8" s="1688">
        <f t="shared" ref="D8:K8" si="0">SUM(D4:D7)</f>
        <v>693555</v>
      </c>
      <c r="E8" s="1688">
        <f t="shared" si="0"/>
        <v>731005</v>
      </c>
      <c r="F8" s="1688">
        <f t="shared" si="0"/>
        <v>714015</v>
      </c>
      <c r="G8" s="1688">
        <f t="shared" si="0"/>
        <v>432316</v>
      </c>
      <c r="H8" s="1688">
        <f t="shared" si="0"/>
        <v>484374</v>
      </c>
      <c r="I8" s="1688">
        <f t="shared" si="0"/>
        <v>75511</v>
      </c>
      <c r="J8" s="1688">
        <f t="shared" si="0"/>
        <v>770242</v>
      </c>
      <c r="K8" s="1688">
        <f t="shared" si="0"/>
        <v>69379</v>
      </c>
      <c r="L8" s="347"/>
    </row>
    <row r="9" spans="1:13" ht="15.75" thickTop="1" x14ac:dyDescent="0.2">
      <c r="A9" s="514" t="s">
        <v>1653</v>
      </c>
      <c r="B9" s="515">
        <v>3998</v>
      </c>
      <c r="C9" s="481">
        <v>4319442</v>
      </c>
      <c r="D9" s="516"/>
      <c r="E9" s="481"/>
      <c r="F9" s="481"/>
      <c r="G9" s="517"/>
      <c r="H9" s="481"/>
      <c r="I9" s="509" t="s">
        <v>1169</v>
      </c>
      <c r="J9" s="478"/>
      <c r="K9" s="481"/>
      <c r="L9" s="347"/>
    </row>
    <row r="10" spans="1:13" s="519" customFormat="1" ht="13.5" thickBot="1" x14ac:dyDescent="0.25">
      <c r="A10" s="1736" t="s">
        <v>1173</v>
      </c>
      <c r="B10" s="1709"/>
      <c r="C10" s="1688">
        <f>SUM(C8:C9)</f>
        <v>16273766</v>
      </c>
      <c r="D10" s="1688">
        <f t="shared" ref="D10:K10" si="1">SUM(D8:D9)</f>
        <v>693555</v>
      </c>
      <c r="E10" s="1688">
        <f t="shared" si="1"/>
        <v>731005</v>
      </c>
      <c r="F10" s="1688">
        <f t="shared" si="1"/>
        <v>714015</v>
      </c>
      <c r="G10" s="1688">
        <f t="shared" si="1"/>
        <v>432316</v>
      </c>
      <c r="H10" s="1688">
        <f t="shared" si="1"/>
        <v>484374</v>
      </c>
      <c r="I10" s="1688">
        <f t="shared" si="1"/>
        <v>75511</v>
      </c>
      <c r="J10" s="1688">
        <f t="shared" si="1"/>
        <v>770242</v>
      </c>
      <c r="K10" s="1688">
        <f t="shared" si="1"/>
        <v>69379</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42">
        <f>'Expenditures 15-22'!K33</f>
        <v>7629502</v>
      </c>
      <c r="D12" s="520" t="s">
        <v>1169</v>
      </c>
      <c r="E12" s="468" t="s">
        <v>1169</v>
      </c>
      <c r="F12" s="468" t="s">
        <v>1169</v>
      </c>
      <c r="G12" s="1742">
        <f>'Expenditures 15-22'!K229</f>
        <v>239542</v>
      </c>
      <c r="H12" s="521"/>
      <c r="I12" s="468" t="s">
        <v>1169</v>
      </c>
      <c r="J12" s="468" t="s">
        <v>1169</v>
      </c>
      <c r="K12" s="521" t="s">
        <v>1169</v>
      </c>
      <c r="L12" s="347"/>
    </row>
    <row r="13" spans="1:13" ht="15.75" customHeight="1" x14ac:dyDescent="0.2">
      <c r="A13" s="1576" t="s">
        <v>457</v>
      </c>
      <c r="B13" s="1578">
        <v>2000</v>
      </c>
      <c r="C13" s="1743">
        <f>'Expenditures 15-22'!K74</f>
        <v>2423898</v>
      </c>
      <c r="D13" s="1743">
        <f>'Expenditures 15-22'!K129</f>
        <v>642119</v>
      </c>
      <c r="E13" s="469" t="s">
        <v>1169</v>
      </c>
      <c r="F13" s="1743">
        <f>'Expenditures 15-22'!K184</f>
        <v>1133801</v>
      </c>
      <c r="G13" s="1743">
        <f>'Expenditures 15-22'!K279</f>
        <v>261171</v>
      </c>
      <c r="H13" s="1743">
        <f>'Expenditures 15-22'!K303</f>
        <v>57260</v>
      </c>
      <c r="I13" s="468" t="s">
        <v>1169</v>
      </c>
      <c r="J13" s="1743">
        <f>'Expenditures 15-22'!K330</f>
        <v>600027</v>
      </c>
      <c r="K13" s="1747">
        <f>'Expenditures 15-22'!K352</f>
        <v>39853</v>
      </c>
      <c r="L13" s="347"/>
    </row>
    <row r="14" spans="1:13" ht="15.75" customHeight="1" x14ac:dyDescent="0.2">
      <c r="A14" s="1576" t="s">
        <v>449</v>
      </c>
      <c r="B14" s="1578">
        <v>3000</v>
      </c>
      <c r="C14" s="1743">
        <f>'Expenditures 15-22'!K75</f>
        <v>79318</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238647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729540</v>
      </c>
      <c r="F16" s="1743">
        <f>'Expenditures 15-22'!K208</f>
        <v>139295</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10371365</v>
      </c>
      <c r="D17" s="1688">
        <f t="shared" si="2"/>
        <v>642119</v>
      </c>
      <c r="E17" s="1688">
        <f t="shared" si="2"/>
        <v>729540</v>
      </c>
      <c r="F17" s="1688">
        <f t="shared" si="2"/>
        <v>1273096</v>
      </c>
      <c r="G17" s="1688">
        <f t="shared" si="2"/>
        <v>500713</v>
      </c>
      <c r="H17" s="1688">
        <f t="shared" si="2"/>
        <v>57260</v>
      </c>
      <c r="I17" s="468"/>
      <c r="J17" s="1688">
        <f>SUM(J12:J16)</f>
        <v>600027</v>
      </c>
      <c r="K17" s="1688">
        <f>SUM(K12:K16)</f>
        <v>39853</v>
      </c>
      <c r="L17" s="347"/>
    </row>
    <row r="18" spans="1:12" ht="15" customHeight="1" thickTop="1" x14ac:dyDescent="0.2">
      <c r="A18" s="1744" t="s">
        <v>1654</v>
      </c>
      <c r="B18" s="1745">
        <v>4180</v>
      </c>
      <c r="C18" s="1742">
        <f t="shared" ref="C18:H18" si="3">C9</f>
        <v>4319442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14690807</v>
      </c>
      <c r="D19" s="1688">
        <f t="shared" si="4"/>
        <v>642119</v>
      </c>
      <c r="E19" s="1688">
        <f t="shared" si="4"/>
        <v>729540</v>
      </c>
      <c r="F19" s="1688">
        <f t="shared" si="4"/>
        <v>1273096</v>
      </c>
      <c r="G19" s="1688">
        <f t="shared" si="4"/>
        <v>500713</v>
      </c>
      <c r="H19" s="1688">
        <f t="shared" si="4"/>
        <v>57260</v>
      </c>
      <c r="I19" s="468"/>
      <c r="J19" s="1688">
        <f>SUM(J17:J18)</f>
        <v>600027</v>
      </c>
      <c r="K19" s="1688">
        <f>SUM(K17:K18)</f>
        <v>39853</v>
      </c>
      <c r="L19" s="347"/>
    </row>
    <row r="20" spans="1:12" ht="16.5" thickTop="1" thickBot="1" x14ac:dyDescent="0.25">
      <c r="A20" s="2135" t="s">
        <v>1655</v>
      </c>
      <c r="B20" s="2136"/>
      <c r="C20" s="1746">
        <f>C8-C17</f>
        <v>1582959</v>
      </c>
      <c r="D20" s="1746">
        <f t="shared" ref="D20:K20" si="5">D8-D17</f>
        <v>51436</v>
      </c>
      <c r="E20" s="1746">
        <f t="shared" si="5"/>
        <v>1465</v>
      </c>
      <c r="F20" s="1746">
        <f t="shared" si="5"/>
        <v>-559081</v>
      </c>
      <c r="G20" s="1746">
        <f t="shared" si="5"/>
        <v>-68397</v>
      </c>
      <c r="H20" s="1746">
        <f t="shared" si="5"/>
        <v>427114</v>
      </c>
      <c r="I20" s="1746">
        <f t="shared" si="5"/>
        <v>75511</v>
      </c>
      <c r="J20" s="1746">
        <f t="shared" si="5"/>
        <v>170215</v>
      </c>
      <c r="K20" s="1746">
        <f t="shared" si="5"/>
        <v>29526</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v>474002</v>
      </c>
      <c r="G43" s="467"/>
      <c r="H43" s="467"/>
      <c r="I43" s="467"/>
      <c r="J43" s="467"/>
      <c r="K43" s="467"/>
      <c r="L43" s="524"/>
    </row>
    <row r="44" spans="1:12" s="485" customFormat="1" ht="13.5" customHeight="1" thickBot="1" x14ac:dyDescent="0.25">
      <c r="A44" s="2149" t="s">
        <v>374</v>
      </c>
      <c r="B44" s="2150"/>
      <c r="C44" s="1703">
        <f>SUM(C24:C43)</f>
        <v>0</v>
      </c>
      <c r="D44" s="1703">
        <f t="shared" ref="D44:K44" si="6">SUM(D24:D43)</f>
        <v>0</v>
      </c>
      <c r="E44" s="1703">
        <f t="shared" si="6"/>
        <v>0</v>
      </c>
      <c r="F44" s="1703">
        <f t="shared" si="6"/>
        <v>474002</v>
      </c>
      <c r="G44" s="1703">
        <f t="shared" si="6"/>
        <v>0</v>
      </c>
      <c r="H44" s="1703">
        <f t="shared" si="6"/>
        <v>0</v>
      </c>
      <c r="I44" s="1703">
        <f t="shared" si="6"/>
        <v>0</v>
      </c>
      <c r="J44" s="1703">
        <f t="shared" si="6"/>
        <v>0</v>
      </c>
      <c r="K44" s="1703">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5" t="s">
        <v>440</v>
      </c>
      <c r="B76" s="212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7" t="s">
        <v>1177</v>
      </c>
      <c r="B77" s="2128"/>
      <c r="C77" s="1703">
        <f t="shared" ref="C77:K77" si="8">C44-C76</f>
        <v>0</v>
      </c>
      <c r="D77" s="1703">
        <f t="shared" si="8"/>
        <v>0</v>
      </c>
      <c r="E77" s="1703">
        <f t="shared" si="8"/>
        <v>0</v>
      </c>
      <c r="F77" s="1703">
        <f t="shared" si="8"/>
        <v>474002</v>
      </c>
      <c r="G77" s="1703">
        <f t="shared" si="8"/>
        <v>0</v>
      </c>
      <c r="H77" s="1703">
        <f t="shared" si="8"/>
        <v>0</v>
      </c>
      <c r="I77" s="1703">
        <f t="shared" si="8"/>
        <v>0</v>
      </c>
      <c r="J77" s="1703">
        <f t="shared" si="8"/>
        <v>0</v>
      </c>
      <c r="K77" s="1703">
        <f t="shared" si="8"/>
        <v>0</v>
      </c>
      <c r="L77" s="347"/>
    </row>
    <row r="78" spans="1:12" ht="21.75" customHeight="1" thickTop="1" thickBot="1" x14ac:dyDescent="0.25">
      <c r="A78" s="2131" t="s">
        <v>597</v>
      </c>
      <c r="B78" s="2132"/>
      <c r="C78" s="1702">
        <f t="shared" ref="C78:K78" si="9">C20+C77</f>
        <v>1582959</v>
      </c>
      <c r="D78" s="1702">
        <f t="shared" si="9"/>
        <v>51436</v>
      </c>
      <c r="E78" s="1702">
        <f t="shared" si="9"/>
        <v>1465</v>
      </c>
      <c r="F78" s="1702">
        <f t="shared" si="9"/>
        <v>-85079</v>
      </c>
      <c r="G78" s="1702">
        <f t="shared" si="9"/>
        <v>-68397</v>
      </c>
      <c r="H78" s="1702">
        <f t="shared" si="9"/>
        <v>427114</v>
      </c>
      <c r="I78" s="1702">
        <f t="shared" si="9"/>
        <v>75511</v>
      </c>
      <c r="J78" s="1702">
        <f t="shared" si="9"/>
        <v>170215</v>
      </c>
      <c r="K78" s="1702">
        <f t="shared" si="9"/>
        <v>29526</v>
      </c>
      <c r="L78" s="533"/>
    </row>
    <row r="79" spans="1:12" ht="13.5" thickTop="1" x14ac:dyDescent="0.2">
      <c r="A79" s="1494" t="s">
        <v>1944</v>
      </c>
      <c r="B79" s="534"/>
      <c r="C79" s="478">
        <v>4721402</v>
      </c>
      <c r="D79" s="535">
        <v>666576</v>
      </c>
      <c r="E79" s="535">
        <v>490837</v>
      </c>
      <c r="F79" s="535">
        <v>475649</v>
      </c>
      <c r="G79" s="535">
        <v>518763</v>
      </c>
      <c r="H79" s="535">
        <v>847140</v>
      </c>
      <c r="I79" s="535">
        <v>386623</v>
      </c>
      <c r="J79" s="535">
        <v>375593</v>
      </c>
      <c r="K79" s="535">
        <v>121184</v>
      </c>
      <c r="L79" s="347"/>
    </row>
    <row r="80" spans="1:12" x14ac:dyDescent="0.2">
      <c r="A80" s="2137" t="s">
        <v>1792</v>
      </c>
      <c r="B80" s="2138"/>
      <c r="C80" s="467"/>
      <c r="D80" s="467"/>
      <c r="E80" s="467"/>
      <c r="F80" s="467"/>
      <c r="G80" s="467"/>
      <c r="H80" s="467"/>
      <c r="I80" s="467"/>
      <c r="J80" s="467"/>
      <c r="K80" s="467"/>
      <c r="L80" s="347"/>
    </row>
    <row r="81" spans="1:12" ht="13.5" thickBot="1" x14ac:dyDescent="0.25">
      <c r="A81" s="2129" t="s">
        <v>1945</v>
      </c>
      <c r="B81" s="2130"/>
      <c r="C81" s="1688">
        <f>(SUM(C78:C80))</f>
        <v>6304361</v>
      </c>
      <c r="D81" s="1688">
        <f>SUM(D78:D80)</f>
        <v>718012</v>
      </c>
      <c r="E81" s="1688">
        <f t="shared" ref="E81:K81" si="10">SUM(E78:E80)</f>
        <v>492302</v>
      </c>
      <c r="F81" s="1688">
        <f t="shared" si="10"/>
        <v>390570</v>
      </c>
      <c r="G81" s="1688">
        <f t="shared" si="10"/>
        <v>450366</v>
      </c>
      <c r="H81" s="1688">
        <f t="shared" si="10"/>
        <v>1274254</v>
      </c>
      <c r="I81" s="1688">
        <f t="shared" si="10"/>
        <v>462134</v>
      </c>
      <c r="J81" s="1688">
        <f t="shared" si="10"/>
        <v>545808</v>
      </c>
      <c r="K81" s="1688">
        <f t="shared" si="10"/>
        <v>150710</v>
      </c>
      <c r="L81" s="347"/>
    </row>
    <row r="82" spans="1:12" ht="0.75" customHeight="1" thickTop="1" thickBot="1" x14ac:dyDescent="0.25">
      <c r="A82" s="536" t="s">
        <v>343</v>
      </c>
      <c r="B82" s="537"/>
      <c r="C82" s="538">
        <f>(C81-C79)</f>
        <v>1582959</v>
      </c>
      <c r="D82" s="538">
        <f t="shared" ref="D82:K82" si="11">(D81-D79)</f>
        <v>51436</v>
      </c>
      <c r="E82" s="538">
        <f t="shared" si="11"/>
        <v>1465</v>
      </c>
      <c r="F82" s="538">
        <f t="shared" si="11"/>
        <v>-85079</v>
      </c>
      <c r="G82" s="538">
        <f t="shared" si="11"/>
        <v>-68397</v>
      </c>
      <c r="H82" s="538">
        <f t="shared" si="11"/>
        <v>427114</v>
      </c>
      <c r="I82" s="538">
        <f t="shared" si="11"/>
        <v>75511</v>
      </c>
      <c r="J82" s="538">
        <f t="shared" si="11"/>
        <v>170215</v>
      </c>
      <c r="K82" s="538">
        <f t="shared" si="11"/>
        <v>29526</v>
      </c>
    </row>
    <row r="83" spans="1:12" ht="14.25" hidden="1" thickTop="1" thickBot="1" x14ac:dyDescent="0.25">
      <c r="A83" s="539" t="s">
        <v>344</v>
      </c>
      <c r="B83" s="464"/>
      <c r="C83" s="540">
        <f>C82/C81</f>
        <v>0.25108952358534037</v>
      </c>
      <c r="D83" s="540">
        <f t="shared" ref="D83:K83" si="12">D82/D81</f>
        <v>7.163668573784282E-2</v>
      </c>
      <c r="E83" s="540">
        <f t="shared" si="12"/>
        <v>2.9758156578685441E-3</v>
      </c>
      <c r="F83" s="540">
        <f t="shared" si="12"/>
        <v>-0.21783291087385104</v>
      </c>
      <c r="G83" s="540">
        <f t="shared" si="12"/>
        <v>-0.15186981255245732</v>
      </c>
      <c r="H83" s="540">
        <f t="shared" si="12"/>
        <v>0.33518749009224219</v>
      </c>
      <c r="I83" s="540">
        <f t="shared" si="12"/>
        <v>0.16339633093431774</v>
      </c>
      <c r="J83" s="540">
        <f t="shared" si="12"/>
        <v>0.31185874886406939</v>
      </c>
      <c r="K83" s="540">
        <f t="shared" si="12"/>
        <v>0.19591267998142128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48" activePane="bottomLeft" state="frozen"/>
      <selection pane="bottomLeft" activeCell="C71" sqref="C7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1799</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2737874</v>
      </c>
      <c r="D5" s="481">
        <v>681062</v>
      </c>
      <c r="E5" s="466">
        <v>492843</v>
      </c>
      <c r="F5" s="548">
        <v>272426</v>
      </c>
      <c r="G5" s="466">
        <v>199364</v>
      </c>
      <c r="H5" s="466"/>
      <c r="I5" s="466">
        <v>68108</v>
      </c>
      <c r="J5" s="467">
        <v>737608</v>
      </c>
      <c r="K5" s="466">
        <v>68108</v>
      </c>
    </row>
    <row r="6" spans="1:12" ht="15" x14ac:dyDescent="0.2">
      <c r="A6" s="463" t="s">
        <v>1662</v>
      </c>
      <c r="B6" s="470">
        <v>1130</v>
      </c>
      <c r="C6" s="466"/>
      <c r="D6" s="466"/>
      <c r="E6" s="475"/>
      <c r="F6" s="475"/>
      <c r="G6" s="468"/>
      <c r="H6" s="468"/>
      <c r="I6" s="468"/>
      <c r="J6" s="468"/>
      <c r="K6" s="468"/>
    </row>
    <row r="7" spans="1:12" x14ac:dyDescent="0.2">
      <c r="A7" s="463" t="s">
        <v>110</v>
      </c>
      <c r="B7" s="549">
        <v>1140</v>
      </c>
      <c r="C7" s="466">
        <v>54484</v>
      </c>
      <c r="D7" s="466"/>
      <c r="E7" s="468"/>
      <c r="F7" s="467"/>
      <c r="G7" s="467"/>
      <c r="H7" s="467"/>
      <c r="I7" s="468"/>
      <c r="J7" s="468"/>
      <c r="K7" s="468"/>
    </row>
    <row r="8" spans="1:12" x14ac:dyDescent="0.2">
      <c r="A8" s="463" t="s">
        <v>413</v>
      </c>
      <c r="B8" s="470">
        <v>1150</v>
      </c>
      <c r="C8" s="475"/>
      <c r="D8" s="475"/>
      <c r="E8" s="477"/>
      <c r="F8" s="477"/>
      <c r="G8" s="481">
        <v>199364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2792358</v>
      </c>
      <c r="D12" s="1707">
        <f t="shared" si="0"/>
        <v>681062</v>
      </c>
      <c r="E12" s="1707">
        <f t="shared" si="0"/>
        <v>492843</v>
      </c>
      <c r="F12" s="1707">
        <f t="shared" si="0"/>
        <v>272426</v>
      </c>
      <c r="G12" s="1707">
        <f t="shared" si="0"/>
        <v>398728</v>
      </c>
      <c r="H12" s="1707">
        <f t="shared" si="0"/>
        <v>0</v>
      </c>
      <c r="I12" s="1707">
        <f t="shared" si="0"/>
        <v>68108</v>
      </c>
      <c r="J12" s="1707">
        <f t="shared" si="0"/>
        <v>737608</v>
      </c>
      <c r="K12" s="1688">
        <f t="shared" si="0"/>
        <v>68108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332042</v>
      </c>
      <c r="D16" s="466"/>
      <c r="E16" s="466"/>
      <c r="F16" s="466"/>
      <c r="G16" s="466">
        <v>25000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332042</v>
      </c>
      <c r="D18" s="1710">
        <f t="shared" ref="D18:K18" si="1">SUM(D14:D17)</f>
        <v>0</v>
      </c>
      <c r="E18" s="1710">
        <f t="shared" si="1"/>
        <v>0</v>
      </c>
      <c r="F18" s="1710">
        <f t="shared" si="1"/>
        <v>0</v>
      </c>
      <c r="G18" s="1710">
        <f t="shared" si="1"/>
        <v>25000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1271603</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1271603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68733</v>
      </c>
      <c r="D65" s="466">
        <v>11808</v>
      </c>
      <c r="E65" s="466">
        <v>4673</v>
      </c>
      <c r="F65" s="467">
        <v>5313</v>
      </c>
      <c r="G65" s="466">
        <v>8588</v>
      </c>
      <c r="H65" s="466">
        <v>17396</v>
      </c>
      <c r="I65" s="466">
        <v>7403</v>
      </c>
      <c r="J65" s="467">
        <v>5569</v>
      </c>
      <c r="K65" s="466">
        <v>1271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68733</v>
      </c>
      <c r="D67" s="1688">
        <f t="shared" ref="D67:K67" si="2">SUM(D65:D66)</f>
        <v>11808</v>
      </c>
      <c r="E67" s="1688">
        <f t="shared" si="2"/>
        <v>4673</v>
      </c>
      <c r="F67" s="1688">
        <f t="shared" si="2"/>
        <v>5313</v>
      </c>
      <c r="G67" s="1688">
        <f t="shared" si="2"/>
        <v>8588</v>
      </c>
      <c r="H67" s="1688">
        <f t="shared" si="2"/>
        <v>17396</v>
      </c>
      <c r="I67" s="1688">
        <f t="shared" si="2"/>
        <v>7403</v>
      </c>
      <c r="J67" s="1688">
        <f t="shared" si="2"/>
        <v>5569</v>
      </c>
      <c r="K67" s="1688">
        <f t="shared" si="2"/>
        <v>1271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88929</v>
      </c>
      <c r="D69" s="468"/>
      <c r="E69" s="468"/>
      <c r="F69" s="468"/>
      <c r="G69" s="468"/>
      <c r="H69" s="468"/>
      <c r="I69" s="468"/>
      <c r="J69" s="468"/>
      <c r="K69" s="468"/>
    </row>
    <row r="70" spans="1:11" ht="12.75" customHeight="1" x14ac:dyDescent="0.2">
      <c r="A70" s="463" t="s">
        <v>997</v>
      </c>
      <c r="B70" s="470">
        <v>1612</v>
      </c>
      <c r="C70" s="551">
        <v>7752</v>
      </c>
      <c r="D70" s="468"/>
      <c r="E70" s="468"/>
      <c r="F70" s="468"/>
      <c r="G70" s="468"/>
      <c r="H70" s="468"/>
      <c r="I70" s="468"/>
      <c r="J70" s="468"/>
      <c r="K70" s="468"/>
    </row>
    <row r="71" spans="1:11" ht="12.75" customHeight="1" x14ac:dyDescent="0.2">
      <c r="A71" s="463" t="s">
        <v>273</v>
      </c>
      <c r="B71" s="470">
        <v>1613</v>
      </c>
      <c r="C71" s="551">
        <v>2539</v>
      </c>
      <c r="D71" s="468"/>
      <c r="E71" s="468"/>
      <c r="F71" s="468"/>
      <c r="G71" s="468"/>
      <c r="H71" s="468"/>
      <c r="I71" s="468"/>
      <c r="J71" s="468"/>
      <c r="K71" s="468"/>
    </row>
    <row r="72" spans="1:11" ht="12.75" customHeight="1" x14ac:dyDescent="0.2">
      <c r="A72" s="463" t="s">
        <v>24</v>
      </c>
      <c r="B72" s="470">
        <v>1614</v>
      </c>
      <c r="C72" s="551">
        <v>1095</v>
      </c>
      <c r="D72" s="468"/>
      <c r="E72" s="468"/>
      <c r="F72" s="468"/>
      <c r="G72" s="468"/>
      <c r="H72" s="468"/>
      <c r="I72" s="468"/>
      <c r="J72" s="468"/>
      <c r="K72" s="468"/>
    </row>
    <row r="73" spans="1:11" ht="12.75" customHeight="1" x14ac:dyDescent="0.2">
      <c r="A73" s="463" t="s">
        <v>998</v>
      </c>
      <c r="B73" s="470">
        <v>1620</v>
      </c>
      <c r="C73" s="551">
        <v>5600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105915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22199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22199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23795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23795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675</v>
      </c>
      <c r="E95" s="521"/>
      <c r="F95" s="521"/>
      <c r="G95" s="521"/>
      <c r="H95" s="521"/>
      <c r="I95" s="521"/>
      <c r="J95" s="521"/>
      <c r="K95" s="521"/>
    </row>
    <row r="96" spans="1:11" ht="12.75" customHeight="1" x14ac:dyDescent="0.2">
      <c r="A96" s="463" t="s">
        <v>391</v>
      </c>
      <c r="B96" s="470">
        <v>1920</v>
      </c>
      <c r="C96" s="551">
        <v>62934</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24357</v>
      </c>
      <c r="D99" s="466"/>
      <c r="E99" s="466"/>
      <c r="F99" s="466"/>
      <c r="G99" s="466"/>
      <c r="H99" s="466"/>
      <c r="I99" s="468"/>
      <c r="J99" s="467">
        <v>27065</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4414</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233489</v>
      </c>
      <c r="F103" s="468"/>
      <c r="G103" s="468"/>
      <c r="H103" s="489">
        <v>466978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147207</v>
      </c>
      <c r="D107" s="466">
        <v>10</v>
      </c>
      <c r="E107" s="466"/>
      <c r="F107" s="466">
        <v>3847</v>
      </c>
      <c r="G107" s="466"/>
      <c r="H107" s="466"/>
      <c r="I107" s="466"/>
      <c r="J107" s="467"/>
      <c r="K107" s="466"/>
    </row>
    <row r="108" spans="1:12" ht="12.75" customHeight="1" thickBot="1" x14ac:dyDescent="0.25">
      <c r="A108" s="1708" t="s">
        <v>487</v>
      </c>
      <c r="B108" s="1712"/>
      <c r="C108" s="1707">
        <f>SUM(C95:C107)</f>
        <v>238912</v>
      </c>
      <c r="D108" s="1707">
        <f t="shared" ref="D108:K108" si="3">SUM(D95:D107)</f>
        <v>685</v>
      </c>
      <c r="E108" s="1707">
        <f t="shared" si="3"/>
        <v>233489</v>
      </c>
      <c r="F108" s="1707">
        <f t="shared" si="3"/>
        <v>3847</v>
      </c>
      <c r="G108" s="1707">
        <f t="shared" si="3"/>
        <v>0</v>
      </c>
      <c r="H108" s="1707">
        <f t="shared" si="3"/>
        <v>466978</v>
      </c>
      <c r="I108" s="1707">
        <f t="shared" si="3"/>
        <v>0</v>
      </c>
      <c r="J108" s="1707">
        <f t="shared" si="3"/>
        <v>27065</v>
      </c>
      <c r="K108" s="1688">
        <f t="shared" si="3"/>
        <v>0</v>
      </c>
    </row>
    <row r="109" spans="1:12" ht="14.25" thickTop="1" thickBot="1" x14ac:dyDescent="0.25">
      <c r="A109" s="1713" t="s">
        <v>248</v>
      </c>
      <c r="B109" s="1714" t="s">
        <v>570</v>
      </c>
      <c r="C109" s="1715">
        <f t="shared" ref="C109:K109" si="4">SUM(C12,C18,C40,C63,C67,C75,C82,C93,C108,)</f>
        <v>4855557</v>
      </c>
      <c r="D109" s="1715">
        <f t="shared" si="4"/>
        <v>693555</v>
      </c>
      <c r="E109" s="1715">
        <f t="shared" si="4"/>
        <v>731005</v>
      </c>
      <c r="F109" s="1715">
        <f t="shared" si="4"/>
        <v>281586</v>
      </c>
      <c r="G109" s="1715">
        <f t="shared" si="4"/>
        <v>432316</v>
      </c>
      <c r="H109" s="1715">
        <f t="shared" si="4"/>
        <v>484374</v>
      </c>
      <c r="I109" s="1715">
        <f t="shared" si="4"/>
        <v>75511</v>
      </c>
      <c r="J109" s="1715">
        <f t="shared" si="4"/>
        <v>770242</v>
      </c>
      <c r="K109" s="1702">
        <f t="shared" si="4"/>
        <v>69379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5284</v>
      </c>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5284</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5305464</v>
      </c>
      <c r="D117" s="481"/>
      <c r="E117" s="466"/>
      <c r="F117" s="481">
        <v>150000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5305464</v>
      </c>
      <c r="D122" s="1707">
        <f t="shared" si="5"/>
        <v>0</v>
      </c>
      <c r="E122" s="1707">
        <f t="shared" si="5"/>
        <v>0</v>
      </c>
      <c r="F122" s="1707">
        <f t="shared" si="5"/>
        <v>150000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8950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1463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10413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48874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23089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71963</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6449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18217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201361</v>
      </c>
      <c r="G152" s="467"/>
      <c r="H152" s="468"/>
      <c r="I152" s="468"/>
      <c r="J152" s="468"/>
      <c r="K152" s="468"/>
    </row>
    <row r="153" spans="1:11" ht="12.75" customHeight="1" x14ac:dyDescent="0.2">
      <c r="A153" s="463" t="s">
        <v>1057</v>
      </c>
      <c r="B153" s="562">
        <v>3510</v>
      </c>
      <c r="C153" s="551"/>
      <c r="D153" s="466"/>
      <c r="E153" s="561"/>
      <c r="F153" s="466">
        <v>81068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282429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310096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95199</v>
      </c>
      <c r="D168" s="580"/>
      <c r="E168" s="580"/>
      <c r="F168" s="580"/>
      <c r="G168" s="581"/>
      <c r="H168" s="582"/>
      <c r="I168" s="581"/>
      <c r="J168" s="581"/>
      <c r="K168" s="582"/>
    </row>
    <row r="169" spans="1:11" ht="12.75" customHeight="1" thickTop="1" thickBot="1" x14ac:dyDescent="0.25">
      <c r="A169" s="2153" t="s">
        <v>398</v>
      </c>
      <c r="B169" s="2154"/>
      <c r="C169" s="1722">
        <f t="shared" ref="C169:K169" si="6">SUM(C132,C141,C145,C146:C150,C155,C156:C167,C168)</f>
        <v>512337</v>
      </c>
      <c r="D169" s="1722">
        <f t="shared" si="6"/>
        <v>0</v>
      </c>
      <c r="E169" s="1722">
        <f t="shared" si="6"/>
        <v>0</v>
      </c>
      <c r="F169" s="1722">
        <f t="shared" si="6"/>
        <v>282429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5817801</v>
      </c>
      <c r="D170" s="1715">
        <f t="shared" si="7"/>
        <v>0</v>
      </c>
      <c r="E170" s="1715">
        <f t="shared" si="7"/>
        <v>0</v>
      </c>
      <c r="F170" s="1715">
        <f t="shared" si="7"/>
        <v>432429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1665</v>
      </c>
      <c r="B175" s="216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1" t="s">
        <v>785</v>
      </c>
      <c r="B181" s="216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7" t="s">
        <v>1800</v>
      </c>
      <c r="B182" s="215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21068</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21068</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261290</v>
      </c>
      <c r="D191" s="468"/>
      <c r="E191" s="561"/>
      <c r="F191" s="468"/>
      <c r="G191" s="585"/>
      <c r="H191" s="468"/>
      <c r="I191" s="468"/>
      <c r="J191" s="468"/>
      <c r="K191" s="468"/>
    </row>
    <row r="192" spans="1:11" ht="12.75" customHeight="1" x14ac:dyDescent="0.2">
      <c r="A192" s="463" t="s">
        <v>1047</v>
      </c>
      <c r="B192" s="470">
        <v>4215</v>
      </c>
      <c r="C192" s="551">
        <v>1791</v>
      </c>
      <c r="D192" s="468"/>
      <c r="E192" s="561"/>
      <c r="F192" s="468"/>
      <c r="G192" s="585"/>
      <c r="H192" s="468"/>
      <c r="I192" s="468"/>
      <c r="J192" s="468"/>
      <c r="K192" s="468"/>
    </row>
    <row r="193" spans="1:11" ht="12.75" customHeight="1" x14ac:dyDescent="0.2">
      <c r="A193" s="463" t="s">
        <v>1059</v>
      </c>
      <c r="B193" s="470">
        <v>4220</v>
      </c>
      <c r="C193" s="551">
        <v>81799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344880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473968</v>
      </c>
      <c r="D200" s="466"/>
      <c r="E200" s="468"/>
      <c r="F200" s="466"/>
      <c r="G200" s="466"/>
      <c r="H200" s="468"/>
      <c r="I200" s="468"/>
      <c r="J200" s="468"/>
      <c r="K200" s="468"/>
    </row>
    <row r="201" spans="1:11" ht="12.75" customHeight="1" x14ac:dyDescent="0.2">
      <c r="A201" s="463" t="s">
        <v>919</v>
      </c>
      <c r="B201" s="470">
        <v>4305</v>
      </c>
      <c r="C201" s="551">
        <v>42548</v>
      </c>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516516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6327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6327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50761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25195</v>
      </c>
      <c r="D263" s="576"/>
      <c r="E263" s="468"/>
      <c r="F263" s="576"/>
      <c r="G263" s="576"/>
      <c r="H263" s="468"/>
      <c r="I263" s="468"/>
      <c r="J263" s="468"/>
      <c r="K263" s="468"/>
    </row>
    <row r="264" spans="1:11" ht="12.75" customHeight="1" thickTop="1" thickBot="1" x14ac:dyDescent="0.25">
      <c r="A264" s="463" t="s">
        <v>377</v>
      </c>
      <c r="B264" s="470">
        <v>4992</v>
      </c>
      <c r="C264" s="575">
        <v>310935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1275682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1275682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11954324</v>
      </c>
      <c r="D268" s="1715">
        <f t="shared" si="12"/>
        <v>693555</v>
      </c>
      <c r="E268" s="1715">
        <f t="shared" si="12"/>
        <v>731005</v>
      </c>
      <c r="F268" s="1715">
        <f t="shared" si="12"/>
        <v>714015</v>
      </c>
      <c r="G268" s="1715">
        <f t="shared" si="12"/>
        <v>432316</v>
      </c>
      <c r="H268" s="1715">
        <f t="shared" si="12"/>
        <v>484374</v>
      </c>
      <c r="I268" s="1715">
        <f t="shared" si="12"/>
        <v>75511</v>
      </c>
      <c r="J268" s="1715">
        <f t="shared" si="12"/>
        <v>770242</v>
      </c>
      <c r="K268" s="1702">
        <f t="shared" si="12"/>
        <v>69379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67" firstPageNumber="9" orientation="landscape" useFirstPageNumber="1" r:id="rId1"/>
  <headerFooter alignWithMargins="0">
    <oddHeader>&amp;L&amp;8Page &amp;P&amp;C&amp;"Arial,Bold"&amp;9STATEMENT OF REVENUES RECEIVED/REVENUES
FOR THE YEAR ENDING JUNE 30, 2019&amp;R&amp;8Page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Normal="100" workbookViewId="0">
      <pane ySplit="2" topLeftCell="A339" activePane="bottomLeft" state="frozen"/>
      <selection pane="bottomLeft" activeCell="G363" sqref="G3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3" t="s">
        <v>297</v>
      </c>
      <c r="B3" s="217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3419613</v>
      </c>
      <c r="D5" s="466">
        <v>567466</v>
      </c>
      <c r="E5" s="466">
        <v>63527</v>
      </c>
      <c r="F5" s="466">
        <v>155083</v>
      </c>
      <c r="G5" s="466"/>
      <c r="H5" s="466">
        <v>2326</v>
      </c>
      <c r="I5" s="467">
        <v>16246</v>
      </c>
      <c r="J5" s="467"/>
      <c r="K5" s="1671">
        <f>SUM(C5:J5)</f>
        <v>4224261</v>
      </c>
      <c r="L5" s="466">
        <v>4390555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158821</v>
      </c>
      <c r="D7" s="467">
        <v>42091</v>
      </c>
      <c r="E7" s="467">
        <v>34464</v>
      </c>
      <c r="F7" s="467">
        <v>46148</v>
      </c>
      <c r="G7" s="467">
        <v>19315</v>
      </c>
      <c r="H7" s="467"/>
      <c r="I7" s="467">
        <v>5606</v>
      </c>
      <c r="J7" s="467"/>
      <c r="K7" s="1671">
        <f t="shared" ref="K7:K32" si="0">SUM(C7:J7)</f>
        <v>306445</v>
      </c>
      <c r="L7" s="466">
        <v>283096</v>
      </c>
    </row>
    <row r="8" spans="1:14" x14ac:dyDescent="0.2">
      <c r="A8" s="1504" t="s">
        <v>164</v>
      </c>
      <c r="B8" s="614">
        <v>1200</v>
      </c>
      <c r="C8" s="466">
        <v>1560024</v>
      </c>
      <c r="D8" s="466">
        <v>368687</v>
      </c>
      <c r="E8" s="466">
        <v>1361</v>
      </c>
      <c r="F8" s="466">
        <v>14346</v>
      </c>
      <c r="G8" s="466"/>
      <c r="H8" s="466"/>
      <c r="I8" s="467">
        <v>30658</v>
      </c>
      <c r="J8" s="467"/>
      <c r="K8" s="1671">
        <f t="shared" si="0"/>
        <v>1975076</v>
      </c>
      <c r="L8" s="466">
        <v>2137749</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148432</v>
      </c>
      <c r="D10" s="466">
        <v>82001</v>
      </c>
      <c r="E10" s="466">
        <v>134934</v>
      </c>
      <c r="F10" s="466">
        <v>112737</v>
      </c>
      <c r="G10" s="466"/>
      <c r="H10" s="466"/>
      <c r="I10" s="467">
        <v>11274</v>
      </c>
      <c r="J10" s="467"/>
      <c r="K10" s="1671">
        <f t="shared" si="0"/>
        <v>489378</v>
      </c>
      <c r="L10" s="466">
        <v>399385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289424</v>
      </c>
      <c r="D13" s="466">
        <v>47213</v>
      </c>
      <c r="E13" s="466">
        <v>1943</v>
      </c>
      <c r="F13" s="466">
        <v>34611</v>
      </c>
      <c r="G13" s="466"/>
      <c r="H13" s="466"/>
      <c r="I13" s="467"/>
      <c r="J13" s="467"/>
      <c r="K13" s="1671">
        <f t="shared" si="0"/>
        <v>373191</v>
      </c>
      <c r="L13" s="466">
        <v>340103</v>
      </c>
    </row>
    <row r="14" spans="1:14" x14ac:dyDescent="0.2">
      <c r="A14" s="1504" t="s">
        <v>963</v>
      </c>
      <c r="B14" s="614">
        <v>1500</v>
      </c>
      <c r="C14" s="466">
        <v>123333</v>
      </c>
      <c r="D14" s="466">
        <v>11332</v>
      </c>
      <c r="E14" s="466">
        <v>31731</v>
      </c>
      <c r="F14" s="466">
        <v>4339</v>
      </c>
      <c r="G14" s="466"/>
      <c r="H14" s="466"/>
      <c r="I14" s="467"/>
      <c r="J14" s="467"/>
      <c r="K14" s="1671">
        <f t="shared" si="0"/>
        <v>170735</v>
      </c>
      <c r="L14" s="466">
        <v>168515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74762</v>
      </c>
      <c r="D17" s="467">
        <v>9947</v>
      </c>
      <c r="E17" s="467">
        <v>191</v>
      </c>
      <c r="F17" s="467">
        <v>5516</v>
      </c>
      <c r="G17" s="467"/>
      <c r="H17" s="467"/>
      <c r="I17" s="467"/>
      <c r="J17" s="467"/>
      <c r="K17" s="1671">
        <f t="shared" si="0"/>
        <v>90416</v>
      </c>
      <c r="L17" s="466">
        <v>90505</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5774409</v>
      </c>
      <c r="D33" s="1670">
        <f t="shared" ref="D33:L33" si="1">SUM(D5:D32)</f>
        <v>1128737</v>
      </c>
      <c r="E33" s="1670">
        <f t="shared" si="1"/>
        <v>268151</v>
      </c>
      <c r="F33" s="1670">
        <f t="shared" si="1"/>
        <v>372780</v>
      </c>
      <c r="G33" s="1670">
        <f t="shared" si="1"/>
        <v>19315</v>
      </c>
      <c r="H33" s="1670">
        <f t="shared" si="1"/>
        <v>2326</v>
      </c>
      <c r="I33" s="1670">
        <f t="shared" si="1"/>
        <v>63784</v>
      </c>
      <c r="J33" s="1670">
        <f t="shared" si="1"/>
        <v>0</v>
      </c>
      <c r="K33" s="1670">
        <f t="shared" si="1"/>
        <v>7629502</v>
      </c>
      <c r="L33" s="1670">
        <f t="shared" si="1"/>
        <v>7809908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8009</v>
      </c>
      <c r="D36" s="481"/>
      <c r="E36" s="481"/>
      <c r="F36" s="481"/>
      <c r="G36" s="481"/>
      <c r="H36" s="481"/>
      <c r="I36" s="467"/>
      <c r="J36" s="467"/>
      <c r="K36" s="1671">
        <f t="shared" ref="K36:K41" si="2">SUM(C36:J36)</f>
        <v>8009</v>
      </c>
      <c r="L36" s="466">
        <v>16232</v>
      </c>
    </row>
    <row r="37" spans="1:14" x14ac:dyDescent="0.2">
      <c r="A37" s="1504" t="s">
        <v>1090</v>
      </c>
      <c r="B37" s="614">
        <v>2120</v>
      </c>
      <c r="C37" s="466">
        <v>250151</v>
      </c>
      <c r="D37" s="466">
        <v>37503</v>
      </c>
      <c r="E37" s="466"/>
      <c r="F37" s="466"/>
      <c r="G37" s="466"/>
      <c r="H37" s="466"/>
      <c r="I37" s="467"/>
      <c r="J37" s="467"/>
      <c r="K37" s="1671">
        <f t="shared" si="2"/>
        <v>287654</v>
      </c>
      <c r="L37" s="466">
        <v>313832</v>
      </c>
    </row>
    <row r="38" spans="1:14" x14ac:dyDescent="0.2">
      <c r="A38" s="1504" t="s">
        <v>198</v>
      </c>
      <c r="B38" s="614">
        <v>2130</v>
      </c>
      <c r="C38" s="466">
        <v>99451</v>
      </c>
      <c r="D38" s="466">
        <v>23116</v>
      </c>
      <c r="E38" s="466">
        <v>1800</v>
      </c>
      <c r="F38" s="466">
        <v>2540</v>
      </c>
      <c r="G38" s="466"/>
      <c r="H38" s="466"/>
      <c r="I38" s="467"/>
      <c r="J38" s="467"/>
      <c r="K38" s="1671">
        <f t="shared" si="2"/>
        <v>126907</v>
      </c>
      <c r="L38" s="466">
        <v>139855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113583</v>
      </c>
      <c r="D40" s="466">
        <v>10952</v>
      </c>
      <c r="E40" s="466"/>
      <c r="F40" s="466">
        <v>508</v>
      </c>
      <c r="G40" s="466"/>
      <c r="H40" s="466"/>
      <c r="I40" s="467"/>
      <c r="J40" s="467"/>
      <c r="K40" s="1671">
        <f t="shared" si="2"/>
        <v>125043</v>
      </c>
      <c r="L40" s="466">
        <v>125744</v>
      </c>
    </row>
    <row r="41" spans="1:14" x14ac:dyDescent="0.2">
      <c r="A41" s="1504" t="s">
        <v>1669</v>
      </c>
      <c r="B41" s="614">
        <v>2190</v>
      </c>
      <c r="C41" s="466">
        <v>46074</v>
      </c>
      <c r="D41" s="466">
        <v>2726</v>
      </c>
      <c r="E41" s="466"/>
      <c r="F41" s="466"/>
      <c r="G41" s="466"/>
      <c r="H41" s="466"/>
      <c r="I41" s="467"/>
      <c r="J41" s="467"/>
      <c r="K41" s="1671">
        <f t="shared" si="2"/>
        <v>48800</v>
      </c>
      <c r="L41" s="466">
        <v>58112</v>
      </c>
    </row>
    <row r="42" spans="1:14" ht="12.75" customHeight="1" thickBot="1" x14ac:dyDescent="0.25">
      <c r="A42" s="1668" t="s">
        <v>560</v>
      </c>
      <c r="B42" s="1669" t="s">
        <v>716</v>
      </c>
      <c r="C42" s="1670">
        <f>SUM(C36:C41)</f>
        <v>517268</v>
      </c>
      <c r="D42" s="1670">
        <f t="shared" ref="D42:L42" si="3">SUM(D36:D41)</f>
        <v>74297</v>
      </c>
      <c r="E42" s="1670">
        <f t="shared" si="3"/>
        <v>1800</v>
      </c>
      <c r="F42" s="1670">
        <f t="shared" si="3"/>
        <v>3048</v>
      </c>
      <c r="G42" s="1670">
        <f t="shared" si="3"/>
        <v>0</v>
      </c>
      <c r="H42" s="1670">
        <f t="shared" si="3"/>
        <v>0</v>
      </c>
      <c r="I42" s="1670">
        <f t="shared" si="3"/>
        <v>0</v>
      </c>
      <c r="J42" s="1670">
        <f t="shared" si="3"/>
        <v>0</v>
      </c>
      <c r="K42" s="1670">
        <f t="shared" si="3"/>
        <v>596413</v>
      </c>
      <c r="L42" s="1670">
        <f t="shared" si="3"/>
        <v>653775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120223</v>
      </c>
      <c r="D44" s="481">
        <v>33294</v>
      </c>
      <c r="E44" s="481"/>
      <c r="F44" s="481">
        <v>7058</v>
      </c>
      <c r="G44" s="481"/>
      <c r="H44" s="481"/>
      <c r="I44" s="467"/>
      <c r="J44" s="467"/>
      <c r="K44" s="1672">
        <f>SUM(C44:J44)</f>
        <v>160575</v>
      </c>
      <c r="L44" s="481">
        <v>134974</v>
      </c>
    </row>
    <row r="45" spans="1:14" x14ac:dyDescent="0.2">
      <c r="A45" s="1504" t="s">
        <v>815</v>
      </c>
      <c r="B45" s="614">
        <v>2220</v>
      </c>
      <c r="C45" s="466">
        <v>87659</v>
      </c>
      <c r="D45" s="466">
        <v>10418</v>
      </c>
      <c r="E45" s="466"/>
      <c r="F45" s="466">
        <v>2054</v>
      </c>
      <c r="G45" s="466"/>
      <c r="H45" s="466">
        <v>567</v>
      </c>
      <c r="I45" s="467"/>
      <c r="J45" s="467"/>
      <c r="K45" s="1672">
        <f>SUM(C45:J45)</f>
        <v>100698</v>
      </c>
      <c r="L45" s="466">
        <v>102678</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207882</v>
      </c>
      <c r="D47" s="1670">
        <f t="shared" ref="D47:K47" si="4">SUM(D44:D46)</f>
        <v>43712</v>
      </c>
      <c r="E47" s="1670">
        <f t="shared" si="4"/>
        <v>0</v>
      </c>
      <c r="F47" s="1670">
        <f t="shared" si="4"/>
        <v>9112</v>
      </c>
      <c r="G47" s="1670">
        <f t="shared" si="4"/>
        <v>0</v>
      </c>
      <c r="H47" s="1670">
        <f t="shared" si="4"/>
        <v>567</v>
      </c>
      <c r="I47" s="1670">
        <f t="shared" si="4"/>
        <v>0</v>
      </c>
      <c r="J47" s="1670">
        <f t="shared" si="4"/>
        <v>0</v>
      </c>
      <c r="K47" s="1670">
        <f t="shared" si="4"/>
        <v>261273</v>
      </c>
      <c r="L47" s="1670">
        <f>SUM(L44:L46)</f>
        <v>237652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19395</v>
      </c>
      <c r="F49" s="481"/>
      <c r="G49" s="481"/>
      <c r="H49" s="481">
        <v>4036</v>
      </c>
      <c r="I49" s="467"/>
      <c r="J49" s="467"/>
      <c r="K49" s="1672">
        <f>SUM(C49:J49)</f>
        <v>23431</v>
      </c>
      <c r="L49" s="481">
        <v>24350</v>
      </c>
    </row>
    <row r="50" spans="1:14" x14ac:dyDescent="0.2">
      <c r="A50" s="1504" t="s">
        <v>818</v>
      </c>
      <c r="B50" s="614">
        <v>2320</v>
      </c>
      <c r="C50" s="466">
        <v>141555</v>
      </c>
      <c r="D50" s="466">
        <v>11141</v>
      </c>
      <c r="E50" s="466">
        <v>15434</v>
      </c>
      <c r="F50" s="466">
        <v>10732</v>
      </c>
      <c r="G50" s="466"/>
      <c r="H50" s="466">
        <v>3073</v>
      </c>
      <c r="I50" s="467">
        <v>4452</v>
      </c>
      <c r="J50" s="467"/>
      <c r="K50" s="1672">
        <f>SUM(C50:J50)</f>
        <v>186387</v>
      </c>
      <c r="L50" s="466">
        <v>180752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141555</v>
      </c>
      <c r="D53" s="1670">
        <f t="shared" ref="D53:L53" si="5">SUM(D49:D52)</f>
        <v>11141</v>
      </c>
      <c r="E53" s="1670">
        <f t="shared" si="5"/>
        <v>34829</v>
      </c>
      <c r="F53" s="1670">
        <f t="shared" si="5"/>
        <v>10732</v>
      </c>
      <c r="G53" s="1670">
        <f t="shared" si="5"/>
        <v>0</v>
      </c>
      <c r="H53" s="1670">
        <f t="shared" si="5"/>
        <v>7109</v>
      </c>
      <c r="I53" s="1670">
        <f t="shared" si="5"/>
        <v>4452</v>
      </c>
      <c r="J53" s="1670">
        <f t="shared" si="5"/>
        <v>0</v>
      </c>
      <c r="K53" s="1670">
        <f t="shared" si="5"/>
        <v>209818</v>
      </c>
      <c r="L53" s="1670">
        <f t="shared" si="5"/>
        <v>205102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411440</v>
      </c>
      <c r="D55" s="481">
        <v>64830</v>
      </c>
      <c r="E55" s="481">
        <v>1642</v>
      </c>
      <c r="F55" s="481">
        <v>111</v>
      </c>
      <c r="G55" s="481"/>
      <c r="H55" s="481">
        <v>2747</v>
      </c>
      <c r="I55" s="467"/>
      <c r="J55" s="467"/>
      <c r="K55" s="1672">
        <f>SUM(C55:J55)</f>
        <v>480770</v>
      </c>
      <c r="L55" s="481">
        <v>474848</v>
      </c>
    </row>
    <row r="56" spans="1:14" ht="12.75" customHeight="1" x14ac:dyDescent="0.2">
      <c r="A56" s="1508" t="s">
        <v>376</v>
      </c>
      <c r="B56" s="628">
        <v>2490</v>
      </c>
      <c r="C56" s="466"/>
      <c r="D56" s="466"/>
      <c r="E56" s="466">
        <v>841</v>
      </c>
      <c r="F56" s="466">
        <v>2032</v>
      </c>
      <c r="G56" s="466"/>
      <c r="H56" s="466"/>
      <c r="I56" s="467"/>
      <c r="J56" s="467"/>
      <c r="K56" s="1672">
        <f>SUM(C56:J56)</f>
        <v>2873</v>
      </c>
      <c r="L56" s="466">
        <v>2200</v>
      </c>
    </row>
    <row r="57" spans="1:14" s="343" customFormat="1" ht="12.75" customHeight="1" thickBot="1" x14ac:dyDescent="0.25">
      <c r="A57" s="1668" t="s">
        <v>263</v>
      </c>
      <c r="B57" s="1673" t="s">
        <v>34</v>
      </c>
      <c r="C57" s="1674">
        <f>SUM(C55:C56)</f>
        <v>411440</v>
      </c>
      <c r="D57" s="1674">
        <f t="shared" ref="D57:K57" si="6">SUM(D55:D56)</f>
        <v>64830</v>
      </c>
      <c r="E57" s="1674">
        <f t="shared" si="6"/>
        <v>2483</v>
      </c>
      <c r="F57" s="1674">
        <f t="shared" si="6"/>
        <v>2143</v>
      </c>
      <c r="G57" s="1674">
        <f t="shared" si="6"/>
        <v>0</v>
      </c>
      <c r="H57" s="1674">
        <f t="shared" si="6"/>
        <v>2747</v>
      </c>
      <c r="I57" s="1674">
        <f t="shared" si="6"/>
        <v>0</v>
      </c>
      <c r="J57" s="1674">
        <f t="shared" si="6"/>
        <v>0</v>
      </c>
      <c r="K57" s="1674">
        <f t="shared" si="6"/>
        <v>483643</v>
      </c>
      <c r="L57" s="1670">
        <f>SUM(L55:L56)</f>
        <v>477048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21569</v>
      </c>
      <c r="D59" s="481">
        <v>170</v>
      </c>
      <c r="E59" s="481"/>
      <c r="F59" s="481"/>
      <c r="G59" s="481"/>
      <c r="H59" s="481"/>
      <c r="I59" s="467"/>
      <c r="J59" s="467"/>
      <c r="K59" s="1672">
        <f t="shared" ref="K59:K64" si="7">SUM(C59:J59)</f>
        <v>21739</v>
      </c>
      <c r="L59" s="481">
        <v>22082</v>
      </c>
      <c r="M59" s="609"/>
      <c r="N59" s="609"/>
    </row>
    <row r="60" spans="1:14" s="343" customFormat="1" x14ac:dyDescent="0.2">
      <c r="A60" s="1504" t="s">
        <v>463</v>
      </c>
      <c r="B60" s="614">
        <v>2520</v>
      </c>
      <c r="C60" s="466">
        <v>49611</v>
      </c>
      <c r="D60" s="466">
        <v>8112</v>
      </c>
      <c r="E60" s="466"/>
      <c r="F60" s="466"/>
      <c r="G60" s="466"/>
      <c r="H60" s="466"/>
      <c r="I60" s="467"/>
      <c r="J60" s="467"/>
      <c r="K60" s="1672">
        <f t="shared" si="7"/>
        <v>57723</v>
      </c>
      <c r="L60" s="466">
        <v>52633</v>
      </c>
      <c r="M60" s="609"/>
      <c r="N60" s="609"/>
    </row>
    <row r="61" spans="1:14" s="343" customFormat="1" x14ac:dyDescent="0.2">
      <c r="A61" s="1504" t="s">
        <v>197</v>
      </c>
      <c r="B61" s="614">
        <v>2540</v>
      </c>
      <c r="C61" s="466">
        <v>18608</v>
      </c>
      <c r="D61" s="466">
        <v>494</v>
      </c>
      <c r="E61" s="466">
        <v>78110</v>
      </c>
      <c r="F61" s="466">
        <v>213075</v>
      </c>
      <c r="G61" s="466"/>
      <c r="H61" s="466">
        <v>8958</v>
      </c>
      <c r="I61" s="467"/>
      <c r="J61" s="467"/>
      <c r="K61" s="1672">
        <f t="shared" si="7"/>
        <v>319245</v>
      </c>
      <c r="L61" s="466">
        <v>301226</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155775</v>
      </c>
      <c r="D63" s="466">
        <v>77798</v>
      </c>
      <c r="E63" s="466">
        <v>19245</v>
      </c>
      <c r="F63" s="466">
        <v>218637</v>
      </c>
      <c r="G63" s="466"/>
      <c r="H63" s="466"/>
      <c r="I63" s="467">
        <v>2589</v>
      </c>
      <c r="J63" s="467"/>
      <c r="K63" s="1672">
        <f t="shared" si="7"/>
        <v>474044</v>
      </c>
      <c r="L63" s="466">
        <v>512041</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245563</v>
      </c>
      <c r="D65" s="1670">
        <f t="shared" ref="D65:L65" si="8">SUM(D59:D64)</f>
        <v>86574</v>
      </c>
      <c r="E65" s="1670">
        <f t="shared" si="8"/>
        <v>97355</v>
      </c>
      <c r="F65" s="1670">
        <f t="shared" si="8"/>
        <v>431712</v>
      </c>
      <c r="G65" s="1670">
        <f t="shared" si="8"/>
        <v>0</v>
      </c>
      <c r="H65" s="1670">
        <f t="shared" si="8"/>
        <v>8958</v>
      </c>
      <c r="I65" s="1670">
        <f t="shared" si="8"/>
        <v>2589</v>
      </c>
      <c r="J65" s="1670">
        <f t="shared" si="8"/>
        <v>0</v>
      </c>
      <c r="K65" s="1670">
        <f t="shared" si="8"/>
        <v>872751</v>
      </c>
      <c r="L65" s="1670">
        <f t="shared" si="8"/>
        <v>887982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1523708</v>
      </c>
      <c r="D74" s="1677">
        <f t="shared" ref="D74:K74" si="10">SUM(D42,D47,D53,D57,D65,D72,D73)</f>
        <v>280554</v>
      </c>
      <c r="E74" s="1677">
        <f t="shared" si="10"/>
        <v>136467</v>
      </c>
      <c r="F74" s="1677">
        <f t="shared" si="10"/>
        <v>456747</v>
      </c>
      <c r="G74" s="1677">
        <f t="shared" si="10"/>
        <v>0</v>
      </c>
      <c r="H74" s="1677">
        <f t="shared" si="10"/>
        <v>19381</v>
      </c>
      <c r="I74" s="1677">
        <f t="shared" si="10"/>
        <v>7041</v>
      </c>
      <c r="J74" s="1677">
        <f t="shared" si="10"/>
        <v>0</v>
      </c>
      <c r="K74" s="1677">
        <f t="shared" si="10"/>
        <v>2423898</v>
      </c>
      <c r="L74" s="1677">
        <f>SUM(L42,L47,L53,L57,L65,L72,L73)</f>
        <v>2461559</v>
      </c>
    </row>
    <row r="75" spans="1:14" s="259" customFormat="1" ht="15.75" customHeight="1" thickTop="1" thickBot="1" x14ac:dyDescent="0.25">
      <c r="A75" s="1610" t="s">
        <v>47</v>
      </c>
      <c r="B75" s="1611" t="s">
        <v>575</v>
      </c>
      <c r="C75" s="573"/>
      <c r="D75" s="573"/>
      <c r="E75" s="573">
        <v>1200</v>
      </c>
      <c r="F75" s="573"/>
      <c r="G75" s="573"/>
      <c r="H75" s="573">
        <v>78118</v>
      </c>
      <c r="I75" s="531"/>
      <c r="J75" s="531"/>
      <c r="K75" s="1670">
        <f>SUM(C75:J75)</f>
        <v>79318</v>
      </c>
      <c r="L75" s="576">
        <v>46200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238647</v>
      </c>
      <c r="I86" s="477"/>
      <c r="J86" s="477"/>
      <c r="K86" s="1677">
        <f t="shared" ref="K86:K98" si="12">H86</f>
        <v>238647</v>
      </c>
      <c r="L86" s="530">
        <v>238000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238647</v>
      </c>
      <c r="I92" s="477"/>
      <c r="J92" s="477"/>
      <c r="K92" s="1677">
        <f t="shared" si="12"/>
        <v>238647</v>
      </c>
      <c r="L92" s="1670">
        <f>SUM(L85:L91)</f>
        <v>238000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238647</v>
      </c>
      <c r="I102" s="477"/>
      <c r="J102" s="477"/>
      <c r="K102" s="1677">
        <f>SUM(K84,K92,K100,K101)</f>
        <v>238647</v>
      </c>
      <c r="L102" s="1677">
        <f>SUM(L84,L92,L100,L101)</f>
        <v>238000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7298117</v>
      </c>
      <c r="D114" s="1670">
        <f t="shared" ref="D114:K114" si="13">SUM(D33,D74,D75,D102,D112,D113)</f>
        <v>1409291</v>
      </c>
      <c r="E114" s="1670">
        <f t="shared" si="13"/>
        <v>405818</v>
      </c>
      <c r="F114" s="1670">
        <f t="shared" si="13"/>
        <v>829527</v>
      </c>
      <c r="G114" s="1670">
        <f t="shared" si="13"/>
        <v>19315</v>
      </c>
      <c r="H114" s="1670">
        <f>SUM(H33,H74,H75,H102,H112,H113)</f>
        <v>338472</v>
      </c>
      <c r="I114" s="1670">
        <f t="shared" si="13"/>
        <v>70825</v>
      </c>
      <c r="J114" s="1670">
        <f t="shared" si="13"/>
        <v>0</v>
      </c>
      <c r="K114" s="1670">
        <f t="shared" si="13"/>
        <v>10371365</v>
      </c>
      <c r="L114" s="1670">
        <f>SUM(L33,L74,L75,L102,L112,L113)</f>
        <v>10555667</v>
      </c>
    </row>
    <row r="115" spans="1:14" ht="13.5" thickTop="1" x14ac:dyDescent="0.2">
      <c r="A115" s="2165" t="s">
        <v>996</v>
      </c>
      <c r="B115" s="2166"/>
      <c r="C115" s="618"/>
      <c r="D115" s="618"/>
      <c r="E115" s="618"/>
      <c r="F115" s="618"/>
      <c r="G115" s="618"/>
      <c r="H115" s="618"/>
      <c r="I115" s="618"/>
      <c r="J115" s="618"/>
      <c r="K115" s="1684">
        <f>'Revenues 9-14'!C268-'Expenditures 15-22'!K114</f>
        <v>1582959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296</v>
      </c>
      <c r="B117" s="217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335585</v>
      </c>
      <c r="D124" s="466">
        <v>91431</v>
      </c>
      <c r="E124" s="466">
        <v>106340</v>
      </c>
      <c r="F124" s="466">
        <v>55794</v>
      </c>
      <c r="G124" s="466">
        <v>21600</v>
      </c>
      <c r="H124" s="466">
        <v>31369</v>
      </c>
      <c r="I124" s="467"/>
      <c r="J124" s="467"/>
      <c r="K124" s="1670">
        <f>SUM(C124:J124)</f>
        <v>642119</v>
      </c>
      <c r="L124" s="466">
        <v>626686</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335585</v>
      </c>
      <c r="D127" s="1670">
        <f t="shared" ref="D127:L127" si="14">SUM(D122:D126)</f>
        <v>91431</v>
      </c>
      <c r="E127" s="1670">
        <f t="shared" si="14"/>
        <v>106340</v>
      </c>
      <c r="F127" s="1670">
        <f t="shared" si="14"/>
        <v>55794</v>
      </c>
      <c r="G127" s="1670">
        <f t="shared" si="14"/>
        <v>21600</v>
      </c>
      <c r="H127" s="1670">
        <f t="shared" si="14"/>
        <v>31369</v>
      </c>
      <c r="I127" s="1670">
        <f t="shared" si="14"/>
        <v>0</v>
      </c>
      <c r="J127" s="1670">
        <f t="shared" si="14"/>
        <v>0</v>
      </c>
      <c r="K127" s="1670">
        <f t="shared" si="14"/>
        <v>642119</v>
      </c>
      <c r="L127" s="1670">
        <f t="shared" si="14"/>
        <v>626686</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335585</v>
      </c>
      <c r="D129" s="1677">
        <f t="shared" ref="D129:L129" si="15">SUM(D120,D127,D128)</f>
        <v>91431</v>
      </c>
      <c r="E129" s="1677">
        <f t="shared" si="15"/>
        <v>106340</v>
      </c>
      <c r="F129" s="1677">
        <f t="shared" si="15"/>
        <v>55794</v>
      </c>
      <c r="G129" s="1677">
        <f t="shared" si="15"/>
        <v>21600</v>
      </c>
      <c r="H129" s="1677">
        <f t="shared" si="15"/>
        <v>31369</v>
      </c>
      <c r="I129" s="1677">
        <f t="shared" si="15"/>
        <v>0</v>
      </c>
      <c r="J129" s="1677">
        <f t="shared" si="15"/>
        <v>0</v>
      </c>
      <c r="K129" s="1677">
        <f t="shared" si="15"/>
        <v>642119</v>
      </c>
      <c r="L129" s="1677">
        <f t="shared" si="15"/>
        <v>626686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2" t="s">
        <v>620</v>
      </c>
      <c r="B151" s="2162"/>
      <c r="C151" s="1670">
        <f>SUM(C129,C130,C139,C149,C150)</f>
        <v>335585</v>
      </c>
      <c r="D151" s="1670">
        <f t="shared" ref="D151:K151" si="16">SUM(D129,D130,D139,D149,D150)</f>
        <v>91431</v>
      </c>
      <c r="E151" s="1670">
        <f t="shared" si="16"/>
        <v>106340</v>
      </c>
      <c r="F151" s="1670">
        <f t="shared" si="16"/>
        <v>55794</v>
      </c>
      <c r="G151" s="1670">
        <f t="shared" si="16"/>
        <v>21600</v>
      </c>
      <c r="H151" s="1670">
        <f t="shared" si="16"/>
        <v>31369</v>
      </c>
      <c r="I151" s="1670">
        <f t="shared" si="16"/>
        <v>0</v>
      </c>
      <c r="J151" s="1670">
        <f t="shared" si="16"/>
        <v>0</v>
      </c>
      <c r="K151" s="1670">
        <f t="shared" si="16"/>
        <v>642119</v>
      </c>
      <c r="L151" s="1670">
        <f>SUM(L129,L130,L139,L149,L150)</f>
        <v>626686</v>
      </c>
    </row>
    <row r="152" spans="1:14" ht="12.75" customHeight="1" thickTop="1" x14ac:dyDescent="0.2">
      <c r="A152" s="2185" t="s">
        <v>1178</v>
      </c>
      <c r="B152" s="2186"/>
      <c r="C152" s="618"/>
      <c r="D152" s="618"/>
      <c r="E152" s="618"/>
      <c r="F152" s="618"/>
      <c r="G152" s="618"/>
      <c r="H152" s="618"/>
      <c r="I152" s="618"/>
      <c r="J152" s="616"/>
      <c r="K152" s="1684">
        <f>'Revenues 9-14'!D268-'Expenditures 15-22'!K151</f>
        <v>51436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621</v>
      </c>
      <c r="B154" s="217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264540</v>
      </c>
      <c r="I169" s="616"/>
      <c r="J169" s="616"/>
      <c r="K169" s="1671">
        <f>SUM(C169:H169)</f>
        <v>264540</v>
      </c>
      <c r="L169" s="656">
        <v>264540</v>
      </c>
    </row>
    <row r="170" spans="1:14" ht="33.75" customHeight="1" x14ac:dyDescent="0.2">
      <c r="A170" s="669" t="s">
        <v>1670</v>
      </c>
      <c r="B170" s="671" t="s">
        <v>31</v>
      </c>
      <c r="C170" s="616"/>
      <c r="D170" s="616"/>
      <c r="E170" s="616"/>
      <c r="F170" s="616"/>
      <c r="G170" s="616"/>
      <c r="H170" s="569">
        <v>465000</v>
      </c>
      <c r="I170" s="616"/>
      <c r="J170" s="616"/>
      <c r="K170" s="1671">
        <f>SUM(C170:J170)</f>
        <v>465000</v>
      </c>
      <c r="L170" s="569">
        <v>465000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729540</v>
      </c>
      <c r="I172" s="638"/>
      <c r="J172" s="616"/>
      <c r="K172" s="1677">
        <f>SUM(K168,K169,K170,K171)</f>
        <v>729540</v>
      </c>
      <c r="L172" s="1677">
        <f>SUM(L168,L169,L170,L171)</f>
        <v>729540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729540</v>
      </c>
      <c r="I174" s="638"/>
      <c r="J174" s="616"/>
      <c r="K174" s="1677">
        <f>SUM(K160,K172,K173)</f>
        <v>729540</v>
      </c>
      <c r="L174" s="1677">
        <f>SUM(L160,L172,L173)</f>
        <v>729540</v>
      </c>
    </row>
    <row r="175" spans="1:14" ht="13.5" thickTop="1" x14ac:dyDescent="0.2">
      <c r="A175" s="2165" t="s">
        <v>996</v>
      </c>
      <c r="B175" s="2166"/>
      <c r="C175" s="616"/>
      <c r="D175" s="616"/>
      <c r="E175" s="616"/>
      <c r="F175" s="616"/>
      <c r="G175" s="616"/>
      <c r="H175" s="618"/>
      <c r="I175" s="616"/>
      <c r="J175" s="616"/>
      <c r="K175" s="1684">
        <f>'Revenues 9-14'!E268-'Expenditures 15-22'!K174</f>
        <v>1465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249467</v>
      </c>
      <c r="D182" s="466">
        <v>92126</v>
      </c>
      <c r="E182" s="466">
        <v>36387</v>
      </c>
      <c r="F182" s="466">
        <v>95863</v>
      </c>
      <c r="G182" s="466">
        <v>659958</v>
      </c>
      <c r="H182" s="466"/>
      <c r="I182" s="467"/>
      <c r="J182" s="467"/>
      <c r="K182" s="1671">
        <f>SUM(C182:J182)</f>
        <v>1133801</v>
      </c>
      <c r="L182" s="466">
        <v>705689</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249467</v>
      </c>
      <c r="D184" s="1677">
        <f t="shared" ref="D184:J184" si="17">SUM(D180,D182,D183)</f>
        <v>92126</v>
      </c>
      <c r="E184" s="1677">
        <f t="shared" si="17"/>
        <v>36387</v>
      </c>
      <c r="F184" s="1677">
        <f t="shared" si="17"/>
        <v>95863</v>
      </c>
      <c r="G184" s="1677">
        <f t="shared" si="17"/>
        <v>659958</v>
      </c>
      <c r="H184" s="1677">
        <f t="shared" si="17"/>
        <v>0</v>
      </c>
      <c r="I184" s="1677">
        <f t="shared" si="17"/>
        <v>0</v>
      </c>
      <c r="J184" s="1677">
        <f t="shared" si="17"/>
        <v>0</v>
      </c>
      <c r="K184" s="1677">
        <f>SUM(K180,K182,K183)</f>
        <v>1133801</v>
      </c>
      <c r="L184" s="1677">
        <f>SUM(L180, L182:L183)</f>
        <v>705689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v>139295</v>
      </c>
      <c r="I206" s="616"/>
      <c r="J206" s="616"/>
      <c r="K206" s="1671">
        <f>SUM(H206)</f>
        <v>139295</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139295</v>
      </c>
      <c r="I208" s="616"/>
      <c r="J208" s="616"/>
      <c r="K208" s="1677">
        <f>SUM(K204,K205,K206,K207)</f>
        <v>139295</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249467</v>
      </c>
      <c r="D210" s="1670">
        <f>SUM(D184,D185)</f>
        <v>92126</v>
      </c>
      <c r="E210" s="1670">
        <f>SUM(E184,E185,E196)</f>
        <v>36387</v>
      </c>
      <c r="F210" s="1670">
        <f>SUM(F184,F185)</f>
        <v>95863</v>
      </c>
      <c r="G210" s="1670">
        <f>SUM(G184,G185)</f>
        <v>659958</v>
      </c>
      <c r="H210" s="1670">
        <f>SUM(H184,H185,H196,H208,H209)</f>
        <v>139295</v>
      </c>
      <c r="I210" s="1670">
        <f>SUM(I184,I185)</f>
        <v>0</v>
      </c>
      <c r="J210" s="1670">
        <f>SUM(J184,J185)</f>
        <v>0</v>
      </c>
      <c r="K210" s="1671">
        <f>SUM(K184,K185,K196,K208,K209)</f>
        <v>1273096</v>
      </c>
      <c r="L210" s="1670">
        <f>SUM(L184,L185,L196,L208,L209)</f>
        <v>705689</v>
      </c>
    </row>
    <row r="211" spans="1:14" ht="13.5" thickTop="1" x14ac:dyDescent="0.2">
      <c r="A211" s="2165" t="s">
        <v>996</v>
      </c>
      <c r="B211" s="2166"/>
      <c r="C211" s="618"/>
      <c r="D211" s="618"/>
      <c r="E211" s="618"/>
      <c r="F211" s="618"/>
      <c r="G211" s="618"/>
      <c r="H211" s="618"/>
      <c r="I211" s="616"/>
      <c r="J211" s="616"/>
      <c r="K211" s="1684">
        <f>'Revenues 9-14'!F268-'Expenditures 15-22'!K210</f>
        <v>-559081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7" t="s">
        <v>965</v>
      </c>
      <c r="B213" s="218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76486</v>
      </c>
      <c r="E215" s="616"/>
      <c r="F215" s="616"/>
      <c r="G215" s="616"/>
      <c r="H215" s="616"/>
      <c r="I215" s="616"/>
      <c r="J215" s="616"/>
      <c r="K215" s="1671">
        <f>D215</f>
        <v>76486</v>
      </c>
      <c r="L215" s="466">
        <v>64747</v>
      </c>
    </row>
    <row r="216" spans="1:14" x14ac:dyDescent="0.2">
      <c r="A216" s="1504" t="s">
        <v>163</v>
      </c>
      <c r="B216" s="614" t="s">
        <v>967</v>
      </c>
      <c r="C216" s="616"/>
      <c r="D216" s="467">
        <v>12674</v>
      </c>
      <c r="E216" s="616"/>
      <c r="F216" s="616"/>
      <c r="G216" s="616"/>
      <c r="H216" s="616"/>
      <c r="I216" s="616"/>
      <c r="J216" s="616"/>
      <c r="K216" s="1671">
        <f t="shared" ref="K216:K228" si="19">D216</f>
        <v>12674</v>
      </c>
      <c r="L216" s="466">
        <v>12393</v>
      </c>
    </row>
    <row r="217" spans="1:14" x14ac:dyDescent="0.2">
      <c r="A217" s="1504" t="s">
        <v>164</v>
      </c>
      <c r="B217" s="614">
        <v>1200</v>
      </c>
      <c r="C217" s="616"/>
      <c r="D217" s="466">
        <v>108121</v>
      </c>
      <c r="E217" s="616"/>
      <c r="F217" s="616"/>
      <c r="G217" s="616"/>
      <c r="H217" s="616"/>
      <c r="I217" s="616"/>
      <c r="J217" s="616"/>
      <c r="K217" s="1671">
        <f t="shared" si="19"/>
        <v>108121</v>
      </c>
      <c r="L217" s="466">
        <v>107923</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32840</v>
      </c>
      <c r="E219" s="616"/>
      <c r="F219" s="616"/>
      <c r="G219" s="616"/>
      <c r="H219" s="616"/>
      <c r="I219" s="616"/>
      <c r="J219" s="616"/>
      <c r="K219" s="1671">
        <f t="shared" si="19"/>
        <v>32840</v>
      </c>
      <c r="L219" s="466">
        <v>31224</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4098</v>
      </c>
      <c r="E222" s="616"/>
      <c r="F222" s="616"/>
      <c r="G222" s="616"/>
      <c r="H222" s="616"/>
      <c r="I222" s="616"/>
      <c r="J222" s="616"/>
      <c r="K222" s="1671">
        <f t="shared" si="19"/>
        <v>4098</v>
      </c>
      <c r="L222" s="466">
        <v>4238</v>
      </c>
    </row>
    <row r="223" spans="1:14" x14ac:dyDescent="0.2">
      <c r="A223" s="1504" t="s">
        <v>963</v>
      </c>
      <c r="B223" s="614">
        <v>1500</v>
      </c>
      <c r="C223" s="616"/>
      <c r="D223" s="466">
        <v>4271</v>
      </c>
      <c r="E223" s="616"/>
      <c r="F223" s="616"/>
      <c r="G223" s="616"/>
      <c r="H223" s="616"/>
      <c r="I223" s="616"/>
      <c r="J223" s="616"/>
      <c r="K223" s="1671">
        <f t="shared" si="19"/>
        <v>4271</v>
      </c>
      <c r="L223" s="466">
        <v>7627</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1052</v>
      </c>
      <c r="E226" s="616"/>
      <c r="F226" s="616"/>
      <c r="G226" s="616"/>
      <c r="H226" s="616"/>
      <c r="I226" s="616"/>
      <c r="J226" s="616"/>
      <c r="K226" s="1671">
        <f t="shared" si="19"/>
        <v>1052</v>
      </c>
      <c r="L226" s="466">
        <v>1059</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239542</v>
      </c>
      <c r="E229" s="616"/>
      <c r="F229" s="616"/>
      <c r="G229" s="616"/>
      <c r="H229" s="616"/>
      <c r="I229" s="616"/>
      <c r="J229" s="616"/>
      <c r="K229" s="1670">
        <f>SUM(K215:K228)</f>
        <v>239542</v>
      </c>
      <c r="L229" s="1670">
        <f>SUM(L215:L228)</f>
        <v>229211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615</v>
      </c>
      <c r="E232" s="616"/>
      <c r="F232" s="616"/>
      <c r="G232" s="616"/>
      <c r="H232" s="616"/>
      <c r="I232" s="616"/>
      <c r="J232" s="616"/>
      <c r="K232" s="1671">
        <f t="shared" ref="K232:K237" si="20">D232</f>
        <v>615</v>
      </c>
      <c r="L232" s="466">
        <v>1884</v>
      </c>
    </row>
    <row r="233" spans="1:12" x14ac:dyDescent="0.2">
      <c r="A233" s="1504" t="s">
        <v>1090</v>
      </c>
      <c r="B233" s="614">
        <v>2120</v>
      </c>
      <c r="C233" s="616"/>
      <c r="D233" s="466">
        <v>7198</v>
      </c>
      <c r="E233" s="616"/>
      <c r="F233" s="616"/>
      <c r="G233" s="616"/>
      <c r="H233" s="616"/>
      <c r="I233" s="616"/>
      <c r="J233" s="616"/>
      <c r="K233" s="1671">
        <f t="shared" si="20"/>
        <v>7198</v>
      </c>
      <c r="L233" s="466">
        <v>7326</v>
      </c>
    </row>
    <row r="234" spans="1:12" x14ac:dyDescent="0.2">
      <c r="A234" s="1504" t="s">
        <v>198</v>
      </c>
      <c r="B234" s="614">
        <v>2130</v>
      </c>
      <c r="C234" s="616"/>
      <c r="D234" s="466">
        <v>13758</v>
      </c>
      <c r="E234" s="616"/>
      <c r="F234" s="616"/>
      <c r="G234" s="616"/>
      <c r="H234" s="616"/>
      <c r="I234" s="616"/>
      <c r="J234" s="616"/>
      <c r="K234" s="1671">
        <f t="shared" si="20"/>
        <v>13758</v>
      </c>
      <c r="L234" s="466">
        <v>14013</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1553</v>
      </c>
      <c r="E236" s="616"/>
      <c r="F236" s="616"/>
      <c r="G236" s="616"/>
      <c r="H236" s="616"/>
      <c r="I236" s="616"/>
      <c r="J236" s="616"/>
      <c r="K236" s="1671">
        <f t="shared" si="20"/>
        <v>1553</v>
      </c>
      <c r="L236" s="466">
        <v>1564</v>
      </c>
    </row>
    <row r="237" spans="1:12" x14ac:dyDescent="0.2">
      <c r="A237" s="1504" t="s">
        <v>165</v>
      </c>
      <c r="B237" s="614">
        <v>2190</v>
      </c>
      <c r="C237" s="616"/>
      <c r="D237" s="466">
        <v>4425</v>
      </c>
      <c r="E237" s="616"/>
      <c r="F237" s="616"/>
      <c r="G237" s="616"/>
      <c r="H237" s="616"/>
      <c r="I237" s="616"/>
      <c r="J237" s="616"/>
      <c r="K237" s="1671">
        <f t="shared" si="20"/>
        <v>4425</v>
      </c>
      <c r="L237" s="466">
        <v>9663</v>
      </c>
    </row>
    <row r="238" spans="1:12" ht="12.75" customHeight="1" thickBot="1" x14ac:dyDescent="0.25">
      <c r="A238" s="1668" t="s">
        <v>560</v>
      </c>
      <c r="B238" s="1675" t="s">
        <v>716</v>
      </c>
      <c r="C238" s="616"/>
      <c r="D238" s="1670">
        <f>SUM(D232:D237)</f>
        <v>27549</v>
      </c>
      <c r="E238" s="616"/>
      <c r="F238" s="616"/>
      <c r="G238" s="616"/>
      <c r="H238" s="616"/>
      <c r="I238" s="616"/>
      <c r="J238" s="616"/>
      <c r="K238" s="1670">
        <f>SUM(K232:K237)</f>
        <v>27549</v>
      </c>
      <c r="L238" s="1670">
        <f>SUM(L232:L237)</f>
        <v>34450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2219</v>
      </c>
      <c r="E240" s="616"/>
      <c r="F240" s="616"/>
      <c r="G240" s="616"/>
      <c r="H240" s="616"/>
      <c r="I240" s="616"/>
      <c r="J240" s="616"/>
      <c r="K240" s="1672">
        <f>D240</f>
        <v>2219</v>
      </c>
      <c r="L240" s="481">
        <v>818</v>
      </c>
    </row>
    <row r="241" spans="1:12" x14ac:dyDescent="0.2">
      <c r="A241" s="1504" t="s">
        <v>815</v>
      </c>
      <c r="B241" s="614">
        <v>2220</v>
      </c>
      <c r="C241" s="616"/>
      <c r="D241" s="466">
        <v>1315</v>
      </c>
      <c r="E241" s="616"/>
      <c r="F241" s="616"/>
      <c r="G241" s="616"/>
      <c r="H241" s="616"/>
      <c r="I241" s="616"/>
      <c r="J241" s="616"/>
      <c r="K241" s="1672">
        <f>D241</f>
        <v>1315</v>
      </c>
      <c r="L241" s="466">
        <v>1270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3534</v>
      </c>
      <c r="E243" s="616"/>
      <c r="F243" s="616"/>
      <c r="G243" s="616"/>
      <c r="H243" s="616"/>
      <c r="I243" s="616"/>
      <c r="J243" s="616"/>
      <c r="K243" s="1670">
        <f>SUM(K240:K242)</f>
        <v>3534</v>
      </c>
      <c r="L243" s="1670">
        <f>SUM(L240:L242)</f>
        <v>2088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13054</v>
      </c>
      <c r="E246" s="616"/>
      <c r="F246" s="616"/>
      <c r="G246" s="616"/>
      <c r="H246" s="616"/>
      <c r="I246" s="616"/>
      <c r="J246" s="616"/>
      <c r="K246" s="1672">
        <f t="shared" ref="K246:K256" si="21">D246</f>
        <v>13054</v>
      </c>
      <c r="L246" s="466">
        <v>12456</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13054</v>
      </c>
      <c r="E257" s="616"/>
      <c r="F257" s="616"/>
      <c r="G257" s="616"/>
      <c r="H257" s="616"/>
      <c r="I257" s="616"/>
      <c r="J257" s="616"/>
      <c r="K257" s="1670">
        <f>SUM(K245:K256)</f>
        <v>13054</v>
      </c>
      <c r="L257" s="1670">
        <f>SUM(L245:L256)</f>
        <v>12456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18194</v>
      </c>
      <c r="E259" s="616"/>
      <c r="F259" s="616"/>
      <c r="G259" s="616"/>
      <c r="H259" s="616"/>
      <c r="I259" s="616"/>
      <c r="J259" s="616"/>
      <c r="K259" s="1672">
        <f>D259</f>
        <v>18194</v>
      </c>
      <c r="L259" s="481">
        <v>16785</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18194</v>
      </c>
      <c r="E261" s="616"/>
      <c r="F261" s="616"/>
      <c r="G261" s="616"/>
      <c r="H261" s="616"/>
      <c r="I261" s="616"/>
      <c r="J261" s="616"/>
      <c r="K261" s="1670">
        <f>SUM(K259:K260)</f>
        <v>18194</v>
      </c>
      <c r="L261" s="1670">
        <f>SUM(L259:L260)</f>
        <v>16785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313</v>
      </c>
    </row>
    <row r="264" spans="1:14" x14ac:dyDescent="0.2">
      <c r="A264" s="1504" t="s">
        <v>463</v>
      </c>
      <c r="B264" s="685">
        <v>2520</v>
      </c>
      <c r="C264" s="616"/>
      <c r="D264" s="466">
        <v>12050</v>
      </c>
      <c r="E264" s="616"/>
      <c r="F264" s="616"/>
      <c r="G264" s="616"/>
      <c r="H264" s="616"/>
      <c r="I264" s="616"/>
      <c r="J264" s="616"/>
      <c r="K264" s="1672">
        <f t="shared" ref="K264:K269" si="22">D264</f>
        <v>12050</v>
      </c>
      <c r="L264" s="466">
        <v>11844</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85009</v>
      </c>
      <c r="E266" s="616"/>
      <c r="F266" s="616"/>
      <c r="G266" s="616"/>
      <c r="H266" s="616"/>
      <c r="I266" s="616"/>
      <c r="J266" s="616"/>
      <c r="K266" s="1672">
        <f t="shared" si="22"/>
        <v>85009</v>
      </c>
      <c r="L266" s="466">
        <v>95926</v>
      </c>
    </row>
    <row r="267" spans="1:14" x14ac:dyDescent="0.2">
      <c r="A267" s="1504" t="s">
        <v>953</v>
      </c>
      <c r="B267" s="614">
        <v>2550</v>
      </c>
      <c r="C267" s="616"/>
      <c r="D267" s="466">
        <v>60927</v>
      </c>
      <c r="E267" s="616"/>
      <c r="F267" s="616"/>
      <c r="G267" s="616"/>
      <c r="H267" s="616"/>
      <c r="I267" s="616"/>
      <c r="J267" s="616"/>
      <c r="K267" s="1672">
        <f t="shared" si="22"/>
        <v>60927</v>
      </c>
      <c r="L267" s="466">
        <v>48600</v>
      </c>
    </row>
    <row r="268" spans="1:14" x14ac:dyDescent="0.2">
      <c r="A268" s="1504" t="s">
        <v>100</v>
      </c>
      <c r="B268" s="614">
        <v>2560</v>
      </c>
      <c r="C268" s="616"/>
      <c r="D268" s="466">
        <v>40854</v>
      </c>
      <c r="E268" s="616"/>
      <c r="F268" s="616"/>
      <c r="G268" s="616"/>
      <c r="H268" s="616"/>
      <c r="I268" s="616"/>
      <c r="J268" s="616"/>
      <c r="K268" s="1672">
        <f t="shared" si="22"/>
        <v>40854</v>
      </c>
      <c r="L268" s="466">
        <v>42145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198840</v>
      </c>
      <c r="E270" s="616"/>
      <c r="F270" s="616"/>
      <c r="G270" s="616"/>
      <c r="H270" s="616"/>
      <c r="I270" s="616"/>
      <c r="J270" s="616"/>
      <c r="K270" s="1670">
        <f>SUM(K263:K269)</f>
        <v>198840</v>
      </c>
      <c r="L270" s="1670">
        <f>SUM(L263:L269)</f>
        <v>198828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261171</v>
      </c>
      <c r="E279" s="616"/>
      <c r="F279" s="616"/>
      <c r="G279" s="616"/>
      <c r="H279" s="616"/>
      <c r="I279" s="616"/>
      <c r="J279" s="616"/>
      <c r="K279" s="1677">
        <f>SUM(K238,K243,K257,K261,K270,K277,K278)</f>
        <v>261171</v>
      </c>
      <c r="L279" s="1677">
        <f>SUM(L238,L243,L257,L261,L270,L277,L278)</f>
        <v>264607</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3" t="s">
        <v>505</v>
      </c>
      <c r="B295" s="2184"/>
      <c r="C295" s="616"/>
      <c r="D295" s="1670">
        <f>SUM(D229,D279,D280,D285)</f>
        <v>500713</v>
      </c>
      <c r="E295" s="616"/>
      <c r="F295" s="616"/>
      <c r="G295" s="616"/>
      <c r="H295" s="1670">
        <f>H293</f>
        <v>0</v>
      </c>
      <c r="I295" s="616"/>
      <c r="J295" s="616"/>
      <c r="K295" s="1670">
        <f>SUM(K229,K279,K280,K285,K293,K294)</f>
        <v>500713</v>
      </c>
      <c r="L295" s="1670">
        <f>SUM(L229,L279,L280,L285,L293,L294)</f>
        <v>493818</v>
      </c>
    </row>
    <row r="296" spans="1:14" ht="13.5" thickTop="1" x14ac:dyDescent="0.2">
      <c r="A296" s="2165" t="s">
        <v>996</v>
      </c>
      <c r="B296" s="2166"/>
      <c r="C296" s="616"/>
      <c r="D296" s="618"/>
      <c r="E296" s="616"/>
      <c r="F296" s="616"/>
      <c r="G296" s="616"/>
      <c r="H296" s="687"/>
      <c r="I296" s="616"/>
      <c r="J296" s="616"/>
      <c r="K296" s="1684">
        <f>'Revenues 9-14'!G268-'Expenditures 15-22'!K295</f>
        <v>-68397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143</v>
      </c>
      <c r="B298" s="216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49060</v>
      </c>
      <c r="F301" s="466"/>
      <c r="G301" s="466">
        <v>8200</v>
      </c>
      <c r="H301" s="466"/>
      <c r="I301" s="467"/>
      <c r="J301" s="467"/>
      <c r="K301" s="1671">
        <f>SUM(C301:J301)</f>
        <v>57260</v>
      </c>
      <c r="L301" s="467">
        <v>75000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49060</v>
      </c>
      <c r="F303" s="1677">
        <f t="shared" si="23"/>
        <v>0</v>
      </c>
      <c r="G303" s="1677">
        <f t="shared" si="23"/>
        <v>8200</v>
      </c>
      <c r="H303" s="1677">
        <f t="shared" si="23"/>
        <v>0</v>
      </c>
      <c r="I303" s="1677">
        <f t="shared" si="23"/>
        <v>0</v>
      </c>
      <c r="J303" s="1677">
        <f t="shared" si="23"/>
        <v>0</v>
      </c>
      <c r="K303" s="1677">
        <f t="shared" si="23"/>
        <v>57260</v>
      </c>
      <c r="L303" s="1677">
        <f t="shared" si="23"/>
        <v>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0" t="s">
        <v>277</v>
      </c>
      <c r="B312" s="2181"/>
      <c r="C312" s="1670">
        <f>SUM(C303)</f>
        <v>0</v>
      </c>
      <c r="D312" s="1670">
        <f>SUM(D303)</f>
        <v>0</v>
      </c>
      <c r="E312" s="1670">
        <f>SUM(E303,E310)</f>
        <v>49060</v>
      </c>
      <c r="F312" s="1670">
        <f>SUM(F303)</f>
        <v>0</v>
      </c>
      <c r="G312" s="1670">
        <f>SUM(G303)</f>
        <v>8200</v>
      </c>
      <c r="H312" s="1670">
        <f>SUM(H303,H310)</f>
        <v>0</v>
      </c>
      <c r="I312" s="1670">
        <f>SUM(I303)</f>
        <v>0</v>
      </c>
      <c r="J312" s="1670">
        <f>SUM(J303)</f>
        <v>0</v>
      </c>
      <c r="K312" s="1670">
        <f>SUM(K303,K310,K311)</f>
        <v>57260</v>
      </c>
      <c r="L312" s="1670">
        <f>SUM(L303,L310,L311)</f>
        <v>75000</v>
      </c>
      <c r="M312" s="665"/>
      <c r="N312" s="665"/>
    </row>
    <row r="313" spans="1:14" ht="13.5" thickTop="1" x14ac:dyDescent="0.2">
      <c r="A313" s="2176" t="s">
        <v>996</v>
      </c>
      <c r="B313" s="2177"/>
      <c r="C313" s="626"/>
      <c r="D313" s="626"/>
      <c r="E313" s="626"/>
      <c r="F313" s="626"/>
      <c r="G313" s="626"/>
      <c r="H313" s="626"/>
      <c r="I313" s="626"/>
      <c r="J313" s="626"/>
      <c r="K313" s="1685">
        <f>'Revenues 9-14'!H268-'Expenditures 15-22'!K312</f>
        <v>427114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149</v>
      </c>
      <c r="B315" s="219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898</v>
      </c>
      <c r="B317" s="219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88962</v>
      </c>
      <c r="F320" s="467"/>
      <c r="G320" s="467"/>
      <c r="H320" s="467"/>
      <c r="I320" s="467"/>
      <c r="J320" s="467"/>
      <c r="K320" s="1671">
        <f t="shared" ref="K320:K327" si="24">SUM(C320:J320)</f>
        <v>88962</v>
      </c>
      <c r="L320" s="467">
        <v>58000</v>
      </c>
      <c r="M320" s="665"/>
      <c r="N320" s="665"/>
    </row>
    <row r="321" spans="1:14" s="674" customFormat="1" x14ac:dyDescent="0.2">
      <c r="A321" s="1519" t="s">
        <v>300</v>
      </c>
      <c r="B321" s="697" t="s">
        <v>283</v>
      </c>
      <c r="C321" s="467"/>
      <c r="D321" s="467"/>
      <c r="E321" s="467">
        <v>16381</v>
      </c>
      <c r="F321" s="467"/>
      <c r="G321" s="467"/>
      <c r="H321" s="467"/>
      <c r="I321" s="467"/>
      <c r="J321" s="467"/>
      <c r="K321" s="1671">
        <f t="shared" si="24"/>
        <v>16381</v>
      </c>
      <c r="L321" s="467">
        <v>18000</v>
      </c>
      <c r="M321" s="665"/>
      <c r="N321" s="665"/>
    </row>
    <row r="322" spans="1:14" s="674" customFormat="1" x14ac:dyDescent="0.2">
      <c r="A322" s="1519" t="s">
        <v>238</v>
      </c>
      <c r="B322" s="697" t="s">
        <v>284</v>
      </c>
      <c r="C322" s="467"/>
      <c r="D322" s="467"/>
      <c r="E322" s="467">
        <v>20098</v>
      </c>
      <c r="F322" s="467"/>
      <c r="G322" s="467"/>
      <c r="H322" s="467"/>
      <c r="I322" s="467"/>
      <c r="J322" s="467"/>
      <c r="K322" s="1671">
        <f t="shared" si="24"/>
        <v>20098</v>
      </c>
      <c r="L322" s="467">
        <v>25242</v>
      </c>
      <c r="M322" s="665"/>
      <c r="N322" s="665"/>
    </row>
    <row r="323" spans="1:14" s="674" customFormat="1" x14ac:dyDescent="0.2">
      <c r="A323" s="1519" t="s">
        <v>702</v>
      </c>
      <c r="B323" s="697" t="s">
        <v>285</v>
      </c>
      <c r="C323" s="467"/>
      <c r="D323" s="467"/>
      <c r="E323" s="467">
        <v>58379</v>
      </c>
      <c r="F323" s="467"/>
      <c r="G323" s="467"/>
      <c r="H323" s="467"/>
      <c r="I323" s="467"/>
      <c r="J323" s="467"/>
      <c r="K323" s="1671">
        <f t="shared" si="24"/>
        <v>58379</v>
      </c>
      <c r="L323" s="467">
        <v>60000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274522</v>
      </c>
      <c r="D325" s="467">
        <v>1219</v>
      </c>
      <c r="E325" s="467"/>
      <c r="F325" s="467"/>
      <c r="G325" s="467"/>
      <c r="H325" s="467">
        <v>38324</v>
      </c>
      <c r="I325" s="467"/>
      <c r="J325" s="467"/>
      <c r="K325" s="1671">
        <f t="shared" si="24"/>
        <v>314065</v>
      </c>
      <c r="L325" s="467">
        <v>337920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4362</v>
      </c>
      <c r="F327" s="467"/>
      <c r="G327" s="467"/>
      <c r="H327" s="467"/>
      <c r="I327" s="467"/>
      <c r="J327" s="467"/>
      <c r="K327" s="1671">
        <f t="shared" si="24"/>
        <v>4362</v>
      </c>
      <c r="L327" s="467">
        <v>30000</v>
      </c>
      <c r="M327" s="665"/>
      <c r="N327" s="665"/>
    </row>
    <row r="328" spans="1:14" s="674" customFormat="1" x14ac:dyDescent="0.2">
      <c r="A328" s="1520" t="s">
        <v>472</v>
      </c>
      <c r="B328" s="690" t="s">
        <v>1132</v>
      </c>
      <c r="C328" s="474"/>
      <c r="D328" s="474"/>
      <c r="E328" s="474">
        <v>70802</v>
      </c>
      <c r="F328" s="474"/>
      <c r="G328" s="474"/>
      <c r="H328" s="474"/>
      <c r="I328" s="474"/>
      <c r="J328" s="474"/>
      <c r="K328" s="1699">
        <f>SUM(C328:J328)</f>
        <v>70802</v>
      </c>
      <c r="L328" s="474">
        <v>96539</v>
      </c>
      <c r="M328" s="665"/>
      <c r="N328" s="665"/>
    </row>
    <row r="329" spans="1:14" s="674" customFormat="1" x14ac:dyDescent="0.2">
      <c r="A329" s="1520" t="s">
        <v>1133</v>
      </c>
      <c r="B329" s="690" t="s">
        <v>1134</v>
      </c>
      <c r="C329" s="474"/>
      <c r="D329" s="474"/>
      <c r="E329" s="474">
        <v>26978</v>
      </c>
      <c r="F329" s="474"/>
      <c r="G329" s="474"/>
      <c r="H329" s="474"/>
      <c r="I329" s="474"/>
      <c r="J329" s="474"/>
      <c r="K329" s="1699">
        <f>SUM(C329:J329)</f>
        <v>26978</v>
      </c>
      <c r="L329" s="474">
        <v>35768</v>
      </c>
      <c r="M329" s="665"/>
      <c r="N329" s="665"/>
    </row>
    <row r="330" spans="1:14" s="674" customFormat="1" ht="12.75" customHeight="1" thickBot="1" x14ac:dyDescent="0.25">
      <c r="A330" s="1700" t="s">
        <v>717</v>
      </c>
      <c r="B330" s="1669" t="s">
        <v>569</v>
      </c>
      <c r="C330" s="1670">
        <f>SUM(C319:C329)</f>
        <v>274522</v>
      </c>
      <c r="D330" s="1670">
        <f t="shared" ref="D330:J330" si="25">SUM(D319:D329)</f>
        <v>1219</v>
      </c>
      <c r="E330" s="1670">
        <f t="shared" si="25"/>
        <v>285962</v>
      </c>
      <c r="F330" s="1670">
        <f t="shared" si="25"/>
        <v>0</v>
      </c>
      <c r="G330" s="1670">
        <f t="shared" si="25"/>
        <v>0</v>
      </c>
      <c r="H330" s="1670">
        <f t="shared" si="25"/>
        <v>38324</v>
      </c>
      <c r="I330" s="1670">
        <f t="shared" si="25"/>
        <v>0</v>
      </c>
      <c r="J330" s="1670">
        <f t="shared" si="25"/>
        <v>0</v>
      </c>
      <c r="K330" s="1670">
        <f>SUM(K319:K329)</f>
        <v>600027</v>
      </c>
      <c r="L330" s="1670">
        <f>SUM(L319:L329)</f>
        <v>661469</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274522</v>
      </c>
      <c r="D342" s="1670">
        <f>SUM(D330)</f>
        <v>1219</v>
      </c>
      <c r="E342" s="1670">
        <f>SUM(E330)</f>
        <v>285962</v>
      </c>
      <c r="F342" s="1670">
        <f>SUM(F330)</f>
        <v>0</v>
      </c>
      <c r="G342" s="1670">
        <f>SUM(G330)</f>
        <v>0</v>
      </c>
      <c r="H342" s="1670">
        <f>SUM(H330,H334,H340)</f>
        <v>38324</v>
      </c>
      <c r="I342" s="1670">
        <f>SUM(I330)</f>
        <v>0</v>
      </c>
      <c r="J342" s="1670">
        <f>SUM(J330)</f>
        <v>0</v>
      </c>
      <c r="K342" s="1670">
        <f>SUM(K330,K334,K340)</f>
        <v>600027</v>
      </c>
      <c r="L342" s="1677">
        <f>SUM(L330,L334,L340,L341)</f>
        <v>661469</v>
      </c>
    </row>
    <row r="343" spans="1:14" ht="12.75" customHeight="1" thickTop="1" x14ac:dyDescent="0.2">
      <c r="A343" s="2178" t="s">
        <v>996</v>
      </c>
      <c r="B343" s="2179"/>
      <c r="C343" s="616"/>
      <c r="D343" s="616"/>
      <c r="E343" s="616"/>
      <c r="F343" s="616"/>
      <c r="G343" s="616"/>
      <c r="H343" s="616"/>
      <c r="I343" s="616"/>
      <c r="J343" s="616"/>
      <c r="K343" s="1684">
        <f>'Revenues 9-14'!J268-'Expenditures 15-22'!K342</f>
        <v>170215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966</v>
      </c>
      <c r="B345" s="216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31728</v>
      </c>
      <c r="F348" s="466"/>
      <c r="G348" s="466">
        <v>5625</v>
      </c>
      <c r="H348" s="466"/>
      <c r="I348" s="467">
        <v>2500</v>
      </c>
      <c r="J348" s="467"/>
      <c r="K348" s="1671">
        <f>SUM(C348:J348)</f>
        <v>39853</v>
      </c>
      <c r="L348" s="466">
        <v>50000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31728</v>
      </c>
      <c r="F350" s="1670">
        <f t="shared" si="26"/>
        <v>0</v>
      </c>
      <c r="G350" s="1670">
        <f t="shared" si="26"/>
        <v>5625</v>
      </c>
      <c r="H350" s="1670">
        <f t="shared" si="26"/>
        <v>0</v>
      </c>
      <c r="I350" s="1670">
        <f t="shared" si="26"/>
        <v>2500</v>
      </c>
      <c r="J350" s="1670">
        <f t="shared" si="26"/>
        <v>0</v>
      </c>
      <c r="K350" s="1670">
        <f t="shared" si="26"/>
        <v>39853</v>
      </c>
      <c r="L350" s="1670">
        <f t="shared" si="26"/>
        <v>50000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31728</v>
      </c>
      <c r="F352" s="1670">
        <f t="shared" si="27"/>
        <v>0</v>
      </c>
      <c r="G352" s="1670">
        <f t="shared" si="27"/>
        <v>5625</v>
      </c>
      <c r="H352" s="1670">
        <f t="shared" si="27"/>
        <v>0</v>
      </c>
      <c r="I352" s="1670">
        <f t="shared" si="27"/>
        <v>2500</v>
      </c>
      <c r="J352" s="1670">
        <f t="shared" si="27"/>
        <v>0</v>
      </c>
      <c r="K352" s="1670">
        <f t="shared" si="27"/>
        <v>39853</v>
      </c>
      <c r="L352" s="1670">
        <f t="shared" si="27"/>
        <v>50000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31728</v>
      </c>
      <c r="F367" s="1670">
        <f t="shared" si="28"/>
        <v>0</v>
      </c>
      <c r="G367" s="1670">
        <f t="shared" si="28"/>
        <v>5625</v>
      </c>
      <c r="H367" s="1670">
        <f t="shared" si="28"/>
        <v>0</v>
      </c>
      <c r="I367" s="1670">
        <f t="shared" si="28"/>
        <v>2500</v>
      </c>
      <c r="J367" s="1670">
        <f t="shared" si="28"/>
        <v>0</v>
      </c>
      <c r="K367" s="1670">
        <f t="shared" si="28"/>
        <v>39853</v>
      </c>
      <c r="L367" s="1670">
        <f t="shared" si="28"/>
        <v>50000</v>
      </c>
    </row>
    <row r="368" spans="1:14" ht="13.5" thickTop="1" x14ac:dyDescent="0.2">
      <c r="A368" s="2165" t="s">
        <v>996</v>
      </c>
      <c r="B368" s="2166"/>
      <c r="C368" s="654"/>
      <c r="D368" s="654"/>
      <c r="E368" s="626"/>
      <c r="F368" s="626"/>
      <c r="G368" s="626"/>
      <c r="H368" s="626"/>
      <c r="I368" s="626"/>
      <c r="J368" s="623"/>
      <c r="K368" s="1671">
        <f>'Revenues 9-14'!K268-'Expenditures 15-22'!K367</f>
        <v>29526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E7" sqref="E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2" t="s">
        <v>1799</v>
      </c>
      <c r="B2" s="1528" t="s">
        <v>1946</v>
      </c>
      <c r="C2" s="714" t="s">
        <v>1947</v>
      </c>
      <c r="D2" s="714" t="s">
        <v>1948</v>
      </c>
      <c r="E2" s="714" t="s">
        <v>1949</v>
      </c>
      <c r="F2" s="714" t="s">
        <v>1950</v>
      </c>
    </row>
    <row r="3" spans="1:6" ht="12" customHeight="1" x14ac:dyDescent="0.2">
      <c r="A3" s="2193"/>
      <c r="B3" s="1525"/>
      <c r="C3" s="1526"/>
      <c r="D3" s="1527" t="s">
        <v>256</v>
      </c>
      <c r="E3" s="1526"/>
      <c r="F3" s="1527" t="s">
        <v>257</v>
      </c>
    </row>
    <row r="4" spans="1:6" ht="13.7" customHeight="1" x14ac:dyDescent="0.2">
      <c r="A4" s="715" t="s">
        <v>1155</v>
      </c>
      <c r="B4" s="1749">
        <f>'Revenues 9-14'!C5</f>
        <v>2737874</v>
      </c>
      <c r="C4" s="1524"/>
      <c r="D4" s="1752">
        <f>B4-C4</f>
        <v>2737874</v>
      </c>
      <c r="E4" s="1524">
        <v>2869173</v>
      </c>
      <c r="F4" s="1752">
        <f>E4-C4</f>
        <v>2869173</v>
      </c>
    </row>
    <row r="5" spans="1:6" ht="13.7" customHeight="1" x14ac:dyDescent="0.2">
      <c r="A5" s="715" t="s">
        <v>870</v>
      </c>
      <c r="B5" s="1750">
        <f>'Revenues 9-14'!D5</f>
        <v>681062</v>
      </c>
      <c r="C5" s="585"/>
      <c r="D5" s="1753">
        <f t="shared" ref="D5:D18" si="0">B5-C5</f>
        <v>681062</v>
      </c>
      <c r="E5" s="585">
        <v>713725</v>
      </c>
      <c r="F5" s="1753">
        <f>E5-C5</f>
        <v>713725</v>
      </c>
    </row>
    <row r="6" spans="1:6" ht="13.7" customHeight="1" x14ac:dyDescent="0.2">
      <c r="A6" s="715" t="s">
        <v>411</v>
      </c>
      <c r="B6" s="1750">
        <f>'Revenues 9-14'!E5</f>
        <v>492843</v>
      </c>
      <c r="C6" s="585"/>
      <c r="D6" s="1753">
        <f t="shared" si="0"/>
        <v>492843</v>
      </c>
      <c r="E6" s="585">
        <v>402070</v>
      </c>
      <c r="F6" s="1753">
        <f t="shared" ref="F6:F18" si="1">E6-C6</f>
        <v>402070</v>
      </c>
    </row>
    <row r="7" spans="1:6" ht="13.7" customHeight="1" x14ac:dyDescent="0.2">
      <c r="A7" s="715" t="s">
        <v>155</v>
      </c>
      <c r="B7" s="1750">
        <f>'Revenues 9-14'!F5</f>
        <v>272426</v>
      </c>
      <c r="C7" s="585"/>
      <c r="D7" s="1753">
        <f t="shared" si="0"/>
        <v>272426</v>
      </c>
      <c r="E7" s="585">
        <v>285490</v>
      </c>
      <c r="F7" s="1753">
        <f t="shared" si="1"/>
        <v>285490</v>
      </c>
    </row>
    <row r="8" spans="1:6" ht="13.7" customHeight="1" x14ac:dyDescent="0.2">
      <c r="A8" s="715" t="s">
        <v>1179</v>
      </c>
      <c r="B8" s="1750">
        <f>'Revenues 9-14'!G5</f>
        <v>199364</v>
      </c>
      <c r="C8" s="585"/>
      <c r="D8" s="1753">
        <f t="shared" si="0"/>
        <v>199364</v>
      </c>
      <c r="E8" s="585">
        <v>225009</v>
      </c>
      <c r="F8" s="1753">
        <f t="shared" si="1"/>
        <v>225009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68108</v>
      </c>
      <c r="C10" s="585"/>
      <c r="D10" s="1753">
        <f t="shared" si="0"/>
        <v>68108</v>
      </c>
      <c r="E10" s="585">
        <v>71372</v>
      </c>
      <c r="F10" s="1753">
        <f t="shared" si="1"/>
        <v>71372</v>
      </c>
    </row>
    <row r="11" spans="1:6" x14ac:dyDescent="0.2">
      <c r="A11" s="715" t="s">
        <v>409</v>
      </c>
      <c r="B11" s="1750">
        <f>'Revenues 9-14'!J5</f>
        <v>737608</v>
      </c>
      <c r="C11" s="585"/>
      <c r="D11" s="1753">
        <f t="shared" si="0"/>
        <v>737608</v>
      </c>
      <c r="E11" s="585">
        <v>725002</v>
      </c>
      <c r="F11" s="1753">
        <f t="shared" si="1"/>
        <v>725002</v>
      </c>
    </row>
    <row r="12" spans="1:6" ht="13.7" customHeight="1" x14ac:dyDescent="0.2">
      <c r="A12" s="715" t="s">
        <v>157</v>
      </c>
      <c r="B12" s="1750">
        <f>'Revenues 9-14'!K5</f>
        <v>68108</v>
      </c>
      <c r="C12" s="585"/>
      <c r="D12" s="1753">
        <f t="shared" si="0"/>
        <v>68108</v>
      </c>
      <c r="E12" s="585">
        <v>71372</v>
      </c>
      <c r="F12" s="1753">
        <f t="shared" si="1"/>
        <v>71372</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54484</v>
      </c>
      <c r="C14" s="585"/>
      <c r="D14" s="1753">
        <f t="shared" si="0"/>
        <v>54484</v>
      </c>
      <c r="E14" s="585">
        <v>57098</v>
      </c>
      <c r="F14" s="1753">
        <f t="shared" si="1"/>
        <v>57098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199364</v>
      </c>
      <c r="C16" s="585"/>
      <c r="D16" s="1753">
        <f t="shared" si="0"/>
        <v>199364</v>
      </c>
      <c r="E16" s="585">
        <v>225009</v>
      </c>
      <c r="F16" s="1753">
        <f t="shared" si="1"/>
        <v>225009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5511241</v>
      </c>
      <c r="C19" s="1751">
        <f>SUM(C4:C18)</f>
        <v>0</v>
      </c>
      <c r="D19" s="1751">
        <f>SUM(D4:D18)</f>
        <v>5511241</v>
      </c>
      <c r="E19" s="1751">
        <f>SUM(E4:E18)</f>
        <v>5645320</v>
      </c>
      <c r="F19" s="1751">
        <f>SUM(F4:F18)</f>
        <v>5645320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16" colorId="8" zoomScale="110" zoomScaleNormal="110" workbookViewId="0">
      <selection activeCell="E32" sqref="E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629</v>
      </c>
      <c r="B1" s="2212"/>
      <c r="C1" s="721"/>
    </row>
    <row r="2" spans="1:7" ht="33.75" x14ac:dyDescent="0.2">
      <c r="A2" s="2219" t="s">
        <v>1799</v>
      </c>
      <c r="B2" s="2220"/>
      <c r="C2" s="1884" t="s">
        <v>1951</v>
      </c>
      <c r="D2" s="723" t="s">
        <v>1952</v>
      </c>
      <c r="E2" s="723" t="s">
        <v>1953</v>
      </c>
      <c r="F2" s="1884" t="s">
        <v>1954</v>
      </c>
    </row>
    <row r="3" spans="1:7" ht="15.75" customHeight="1" x14ac:dyDescent="0.2">
      <c r="A3" s="2221" t="s">
        <v>1114</v>
      </c>
      <c r="B3" s="2222"/>
      <c r="C3" s="2215"/>
      <c r="D3" s="2216"/>
      <c r="E3" s="2216"/>
      <c r="F3" s="2217"/>
    </row>
    <row r="4" spans="1:7" ht="12.75" customHeight="1" thickBot="1" x14ac:dyDescent="0.25">
      <c r="A4" s="2209" t="s">
        <v>630</v>
      </c>
      <c r="B4" s="2210"/>
      <c r="C4" s="581"/>
      <c r="D4" s="581"/>
      <c r="E4" s="581"/>
      <c r="F4" s="1755">
        <f>SUM(C4+D4)-E4</f>
        <v>0</v>
      </c>
    </row>
    <row r="5" spans="1:7" ht="15.75" customHeight="1" thickTop="1" x14ac:dyDescent="0.2">
      <c r="A5" s="2213" t="s">
        <v>1110</v>
      </c>
      <c r="B5" s="2208"/>
      <c r="C5" s="2202"/>
      <c r="D5" s="2203"/>
      <c r="E5" s="2203"/>
      <c r="F5" s="220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5" t="s">
        <v>631</v>
      </c>
      <c r="B15" s="2206"/>
      <c r="C15" s="1755">
        <f>SUM(C6:C14)</f>
        <v>0</v>
      </c>
      <c r="D15" s="1755">
        <f>SUM(D6:D14)</f>
        <v>0</v>
      </c>
      <c r="E15" s="1755">
        <f>SUM(E6:E14)</f>
        <v>0</v>
      </c>
      <c r="F15" s="1755">
        <f>SUM(F6:F14)</f>
        <v>0</v>
      </c>
      <c r="G15" s="552"/>
    </row>
    <row r="16" spans="1:7" s="202" customFormat="1" ht="15.75" customHeight="1" thickTop="1" x14ac:dyDescent="0.2">
      <c r="A16" s="2218" t="s">
        <v>1111</v>
      </c>
      <c r="B16" s="2208"/>
      <c r="C16" s="2202"/>
      <c r="D16" s="2203"/>
      <c r="E16" s="2203"/>
      <c r="F16" s="2204"/>
    </row>
    <row r="17" spans="1:11" ht="12.75" customHeight="1" thickBot="1" x14ac:dyDescent="0.25">
      <c r="A17" s="2200" t="s">
        <v>64</v>
      </c>
      <c r="B17" s="2201"/>
      <c r="C17" s="726"/>
      <c r="D17" s="585"/>
      <c r="E17" s="726"/>
      <c r="F17" s="1755">
        <f>SUM(C17+D17)-E17</f>
        <v>0</v>
      </c>
    </row>
    <row r="18" spans="1:11" ht="12.75" customHeight="1" thickTop="1" thickBot="1" x14ac:dyDescent="0.25">
      <c r="A18" s="2200" t="s">
        <v>6</v>
      </c>
      <c r="B18" s="2201"/>
      <c r="C18" s="726"/>
      <c r="D18" s="585"/>
      <c r="E18" s="726"/>
      <c r="F18" s="1755">
        <f>SUM(C18+D18)-E18</f>
        <v>0</v>
      </c>
    </row>
    <row r="19" spans="1:11" ht="12.75" customHeight="1" thickTop="1" thickBot="1" x14ac:dyDescent="0.25">
      <c r="A19" s="2200" t="s">
        <v>388</v>
      </c>
      <c r="B19" s="2201"/>
      <c r="C19" s="726"/>
      <c r="D19" s="585"/>
      <c r="E19" s="726"/>
      <c r="F19" s="1755">
        <f>SUM(C19+D19)-E19</f>
        <v>0</v>
      </c>
    </row>
    <row r="20" spans="1:11" ht="12.75" customHeight="1" thickTop="1" thickBot="1" x14ac:dyDescent="0.25">
      <c r="A20" s="2200" t="s">
        <v>448</v>
      </c>
      <c r="B20" s="2201"/>
      <c r="C20" s="726"/>
      <c r="D20" s="585"/>
      <c r="E20" s="726"/>
      <c r="F20" s="1755">
        <f>SUM(C20+D20)-E20</f>
        <v>0</v>
      </c>
    </row>
    <row r="21" spans="1:11" ht="14.25" thickTop="1" thickBot="1" x14ac:dyDescent="0.25">
      <c r="A21" s="2205" t="s">
        <v>632</v>
      </c>
      <c r="B21" s="2206"/>
      <c r="C21" s="1755">
        <f>SUM(C17:C20)</f>
        <v>0</v>
      </c>
      <c r="D21" s="1755">
        <f>SUM(D17:D20)</f>
        <v>0</v>
      </c>
      <c r="E21" s="1755">
        <f>SUM(E17:E20)</f>
        <v>0</v>
      </c>
      <c r="F21" s="1755">
        <f>SUM(F17:F20)</f>
        <v>0</v>
      </c>
      <c r="G21" s="552"/>
    </row>
    <row r="22" spans="1:11" ht="15.75" customHeight="1" thickTop="1" x14ac:dyDescent="0.2">
      <c r="A22" s="2207" t="s">
        <v>1112</v>
      </c>
      <c r="B22" s="2208"/>
      <c r="C22" s="2202"/>
      <c r="D22" s="2203"/>
      <c r="E22" s="2203"/>
      <c r="F22" s="2204"/>
    </row>
    <row r="23" spans="1:11" ht="13.5" thickBot="1" x14ac:dyDescent="0.25">
      <c r="A23" s="2209" t="s">
        <v>633</v>
      </c>
      <c r="B23" s="2210"/>
      <c r="C23" s="581"/>
      <c r="D23" s="581"/>
      <c r="E23" s="581"/>
      <c r="F23" s="1755">
        <f>SUM(C23+D23)-E23</f>
        <v>0</v>
      </c>
      <c r="G23" s="552"/>
    </row>
    <row r="24" spans="1:11" ht="15.75" customHeight="1" thickTop="1" x14ac:dyDescent="0.2">
      <c r="A24" s="2207" t="s">
        <v>1113</v>
      </c>
      <c r="B24" s="2208"/>
      <c r="C24" s="2202"/>
      <c r="D24" s="2203"/>
      <c r="E24" s="2203"/>
      <c r="F24" s="2204"/>
    </row>
    <row r="25" spans="1:11" ht="13.5" thickBot="1" x14ac:dyDescent="0.25">
      <c r="A25" s="2209" t="s">
        <v>634</v>
      </c>
      <c r="B25" s="2210"/>
      <c r="C25" s="581"/>
      <c r="D25" s="581"/>
      <c r="E25" s="581"/>
      <c r="F25" s="1755">
        <f>SUM(C25+D25)-E25</f>
        <v>0</v>
      </c>
      <c r="G25" s="552"/>
    </row>
    <row r="26" spans="1:11" ht="15.75" customHeight="1" thickTop="1" x14ac:dyDescent="0.2">
      <c r="A26" s="2213" t="s">
        <v>657</v>
      </c>
      <c r="B26" s="2208"/>
      <c r="C26" s="727"/>
      <c r="D26" s="727"/>
      <c r="E26" s="727"/>
      <c r="F26" s="728"/>
    </row>
    <row r="27" spans="1:11" ht="13.5" thickBot="1" x14ac:dyDescent="0.25">
      <c r="A27" s="2205" t="s">
        <v>1070</v>
      </c>
      <c r="B27" s="2206"/>
      <c r="C27" s="585"/>
      <c r="D27" s="585"/>
      <c r="E27" s="585"/>
      <c r="F27" s="1755">
        <f>SUM(C27+D27)-E27</f>
        <v>0</v>
      </c>
      <c r="G27" s="552"/>
    </row>
    <row r="28" spans="1:11" ht="7.5" customHeight="1" thickTop="1" x14ac:dyDescent="0.2">
      <c r="A28" s="593"/>
    </row>
    <row r="29" spans="1:11" ht="23.25" customHeight="1" x14ac:dyDescent="0.2">
      <c r="A29" s="2211" t="s">
        <v>582</v>
      </c>
      <c r="B29" s="2212"/>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2155</v>
      </c>
      <c r="B31" s="733">
        <v>39701</v>
      </c>
      <c r="C31" s="734">
        <v>2125000</v>
      </c>
      <c r="D31" s="735">
        <v>3</v>
      </c>
      <c r="E31" s="734">
        <v>360000</v>
      </c>
      <c r="F31" s="734"/>
      <c r="G31" s="734"/>
      <c r="H31" s="734">
        <v>240000</v>
      </c>
      <c r="I31" s="1756">
        <f>((E31+F31)-H31)+G31</f>
        <v>120000</v>
      </c>
      <c r="J31" s="734"/>
      <c r="K31" s="736"/>
    </row>
    <row r="32" spans="1:11" ht="12" customHeight="1" x14ac:dyDescent="0.2">
      <c r="A32" s="732" t="s">
        <v>2154</v>
      </c>
      <c r="B32" s="733">
        <v>40575</v>
      </c>
      <c r="C32" s="734">
        <v>6300000</v>
      </c>
      <c r="D32" s="735">
        <v>3</v>
      </c>
      <c r="E32" s="734">
        <v>5355000</v>
      </c>
      <c r="F32" s="734"/>
      <c r="G32" s="734"/>
      <c r="H32" s="734">
        <v>225000</v>
      </c>
      <c r="I32" s="1756">
        <f>((E32+F32)-H32)+G32</f>
        <v>5130000</v>
      </c>
      <c r="J32" s="734">
        <v>5092405</v>
      </c>
      <c r="K32" s="736"/>
    </row>
    <row r="33" spans="1:11" ht="12" customHeight="1" x14ac:dyDescent="0.2">
      <c r="A33" s="732" t="s">
        <v>2176</v>
      </c>
      <c r="B33" s="733">
        <v>43321</v>
      </c>
      <c r="C33" s="734">
        <v>52447</v>
      </c>
      <c r="D33" s="735">
        <v>7</v>
      </c>
      <c r="E33" s="734"/>
      <c r="F33" s="734"/>
      <c r="G33" s="734">
        <v>40911</v>
      </c>
      <c r="H33" s="734"/>
      <c r="I33" s="1756">
        <f t="shared" ref="I33:I48" si="1">((E33+F33)-H33)+G33</f>
        <v>40911</v>
      </c>
      <c r="J33" s="734"/>
      <c r="K33" s="736"/>
    </row>
    <row r="34" spans="1:11" ht="12" customHeight="1" x14ac:dyDescent="0.2">
      <c r="A34" s="732" t="s">
        <v>2177</v>
      </c>
      <c r="B34" s="733">
        <v>43435</v>
      </c>
      <c r="C34" s="734">
        <v>58277</v>
      </c>
      <c r="D34" s="735">
        <v>7</v>
      </c>
      <c r="E34" s="734"/>
      <c r="F34" s="734"/>
      <c r="G34" s="734">
        <v>45459</v>
      </c>
      <c r="H34" s="734"/>
      <c r="I34" s="1756">
        <f t="shared" si="1"/>
        <v>45459</v>
      </c>
      <c r="J34" s="734"/>
      <c r="K34" s="737"/>
    </row>
    <row r="35" spans="1:11" ht="12" customHeight="1" x14ac:dyDescent="0.2">
      <c r="A35" s="732" t="s">
        <v>2178</v>
      </c>
      <c r="B35" s="733">
        <v>43466</v>
      </c>
      <c r="C35" s="738">
        <v>245493</v>
      </c>
      <c r="D35" s="735">
        <v>7</v>
      </c>
      <c r="E35" s="738"/>
      <c r="F35" s="738"/>
      <c r="G35" s="738">
        <v>191074</v>
      </c>
      <c r="H35" s="738"/>
      <c r="I35" s="1756">
        <f t="shared" si="1"/>
        <v>191074</v>
      </c>
      <c r="J35" s="738"/>
      <c r="K35" s="737"/>
    </row>
    <row r="36" spans="1:11" ht="12" customHeight="1" x14ac:dyDescent="0.2">
      <c r="A36" s="732" t="s">
        <v>2179</v>
      </c>
      <c r="B36" s="733">
        <v>43586</v>
      </c>
      <c r="C36" s="734">
        <v>117785</v>
      </c>
      <c r="D36" s="735">
        <v>7</v>
      </c>
      <c r="E36" s="734"/>
      <c r="F36" s="734"/>
      <c r="G36" s="734">
        <v>57263</v>
      </c>
      <c r="H36" s="734"/>
      <c r="I36" s="1756">
        <f t="shared" si="1"/>
        <v>57263</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8899002</v>
      </c>
      <c r="D49" s="745"/>
      <c r="E49" s="1756">
        <f t="shared" ref="E49:J49" si="2">SUM(E31:E48)</f>
        <v>5715000</v>
      </c>
      <c r="F49" s="1756">
        <f t="shared" si="2"/>
        <v>0</v>
      </c>
      <c r="G49" s="1756">
        <f t="shared" si="2"/>
        <v>334707</v>
      </c>
      <c r="H49" s="1756">
        <f t="shared" si="2"/>
        <v>465000</v>
      </c>
      <c r="I49" s="1756">
        <f t="shared" si="2"/>
        <v>5584707</v>
      </c>
      <c r="J49" s="1756">
        <f t="shared" si="2"/>
        <v>5092405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94" t="s">
        <v>584</v>
      </c>
      <c r="C52" s="2195"/>
      <c r="D52" s="2195"/>
      <c r="E52" s="749" t="s">
        <v>845</v>
      </c>
      <c r="F52" s="2196" t="s">
        <v>2180</v>
      </c>
      <c r="G52" s="2197"/>
      <c r="H52" s="736"/>
      <c r="I52" s="736"/>
      <c r="J52" s="746"/>
    </row>
    <row r="53" spans="1:11" ht="11.25" customHeight="1" x14ac:dyDescent="0.2">
      <c r="A53" s="750" t="s">
        <v>913</v>
      </c>
      <c r="B53" s="751" t="s">
        <v>951</v>
      </c>
      <c r="C53" s="746"/>
      <c r="D53" s="737"/>
      <c r="E53" s="749" t="s">
        <v>497</v>
      </c>
      <c r="F53" s="2198"/>
      <c r="G53" s="2199"/>
      <c r="H53" s="736"/>
      <c r="I53" s="736"/>
      <c r="J53" s="746"/>
    </row>
    <row r="54" spans="1:11" ht="11.25" customHeight="1" x14ac:dyDescent="0.2">
      <c r="A54" s="752" t="s">
        <v>914</v>
      </c>
      <c r="B54" s="747" t="s">
        <v>952</v>
      </c>
      <c r="C54" s="746"/>
      <c r="D54" s="737"/>
      <c r="E54" s="749" t="s">
        <v>498</v>
      </c>
      <c r="F54" s="2198"/>
      <c r="G54" s="219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J7" sqref="J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856</v>
      </c>
      <c r="B1" s="2224"/>
      <c r="C1" s="2224"/>
      <c r="D1" s="2224"/>
      <c r="E1" s="2224"/>
      <c r="F1" s="2224"/>
      <c r="G1" s="2225"/>
      <c r="H1" s="1530"/>
      <c r="I1" s="760"/>
      <c r="J1" s="433"/>
    </row>
    <row r="2" spans="1:11" ht="26.25" x14ac:dyDescent="0.2">
      <c r="A2" s="2242" t="s">
        <v>1677</v>
      </c>
      <c r="B2" s="2243"/>
      <c r="C2" s="2243"/>
      <c r="D2" s="2243"/>
      <c r="E2" s="2244"/>
      <c r="F2" s="761" t="s">
        <v>904</v>
      </c>
      <c r="G2" s="762" t="s">
        <v>1674</v>
      </c>
      <c r="H2" s="762" t="s">
        <v>410</v>
      </c>
      <c r="I2" s="762" t="s">
        <v>1158</v>
      </c>
      <c r="J2" s="762" t="s">
        <v>1809</v>
      </c>
      <c r="K2" s="762" t="s">
        <v>138</v>
      </c>
    </row>
    <row r="3" spans="1:11" x14ac:dyDescent="0.2">
      <c r="A3" s="2245" t="s">
        <v>1959</v>
      </c>
      <c r="B3" s="2246"/>
      <c r="C3" s="2246"/>
      <c r="D3" s="2246"/>
      <c r="E3" s="2247"/>
      <c r="F3" s="763"/>
      <c r="G3" s="764"/>
      <c r="H3" s="764"/>
      <c r="I3" s="764"/>
      <c r="J3" s="765">
        <v>847140</v>
      </c>
      <c r="K3" s="765"/>
    </row>
    <row r="4" spans="1:11" x14ac:dyDescent="0.2">
      <c r="A4" s="2248" t="s">
        <v>369</v>
      </c>
      <c r="B4" s="2249"/>
      <c r="C4" s="2249"/>
      <c r="D4" s="2249"/>
      <c r="E4" s="2195"/>
      <c r="F4" s="766"/>
      <c r="G4" s="767"/>
      <c r="H4" s="768"/>
      <c r="I4" s="767"/>
      <c r="J4" s="769"/>
      <c r="K4" s="769"/>
    </row>
    <row r="5" spans="1:11" x14ac:dyDescent="0.2">
      <c r="A5" s="2226" t="s">
        <v>1069</v>
      </c>
      <c r="B5" s="2227"/>
      <c r="C5" s="2227"/>
      <c r="D5" s="2227"/>
      <c r="E5" s="2228"/>
      <c r="F5" s="770" t="s">
        <v>848</v>
      </c>
      <c r="G5" s="771"/>
      <c r="H5" s="764">
        <v>54484</v>
      </c>
      <c r="I5" s="772"/>
      <c r="J5" s="773"/>
      <c r="K5" s="773"/>
    </row>
    <row r="6" spans="1:11" x14ac:dyDescent="0.2">
      <c r="A6" s="774" t="s">
        <v>720</v>
      </c>
      <c r="B6" s="775"/>
      <c r="C6" s="775"/>
      <c r="D6" s="775"/>
      <c r="E6" s="776"/>
      <c r="F6" s="777" t="s">
        <v>849</v>
      </c>
      <c r="G6" s="764"/>
      <c r="H6" s="764"/>
      <c r="I6" s="764"/>
      <c r="J6" s="765">
        <v>17396</v>
      </c>
      <c r="K6" s="765"/>
    </row>
    <row r="7" spans="1:11" x14ac:dyDescent="0.2">
      <c r="A7" s="778" t="s">
        <v>246</v>
      </c>
      <c r="B7" s="779"/>
      <c r="C7" s="779"/>
      <c r="D7" s="779"/>
      <c r="E7" s="780"/>
      <c r="F7" s="770" t="s">
        <v>850</v>
      </c>
      <c r="G7" s="767"/>
      <c r="H7" s="767"/>
      <c r="I7" s="767"/>
      <c r="J7" s="781"/>
      <c r="K7" s="765">
        <v>4414</v>
      </c>
    </row>
    <row r="8" spans="1:11" x14ac:dyDescent="0.2">
      <c r="A8" s="778" t="s">
        <v>345</v>
      </c>
      <c r="B8" s="779"/>
      <c r="C8" s="779"/>
      <c r="D8" s="779"/>
      <c r="E8" s="780"/>
      <c r="F8" s="770" t="s">
        <v>851</v>
      </c>
      <c r="G8" s="782"/>
      <c r="H8" s="782"/>
      <c r="I8" s="782"/>
      <c r="J8" s="765">
        <v>700467</v>
      </c>
      <c r="K8" s="769"/>
    </row>
    <row r="9" spans="1:11" x14ac:dyDescent="0.2">
      <c r="A9" s="778" t="s">
        <v>138</v>
      </c>
      <c r="B9" s="779"/>
      <c r="C9" s="779"/>
      <c r="D9" s="779"/>
      <c r="E9" s="780"/>
      <c r="F9" s="777" t="s">
        <v>853</v>
      </c>
      <c r="G9" s="782"/>
      <c r="H9" s="771"/>
      <c r="I9" s="771"/>
      <c r="J9" s="781"/>
      <c r="K9" s="765">
        <v>18217</v>
      </c>
    </row>
    <row r="10" spans="1:11" x14ac:dyDescent="0.2">
      <c r="A10" s="2226" t="s">
        <v>1810</v>
      </c>
      <c r="B10" s="2227"/>
      <c r="C10" s="2227"/>
      <c r="D10" s="2227"/>
      <c r="E10" s="2229"/>
      <c r="F10" s="783" t="s">
        <v>862</v>
      </c>
      <c r="G10" s="782"/>
      <c r="H10" s="784"/>
      <c r="I10" s="764"/>
      <c r="J10" s="765"/>
      <c r="K10" s="765"/>
    </row>
    <row r="11" spans="1:11" x14ac:dyDescent="0.2">
      <c r="A11" s="2226" t="s">
        <v>160</v>
      </c>
      <c r="B11" s="2227"/>
      <c r="C11" s="2227"/>
      <c r="D11" s="2227"/>
      <c r="E11" s="2228"/>
      <c r="F11" s="770" t="s">
        <v>852</v>
      </c>
      <c r="G11" s="771"/>
      <c r="H11" s="764"/>
      <c r="I11" s="764"/>
      <c r="J11" s="765"/>
      <c r="K11" s="773"/>
    </row>
    <row r="12" spans="1:11" ht="13.5" thickBot="1" x14ac:dyDescent="0.25">
      <c r="A12" s="2253" t="s">
        <v>905</v>
      </c>
      <c r="B12" s="2254"/>
      <c r="C12" s="2254"/>
      <c r="D12" s="2254"/>
      <c r="E12" s="2255"/>
      <c r="F12" s="1757"/>
      <c r="G12" s="1758">
        <f>SUM(G5:G11)</f>
        <v>0</v>
      </c>
      <c r="H12" s="1758">
        <f>SUM(H5:H11)</f>
        <v>54484</v>
      </c>
      <c r="I12" s="1758">
        <f>SUM(I5:I11)</f>
        <v>0</v>
      </c>
      <c r="J12" s="1758">
        <f>SUM(J5:J11)</f>
        <v>717863</v>
      </c>
      <c r="K12" s="1758">
        <f>SUM(K5:K11)</f>
        <v>22631</v>
      </c>
    </row>
    <row r="13" spans="1:11" ht="13.5" thickTop="1" x14ac:dyDescent="0.2">
      <c r="A13" s="2250" t="s">
        <v>370</v>
      </c>
      <c r="B13" s="2251"/>
      <c r="C13" s="2251"/>
      <c r="D13" s="2251"/>
      <c r="E13" s="2252"/>
      <c r="F13" s="785"/>
      <c r="G13" s="786"/>
      <c r="H13" s="787"/>
      <c r="I13" s="788"/>
      <c r="J13" s="788"/>
      <c r="K13" s="788"/>
    </row>
    <row r="14" spans="1:11" x14ac:dyDescent="0.2">
      <c r="A14" s="2233" t="s">
        <v>456</v>
      </c>
      <c r="B14" s="2233"/>
      <c r="C14" s="2233"/>
      <c r="D14" s="2233"/>
      <c r="E14" s="2234"/>
      <c r="F14" s="789" t="s">
        <v>854</v>
      </c>
      <c r="G14" s="782"/>
      <c r="H14" s="764">
        <v>54484</v>
      </c>
      <c r="I14" s="771"/>
      <c r="J14" s="773"/>
      <c r="K14" s="765">
        <v>22631</v>
      </c>
    </row>
    <row r="15" spans="1:11" x14ac:dyDescent="0.2">
      <c r="A15" s="2227" t="s">
        <v>4</v>
      </c>
      <c r="B15" s="2227"/>
      <c r="C15" s="2227"/>
      <c r="D15" s="2227"/>
      <c r="E15" s="2228"/>
      <c r="F15" s="789" t="s">
        <v>855</v>
      </c>
      <c r="G15" s="771"/>
      <c r="H15" s="764"/>
      <c r="I15" s="764"/>
      <c r="J15" s="765">
        <v>57260</v>
      </c>
      <c r="K15" s="765"/>
    </row>
    <row r="16" spans="1:11" x14ac:dyDescent="0.2">
      <c r="A16" s="2227" t="s">
        <v>298</v>
      </c>
      <c r="B16" s="2227"/>
      <c r="C16" s="2227"/>
      <c r="D16" s="2227"/>
      <c r="E16" s="2228"/>
      <c r="F16" s="789" t="s">
        <v>923</v>
      </c>
      <c r="G16" s="772"/>
      <c r="H16" s="767"/>
      <c r="I16" s="767"/>
      <c r="J16" s="769"/>
      <c r="K16" s="769"/>
    </row>
    <row r="17" spans="1:11" x14ac:dyDescent="0.2">
      <c r="A17" s="2258" t="s">
        <v>935</v>
      </c>
      <c r="B17" s="2258"/>
      <c r="C17" s="2258"/>
      <c r="D17" s="2258"/>
      <c r="E17" s="2259"/>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35" t="s">
        <v>1806</v>
      </c>
      <c r="B19" s="2235"/>
      <c r="C19" s="2235"/>
      <c r="D19" s="2235"/>
      <c r="E19" s="2236"/>
      <c r="F19" s="789" t="s">
        <v>933</v>
      </c>
      <c r="G19" s="782"/>
      <c r="H19" s="782"/>
      <c r="I19" s="782"/>
      <c r="J19" s="765">
        <v>233489</v>
      </c>
      <c r="K19" s="795"/>
    </row>
    <row r="20" spans="1:11" x14ac:dyDescent="0.2">
      <c r="A20" s="2237" t="s">
        <v>1811</v>
      </c>
      <c r="B20" s="2238"/>
      <c r="C20" s="2238"/>
      <c r="D20" s="2238"/>
      <c r="E20" s="2239"/>
      <c r="F20" s="789" t="s">
        <v>934</v>
      </c>
      <c r="G20" s="782"/>
      <c r="H20" s="782"/>
      <c r="I20" s="782"/>
      <c r="J20" s="765"/>
      <c r="K20" s="795"/>
    </row>
    <row r="21" spans="1:11" ht="13.5" thickBot="1" x14ac:dyDescent="0.25">
      <c r="A21" s="2256" t="s">
        <v>638</v>
      </c>
      <c r="B21" s="2256"/>
      <c r="C21" s="2256"/>
      <c r="D21" s="2256"/>
      <c r="E21" s="2256"/>
      <c r="F21" s="1759"/>
      <c r="G21" s="792"/>
      <c r="H21" s="796"/>
      <c r="I21" s="796"/>
      <c r="J21" s="1760">
        <f>SUM(J18:J20)</f>
        <v>233489</v>
      </c>
      <c r="K21" s="793"/>
    </row>
    <row r="22" spans="1:11" ht="13.5" thickTop="1" x14ac:dyDescent="0.2">
      <c r="A22" s="2227" t="s">
        <v>1812</v>
      </c>
      <c r="B22" s="2227"/>
      <c r="C22" s="2227"/>
      <c r="D22" s="2227"/>
      <c r="E22" s="2228"/>
      <c r="F22" s="789" t="s">
        <v>862</v>
      </c>
      <c r="G22" s="782"/>
      <c r="H22" s="764"/>
      <c r="I22" s="764"/>
      <c r="J22" s="797"/>
      <c r="K22" s="765"/>
    </row>
    <row r="23" spans="1:11" ht="13.5" thickBot="1" x14ac:dyDescent="0.25">
      <c r="A23" s="2257" t="s">
        <v>906</v>
      </c>
      <c r="B23" s="2256"/>
      <c r="C23" s="2256"/>
      <c r="D23" s="2256"/>
      <c r="E23" s="2256"/>
      <c r="F23" s="1761"/>
      <c r="G23" s="1758">
        <f>SUM(G14:G16,G21,G22)</f>
        <v>0</v>
      </c>
      <c r="H23" s="1758">
        <f>SUM(H14:H16,H21,H22)</f>
        <v>54484</v>
      </c>
      <c r="I23" s="1758">
        <f>SUM(I14:I16,I21,I22)</f>
        <v>0</v>
      </c>
      <c r="J23" s="1758">
        <f>SUM(J14:J16,J21,J22)</f>
        <v>290749</v>
      </c>
      <c r="K23" s="1758">
        <f>SUM(K14:K16,K21,K22)</f>
        <v>22631</v>
      </c>
    </row>
    <row r="24" spans="1:11" ht="14.25" thickTop="1" thickBot="1" x14ac:dyDescent="0.25">
      <c r="A24" s="2257" t="s">
        <v>1960</v>
      </c>
      <c r="B24" s="2256"/>
      <c r="C24" s="2256"/>
      <c r="D24" s="2256"/>
      <c r="E24" s="2256"/>
      <c r="F24" s="1762"/>
      <c r="G24" s="1763">
        <f>SUM(G3,G12)-G23</f>
        <v>0</v>
      </c>
      <c r="H24" s="1763">
        <f>SUM(H3,H12)-H23</f>
        <v>0</v>
      </c>
      <c r="I24" s="1763">
        <f>SUM(I3,I12)-I23</f>
        <v>0</v>
      </c>
      <c r="J24" s="1763">
        <f>SUM(J3,J12)-J23</f>
        <v>1274254</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1274254</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2062</v>
      </c>
      <c r="E30" s="808" t="s">
        <v>768</v>
      </c>
      <c r="F30" s="202"/>
      <c r="G30" s="805"/>
    </row>
    <row r="31" spans="1:11" x14ac:dyDescent="0.2">
      <c r="A31" s="809"/>
      <c r="D31" s="237"/>
      <c r="E31" s="810" t="s">
        <v>769</v>
      </c>
      <c r="F31" s="811" t="s">
        <v>539</v>
      </c>
      <c r="G31" s="764"/>
      <c r="H31" s="2230"/>
      <c r="I31" s="2231"/>
      <c r="J31" s="2231"/>
      <c r="K31" s="2231"/>
    </row>
    <row r="32" spans="1:11" x14ac:dyDescent="0.2">
      <c r="A32" s="809"/>
      <c r="B32" s="237"/>
      <c r="C32" s="237"/>
      <c r="D32" s="237"/>
      <c r="E32" s="805"/>
      <c r="F32" s="811" t="s">
        <v>540</v>
      </c>
      <c r="G32" s="764"/>
      <c r="H32" s="2232"/>
      <c r="I32" s="2231"/>
      <c r="J32" s="2231"/>
      <c r="K32" s="2231"/>
    </row>
    <row r="33" spans="1:11" ht="1.5" customHeight="1" x14ac:dyDescent="0.2">
      <c r="A33" s="812" t="s">
        <v>1169</v>
      </c>
      <c r="B33" s="364"/>
      <c r="C33" s="364"/>
      <c r="D33" s="364"/>
      <c r="E33" s="364"/>
      <c r="F33" s="364"/>
      <c r="G33" s="813"/>
      <c r="H33" s="2232"/>
      <c r="I33" s="2231"/>
      <c r="J33" s="2231"/>
      <c r="K33" s="2231"/>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7" t="s">
        <v>541</v>
      </c>
      <c r="B41" s="2240"/>
      <c r="C41" s="2240"/>
      <c r="D41" s="2240"/>
      <c r="E41" s="2240"/>
      <c r="F41" s="224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K13" sqref="K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1905</v>
      </c>
      <c r="B1" s="2263"/>
      <c r="C1" s="2264"/>
      <c r="D1" s="826"/>
      <c r="E1" s="827"/>
      <c r="F1" s="827"/>
      <c r="G1" s="828"/>
      <c r="H1" s="829"/>
      <c r="I1" s="830"/>
      <c r="J1" s="2260"/>
      <c r="K1" s="2261"/>
      <c r="L1" s="2261"/>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71308</v>
      </c>
      <c r="D5" s="841"/>
      <c r="E5" s="841"/>
      <c r="F5" s="1760">
        <f>(C5+D5)-E5</f>
        <v>71308</v>
      </c>
      <c r="G5" s="837"/>
      <c r="H5" s="842"/>
      <c r="I5" s="842"/>
      <c r="J5" s="842"/>
      <c r="K5" s="793"/>
      <c r="L5" s="1769">
        <f>F5-K5</f>
        <v>71308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15884516</v>
      </c>
      <c r="D8" s="844">
        <v>13825</v>
      </c>
      <c r="E8" s="844"/>
      <c r="F8" s="1760">
        <f>(C8+D8)-E8</f>
        <v>15898341</v>
      </c>
      <c r="G8" s="843">
        <v>50</v>
      </c>
      <c r="H8" s="765">
        <v>6210504</v>
      </c>
      <c r="I8" s="765">
        <v>259915</v>
      </c>
      <c r="J8" s="765"/>
      <c r="K8" s="1769">
        <f>(H8+I8)-J8</f>
        <v>6470419</v>
      </c>
      <c r="L8" s="1769">
        <f>F8-K8</f>
        <v>9427922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391924</v>
      </c>
      <c r="D10" s="846"/>
      <c r="E10" s="846"/>
      <c r="F10" s="1764">
        <f>(C10+D10)-E10</f>
        <v>391924</v>
      </c>
      <c r="G10" s="843">
        <v>20</v>
      </c>
      <c r="H10" s="847">
        <v>195240</v>
      </c>
      <c r="I10" s="847">
        <v>11436</v>
      </c>
      <c r="J10" s="847"/>
      <c r="K10" s="1769">
        <f>(H10+I10)-J10</f>
        <v>206676</v>
      </c>
      <c r="L10" s="1769">
        <f>F10-K10</f>
        <v>185248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4503549</v>
      </c>
      <c r="D12" s="844">
        <v>40915</v>
      </c>
      <c r="E12" s="844"/>
      <c r="F12" s="1760">
        <f>(C12+D12)-E12</f>
        <v>4544464</v>
      </c>
      <c r="G12" s="843">
        <v>10</v>
      </c>
      <c r="H12" s="765">
        <v>4152782</v>
      </c>
      <c r="I12" s="765">
        <v>93764</v>
      </c>
      <c r="J12" s="765"/>
      <c r="K12" s="1769">
        <f>(H12+I12)-J12</f>
        <v>4246546</v>
      </c>
      <c r="L12" s="1769">
        <f>F12-K12</f>
        <v>297918</v>
      </c>
    </row>
    <row r="13" spans="1:14" ht="14.25" thickTop="1" thickBot="1" x14ac:dyDescent="0.25">
      <c r="A13" s="848" t="s">
        <v>1122</v>
      </c>
      <c r="B13" s="840">
        <v>252</v>
      </c>
      <c r="C13" s="844">
        <v>1508607</v>
      </c>
      <c r="D13" s="844">
        <v>659958</v>
      </c>
      <c r="E13" s="844">
        <v>426990</v>
      </c>
      <c r="F13" s="1760">
        <f>(C13+D13)-E13</f>
        <v>1741575</v>
      </c>
      <c r="G13" s="843">
        <v>5</v>
      </c>
      <c r="H13" s="765">
        <v>1054214</v>
      </c>
      <c r="I13" s="765">
        <v>210714</v>
      </c>
      <c r="J13" s="765">
        <v>268753</v>
      </c>
      <c r="K13" s="1769">
        <f>(H13+I13)-J13</f>
        <v>996175</v>
      </c>
      <c r="L13" s="1769">
        <f>F13-K13</f>
        <v>745400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22359904</v>
      </c>
      <c r="D16" s="1760">
        <f>SUM(D3,D5:D6,D8:D10,D12:D15)</f>
        <v>714698</v>
      </c>
      <c r="E16" s="1760">
        <f>SUM(E3,E5:E6,E8:E10,E12:E15)</f>
        <v>426990</v>
      </c>
      <c r="F16" s="1760">
        <f>SUM(F3,F5:F6,F8:F10,F12:F15)</f>
        <v>22647612</v>
      </c>
      <c r="G16" s="843"/>
      <c r="H16" s="1760">
        <f>SUM(H3,H6,H8:H10,H12:H14,)</f>
        <v>11612740</v>
      </c>
      <c r="I16" s="1760">
        <f>SUM(I3,I6,I8:I10,I12:I14,)</f>
        <v>575829</v>
      </c>
      <c r="J16" s="1760">
        <f>SUM(J3,J6,J8:J10,J12:J14,)</f>
        <v>268753</v>
      </c>
      <c r="K16" s="1760">
        <f>(H16+I16)-J16</f>
        <v>11919816</v>
      </c>
      <c r="L16" s="1760">
        <f>F16-K16</f>
        <v>10727796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73325</v>
      </c>
      <c r="G17" s="837">
        <v>10</v>
      </c>
      <c r="H17" s="769"/>
      <c r="I17" s="1769">
        <f>F17/G17</f>
        <v>7332.5</v>
      </c>
      <c r="J17" s="769"/>
      <c r="K17" s="795"/>
      <c r="L17" s="795"/>
    </row>
    <row r="18" spans="1:12" ht="14.25" thickTop="1" thickBot="1" x14ac:dyDescent="0.25">
      <c r="A18" s="1767" t="s">
        <v>685</v>
      </c>
      <c r="B18" s="1768"/>
      <c r="C18" s="771"/>
      <c r="D18" s="771"/>
      <c r="E18" s="771"/>
      <c r="F18" s="850"/>
      <c r="G18" s="851"/>
      <c r="H18" s="773"/>
      <c r="I18" s="1760">
        <f>SUM(I16,I17)</f>
        <v>583161.5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20" activePane="bottomLeft" state="frozen"/>
      <selection activeCell="A47" sqref="A47"/>
      <selection pane="bottomLeft" activeCell="H24" sqref="H2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1970</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10371365</v>
      </c>
      <c r="G8" s="865"/>
    </row>
    <row r="9" spans="1:7" x14ac:dyDescent="0.2">
      <c r="A9" s="869" t="s">
        <v>460</v>
      </c>
      <c r="B9" s="870" t="s">
        <v>1873</v>
      </c>
      <c r="C9" s="871"/>
      <c r="D9" s="869" t="s">
        <v>501</v>
      </c>
      <c r="E9" s="868"/>
      <c r="F9" s="1909">
        <f>'Expenditures 15-22'!K151</f>
        <v>642119</v>
      </c>
      <c r="G9" s="872"/>
    </row>
    <row r="10" spans="1:7" x14ac:dyDescent="0.2">
      <c r="A10" s="869" t="s">
        <v>499</v>
      </c>
      <c r="B10" s="870" t="s">
        <v>1874</v>
      </c>
      <c r="C10" s="871"/>
      <c r="D10" s="869" t="s">
        <v>501</v>
      </c>
      <c r="E10" s="868"/>
      <c r="F10" s="1909">
        <f>'Expenditures 15-22'!K174</f>
        <v>729540</v>
      </c>
      <c r="G10" s="872"/>
    </row>
    <row r="11" spans="1:7" x14ac:dyDescent="0.2">
      <c r="A11" s="869" t="s">
        <v>461</v>
      </c>
      <c r="B11" s="870" t="s">
        <v>1875</v>
      </c>
      <c r="C11" s="871"/>
      <c r="D11" s="869" t="s">
        <v>501</v>
      </c>
      <c r="E11" s="868"/>
      <c r="F11" s="1909">
        <f>'Expenditures 15-22'!K210</f>
        <v>1273096</v>
      </c>
      <c r="G11" s="872"/>
    </row>
    <row r="12" spans="1:7" x14ac:dyDescent="0.2">
      <c r="A12" s="869" t="s">
        <v>462</v>
      </c>
      <c r="B12" s="870" t="s">
        <v>1876</v>
      </c>
      <c r="C12" s="871"/>
      <c r="D12" s="869" t="s">
        <v>501</v>
      </c>
      <c r="E12" s="868"/>
      <c r="F12" s="1909">
        <f>'Expenditures 15-22'!K295</f>
        <v>500713</v>
      </c>
      <c r="G12" s="872"/>
    </row>
    <row r="13" spans="1:7" x14ac:dyDescent="0.2">
      <c r="A13" s="869" t="s">
        <v>106</v>
      </c>
      <c r="B13" s="870" t="s">
        <v>1877</v>
      </c>
      <c r="C13" s="871"/>
      <c r="D13" s="869" t="s">
        <v>501</v>
      </c>
      <c r="E13" s="868"/>
      <c r="F13" s="1909">
        <f>'Expenditures 15-22'!K342</f>
        <v>600027</v>
      </c>
      <c r="G13" s="873"/>
    </row>
    <row r="14" spans="1:7" ht="12" customHeight="1" thickBot="1" x14ac:dyDescent="0.25">
      <c r="A14" s="1770"/>
      <c r="B14" s="1771"/>
      <c r="C14" s="1772"/>
      <c r="D14" s="1773" t="s">
        <v>501</v>
      </c>
      <c r="E14" s="1774" t="s">
        <v>958</v>
      </c>
      <c r="F14" s="1775">
        <f>SUM(F8:F13)</f>
        <v>14116860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281524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79318</v>
      </c>
      <c r="G52" s="865"/>
    </row>
    <row r="53" spans="1:7" x14ac:dyDescent="0.2">
      <c r="A53" s="869" t="s">
        <v>459</v>
      </c>
      <c r="B53" s="869" t="s">
        <v>1475</v>
      </c>
      <c r="C53" s="889">
        <f>'Expenditures 15-22'!B102</f>
        <v>4000</v>
      </c>
      <c r="D53" s="888" t="str">
        <f>'Expenditures 15-22'!A102</f>
        <v>Total Payments to Other Govt Units</v>
      </c>
      <c r="E53" s="868"/>
      <c r="F53" s="1913">
        <f>'Expenditures 15-22'!K102</f>
        <v>238647</v>
      </c>
      <c r="G53" s="865"/>
    </row>
    <row r="54" spans="1:7" x14ac:dyDescent="0.2">
      <c r="A54" s="869" t="s">
        <v>459</v>
      </c>
      <c r="B54" s="869" t="s">
        <v>1476</v>
      </c>
      <c r="C54" s="889" t="s">
        <v>982</v>
      </c>
      <c r="D54" s="885" t="s">
        <v>1095</v>
      </c>
      <c r="E54" s="868"/>
      <c r="F54" s="1913">
        <f>'Expenditures 15-22'!G114</f>
        <v>19315</v>
      </c>
      <c r="G54" s="865"/>
    </row>
    <row r="55" spans="1:7" x14ac:dyDescent="0.2">
      <c r="A55" s="869" t="s">
        <v>459</v>
      </c>
      <c r="B55" s="869" t="s">
        <v>1477</v>
      </c>
      <c r="C55" s="889" t="s">
        <v>982</v>
      </c>
      <c r="D55" s="885" t="s">
        <v>291</v>
      </c>
      <c r="E55" s="868"/>
      <c r="F55" s="1913">
        <f>'Expenditures 15-22'!I114</f>
        <v>70825</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21600</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465000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139295</v>
      </c>
      <c r="G64" s="865"/>
    </row>
    <row r="65" spans="1:8" x14ac:dyDescent="0.2">
      <c r="A65" s="869" t="s">
        <v>461</v>
      </c>
      <c r="B65" s="869" t="s">
        <v>1886</v>
      </c>
      <c r="C65" s="886" t="s">
        <v>982</v>
      </c>
      <c r="D65" s="885" t="s">
        <v>1095</v>
      </c>
      <c r="E65" s="868"/>
      <c r="F65" s="1913">
        <f>'Expenditures 15-22'!G210</f>
        <v>659958</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12674</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1988156</v>
      </c>
      <c r="G76" s="865"/>
    </row>
    <row r="77" spans="1:8" s="893" customFormat="1" ht="12" customHeight="1" thickTop="1" thickBot="1" x14ac:dyDescent="0.25">
      <c r="A77" s="1779"/>
      <c r="B77" s="1776"/>
      <c r="C77" s="1772"/>
      <c r="D77" s="1777" t="s">
        <v>1896</v>
      </c>
      <c r="E77" s="1774"/>
      <c r="F77" s="1780">
        <f>(F14-F76)</f>
        <v>12128704</v>
      </c>
      <c r="G77" s="869"/>
    </row>
    <row r="78" spans="1:8" s="893" customFormat="1" ht="12" customHeight="1" thickTop="1" x14ac:dyDescent="0.2">
      <c r="A78" s="1781"/>
      <c r="B78" s="1776"/>
      <c r="C78" s="1772"/>
      <c r="D78" s="1777" t="s">
        <v>2057</v>
      </c>
      <c r="E78" s="1774"/>
      <c r="F78" s="898">
        <v>1248.3</v>
      </c>
      <c r="G78" s="899"/>
      <c r="H78" s="869"/>
    </row>
    <row r="79" spans="1:8" s="893" customFormat="1" ht="12" customHeight="1" thickBot="1" x14ac:dyDescent="0.25">
      <c r="A79" s="1782"/>
      <c r="B79" s="1776"/>
      <c r="C79" s="1772"/>
      <c r="D79" s="1777" t="s">
        <v>1897</v>
      </c>
      <c r="E79" s="1774" t="s">
        <v>958</v>
      </c>
      <c r="F79" s="1783">
        <f>IF(F78&gt;0,F77/F78," Complete Line 78")</f>
        <v>9716.177200993352</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105915</v>
      </c>
      <c r="G94" s="912"/>
    </row>
    <row r="95" spans="1:7" x14ac:dyDescent="0.2">
      <c r="A95" s="908" t="s">
        <v>140</v>
      </c>
      <c r="B95" s="908" t="s">
        <v>175</v>
      </c>
      <c r="C95" s="910">
        <v>1700</v>
      </c>
      <c r="D95" s="918" t="str">
        <f>'Revenues 9-14'!A82</f>
        <v>Total District/School Activity Income</v>
      </c>
      <c r="E95" s="906"/>
      <c r="F95" s="1789">
        <f>SUM('Revenues 9-14'!C82,'Revenues 9-14'!D82)</f>
        <v>22199</v>
      </c>
      <c r="G95" s="912"/>
    </row>
    <row r="96" spans="1:7" x14ac:dyDescent="0.2">
      <c r="A96" s="908" t="s">
        <v>459</v>
      </c>
      <c r="B96" s="908" t="s">
        <v>176</v>
      </c>
      <c r="C96" s="910">
        <f>'Revenues 9-14'!B84</f>
        <v>1811</v>
      </c>
      <c r="D96" s="911" t="str">
        <f>'Revenues 9-14'!A84</f>
        <v>Rentals - Regular Textbooks</v>
      </c>
      <c r="E96" s="906"/>
      <c r="F96" s="1789">
        <f>'Revenues 9-14'!C84</f>
        <v>23795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675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10413</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71963</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6449</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18217</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282429</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95199</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21068</v>
      </c>
      <c r="G124" s="930"/>
    </row>
    <row r="125" spans="1:7" x14ac:dyDescent="0.2">
      <c r="A125" s="927" t="s">
        <v>664</v>
      </c>
      <c r="B125" s="927" t="s">
        <v>2018</v>
      </c>
      <c r="C125" s="932">
        <v>4200</v>
      </c>
      <c r="D125" s="929" t="str">
        <f>'Revenues 9-14'!A198</f>
        <v>Total Food Service</v>
      </c>
      <c r="E125" s="906"/>
      <c r="F125" s="1789">
        <f>SUM('Revenues 9-14'!C198,'Revenues 9-14'!G198)</f>
        <v>344880</v>
      </c>
      <c r="G125" s="930"/>
    </row>
    <row r="126" spans="1:7" x14ac:dyDescent="0.2">
      <c r="A126" s="927" t="s">
        <v>668</v>
      </c>
      <c r="B126" s="927" t="s">
        <v>2019</v>
      </c>
      <c r="C126" s="932">
        <v>4300</v>
      </c>
      <c r="D126" s="933" t="str">
        <f>'Revenues 9-14'!A204</f>
        <v>Total Title I</v>
      </c>
      <c r="E126" s="906"/>
      <c r="F126" s="1789">
        <f>SUM('Revenues 9-14'!C204,'Revenues 9-14'!D204,'Revenues 9-14'!F204,'Revenues 9-14'!G204)</f>
        <v>516516</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6327</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50761</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25195</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310935</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575048.78</v>
      </c>
      <c r="G171" s="927"/>
    </row>
    <row r="172" spans="1:7" x14ac:dyDescent="0.2">
      <c r="A172" s="1918" t="s">
        <v>664</v>
      </c>
      <c r="B172" s="1919" t="s">
        <v>1916</v>
      </c>
      <c r="C172" s="1920">
        <v>3300</v>
      </c>
      <c r="D172" s="1921" t="s">
        <v>1919</v>
      </c>
      <c r="E172" s="906"/>
      <c r="F172" s="1906">
        <v>577.98</v>
      </c>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2488562.7600000002</v>
      </c>
    </row>
    <row r="175" spans="1:7" ht="12" customHeight="1" x14ac:dyDescent="0.2">
      <c r="A175" s="1770"/>
      <c r="B175" s="1784"/>
      <c r="C175" s="1785"/>
      <c r="D175" s="1786" t="s">
        <v>2052</v>
      </c>
      <c r="E175" s="1787"/>
      <c r="F175" s="1789">
        <f>'PCTC-OEPP 27-28'!F77-F174</f>
        <v>9640141.2400000002</v>
      </c>
    </row>
    <row r="176" spans="1:7" ht="12" customHeight="1" x14ac:dyDescent="0.2">
      <c r="A176" s="1770"/>
      <c r="B176" s="1784"/>
      <c r="C176" s="1785"/>
      <c r="D176" s="1786" t="s">
        <v>1814</v>
      </c>
      <c r="E176" s="1787"/>
      <c r="F176" s="1789">
        <f>'Cap Outlay Deprec 26'!I18</f>
        <v>583161.5</v>
      </c>
    </row>
    <row r="177" spans="1:7" ht="12" customHeight="1" x14ac:dyDescent="0.2">
      <c r="A177" s="1770"/>
      <c r="B177" s="1784"/>
      <c r="C177" s="1785"/>
      <c r="D177" s="1786" t="s">
        <v>2053</v>
      </c>
      <c r="E177" s="1787"/>
      <c r="F177" s="1789">
        <f>F175+F176</f>
        <v>10223302.74</v>
      </c>
    </row>
    <row r="178" spans="1:7" ht="12" customHeight="1" x14ac:dyDescent="0.2">
      <c r="A178" s="1770"/>
      <c r="B178" s="1790"/>
      <c r="C178" s="1785"/>
      <c r="D178" s="1786" t="str">
        <f>D78</f>
        <v>9 Month ADA from District Average Daily Attendance/Prior General State Aid Inquiry 2018-2019</v>
      </c>
      <c r="E178" s="1787"/>
      <c r="F178" s="1791">
        <f>'PCTC-OEPP 27-28'!F78</f>
        <v>1248.3</v>
      </c>
      <c r="G178" s="930"/>
    </row>
    <row r="179" spans="1:7" ht="12" customHeight="1" thickBot="1" x14ac:dyDescent="0.25">
      <c r="A179" s="1770"/>
      <c r="B179" s="1790"/>
      <c r="C179" s="1785"/>
      <c r="D179" s="1786" t="s">
        <v>2054</v>
      </c>
      <c r="E179" s="1787" t="s">
        <v>1545</v>
      </c>
      <c r="F179" s="1792">
        <f>F177/F178</f>
        <v>8189.7802931987508</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2"/>
  <sheetViews>
    <sheetView showGridLines="0" zoomScaleNormal="100" workbookViewId="0">
      <selection activeCell="J35" sqref="J35"/>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9" t="s">
        <v>1815</v>
      </c>
      <c r="B4" s="2280"/>
      <c r="C4" s="2280"/>
      <c r="D4" s="2280"/>
      <c r="E4" s="2280"/>
      <c r="F4" s="2280"/>
      <c r="G4" s="2281"/>
    </row>
    <row r="5" spans="1:7" x14ac:dyDescent="0.25">
      <c r="A5" s="2282"/>
      <c r="B5" s="2283"/>
      <c r="C5" s="2283"/>
      <c r="D5" s="2283"/>
      <c r="E5" s="2283"/>
      <c r="F5" s="2283"/>
      <c r="G5" s="2284"/>
    </row>
    <row r="6" spans="1:7" ht="18.75" x14ac:dyDescent="0.25">
      <c r="A6" s="1937" t="s">
        <v>2061</v>
      </c>
      <c r="B6" s="1938"/>
      <c r="C6" s="1938"/>
      <c r="D6" s="1938"/>
      <c r="E6" s="1938"/>
      <c r="F6" s="1938"/>
      <c r="G6" s="1939"/>
    </row>
    <row r="7" spans="1:7" ht="18.75" x14ac:dyDescent="0.25">
      <c r="A7" s="1534" t="s">
        <v>1816</v>
      </c>
      <c r="B7" s="1535"/>
      <c r="C7" s="1535"/>
      <c r="D7" s="1535"/>
      <c r="E7" s="1535"/>
      <c r="F7" s="1535"/>
      <c r="G7" s="1536"/>
    </row>
    <row r="8" spans="1:7" ht="30.75" customHeight="1" x14ac:dyDescent="0.25">
      <c r="A8" s="2285" t="s">
        <v>1928</v>
      </c>
      <c r="B8" s="2286"/>
      <c r="C8" s="2286"/>
      <c r="D8" s="2286"/>
      <c r="E8" s="2286"/>
      <c r="F8" s="2286"/>
      <c r="G8" s="2287"/>
    </row>
    <row r="9" spans="1:7" ht="15.75" customHeight="1" x14ac:dyDescent="0.25">
      <c r="A9" s="2288" t="s">
        <v>1903</v>
      </c>
      <c r="B9" s="2289"/>
      <c r="C9" s="2289"/>
      <c r="D9" s="2289"/>
      <c r="E9" s="2289"/>
      <c r="F9" s="2289"/>
      <c r="G9" s="2290"/>
    </row>
    <row r="10" spans="1:7" ht="35.25" customHeight="1" x14ac:dyDescent="0.25">
      <c r="A10" s="2285" t="s">
        <v>2060</v>
      </c>
      <c r="B10" s="2286"/>
      <c r="C10" s="2286"/>
      <c r="D10" s="2286"/>
      <c r="E10" s="2286"/>
      <c r="F10" s="2286"/>
      <c r="G10" s="2287"/>
    </row>
    <row r="11" spans="1:7" ht="15" customHeight="1" x14ac:dyDescent="0.25">
      <c r="A11" s="1537" t="s">
        <v>1817</v>
      </c>
      <c r="B11" s="1538"/>
      <c r="C11" s="1538"/>
      <c r="D11" s="1538"/>
      <c r="E11" s="1538"/>
      <c r="F11" s="1538"/>
      <c r="G11" s="1539"/>
    </row>
    <row r="12" spans="1:7" ht="17.25" customHeight="1" x14ac:dyDescent="0.25">
      <c r="A12" s="2285" t="s">
        <v>1930</v>
      </c>
      <c r="B12" s="2286"/>
      <c r="C12" s="2286"/>
      <c r="D12" s="2286"/>
      <c r="E12" s="2286"/>
      <c r="F12" s="2286"/>
      <c r="G12" s="2287"/>
    </row>
    <row r="13" spans="1:7" ht="15" customHeight="1" x14ac:dyDescent="0.25">
      <c r="A13" s="1537" t="s">
        <v>1822</v>
      </c>
      <c r="B13" s="1538"/>
      <c r="C13" s="1538"/>
      <c r="D13" s="1538"/>
      <c r="E13" s="1538"/>
      <c r="F13" s="1538"/>
      <c r="G13" s="1539"/>
    </row>
    <row r="14" spans="1:7" ht="32.25" customHeight="1" x14ac:dyDescent="0.25">
      <c r="A14" s="2276" t="s">
        <v>1971</v>
      </c>
      <c r="B14" s="2277"/>
      <c r="C14" s="2277"/>
      <c r="D14" s="2277"/>
      <c r="E14" s="2277"/>
      <c r="F14" s="2277"/>
      <c r="G14" s="2278"/>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2081</v>
      </c>
      <c r="B18" s="1941" t="s">
        <v>2080</v>
      </c>
      <c r="C18" s="1942" t="s">
        <v>2082</v>
      </c>
      <c r="D18" s="1844">
        <v>7260</v>
      </c>
      <c r="E18" s="1540">
        <f t="shared" ref="E18:E142" si="0">IF(D18&lt;=25000,D18,IF(D18&gt;25000,25000,0))</f>
        <v>7260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7260</v>
      </c>
      <c r="G18" s="1793">
        <f>IF(F18=0,0,D18-F18)</f>
        <v>0</v>
      </c>
      <c r="H18" s="1647"/>
    </row>
    <row r="19" spans="1:8" x14ac:dyDescent="0.25">
      <c r="A19" s="1940" t="s">
        <v>2084</v>
      </c>
      <c r="B19" s="1941" t="s">
        <v>2083</v>
      </c>
      <c r="C19" s="1942" t="s">
        <v>2070</v>
      </c>
      <c r="D19" s="1844">
        <v>10600</v>
      </c>
      <c r="E19" s="1540">
        <f t="shared" ref="E19:E141" si="2">IF(D19&lt;=25000,D19,IF(D19&gt;25000,25000,0))</f>
        <v>10600</v>
      </c>
      <c r="F19" s="1936">
        <f t="shared" si="1"/>
        <v>10600</v>
      </c>
      <c r="G19" s="1793">
        <f t="shared" ref="G19:G141" si="3">IF(F19=0,0,D19-F19)</f>
        <v>0</v>
      </c>
    </row>
    <row r="20" spans="1:8" x14ac:dyDescent="0.25">
      <c r="A20" s="1940" t="s">
        <v>2081</v>
      </c>
      <c r="B20" s="1941" t="s">
        <v>2085</v>
      </c>
      <c r="C20" s="1942" t="s">
        <v>2086</v>
      </c>
      <c r="D20" s="1844">
        <v>3050</v>
      </c>
      <c r="E20" s="1540">
        <f t="shared" si="2"/>
        <v>3050</v>
      </c>
      <c r="F20" s="1936">
        <f t="shared" si="1"/>
        <v>3050</v>
      </c>
      <c r="G20" s="1793">
        <f t="shared" si="3"/>
        <v>0</v>
      </c>
    </row>
    <row r="21" spans="1:8" x14ac:dyDescent="0.25">
      <c r="A21" s="1940" t="s">
        <v>2081</v>
      </c>
      <c r="B21" s="1941" t="s">
        <v>2085</v>
      </c>
      <c r="C21" s="1942" t="s">
        <v>2087</v>
      </c>
      <c r="D21" s="1844">
        <v>3342</v>
      </c>
      <c r="E21" s="1540">
        <f t="shared" si="2"/>
        <v>3342</v>
      </c>
      <c r="F21" s="1936">
        <f t="shared" si="1"/>
        <v>3342</v>
      </c>
      <c r="G21" s="1793">
        <f t="shared" si="3"/>
        <v>0</v>
      </c>
    </row>
    <row r="22" spans="1:8" x14ac:dyDescent="0.25">
      <c r="A22" s="1940" t="s">
        <v>2081</v>
      </c>
      <c r="B22" s="1941" t="s">
        <v>2085</v>
      </c>
      <c r="C22" s="1942" t="s">
        <v>2088</v>
      </c>
      <c r="D22" s="1844">
        <v>10181</v>
      </c>
      <c r="E22" s="1540">
        <f t="shared" si="2"/>
        <v>10181</v>
      </c>
      <c r="F22" s="1936">
        <f t="shared" si="1"/>
        <v>10181</v>
      </c>
      <c r="G22" s="1793">
        <f t="shared" si="3"/>
        <v>0</v>
      </c>
    </row>
    <row r="23" spans="1:8" x14ac:dyDescent="0.25">
      <c r="A23" s="1940" t="s">
        <v>2091</v>
      </c>
      <c r="B23" s="1941" t="s">
        <v>2089</v>
      </c>
      <c r="C23" s="1942" t="s">
        <v>2090</v>
      </c>
      <c r="D23" s="1844">
        <v>2301</v>
      </c>
      <c r="E23" s="1540">
        <f t="shared" si="2"/>
        <v>2301</v>
      </c>
      <c r="F23" s="1936">
        <f t="shared" si="1"/>
        <v>2301</v>
      </c>
      <c r="G23" s="1793">
        <f t="shared" si="3"/>
        <v>0</v>
      </c>
    </row>
    <row r="24" spans="1:8" x14ac:dyDescent="0.25">
      <c r="A24" s="1940" t="s">
        <v>2091</v>
      </c>
      <c r="B24" s="1941" t="s">
        <v>2089</v>
      </c>
      <c r="C24" s="1942" t="s">
        <v>2092</v>
      </c>
      <c r="D24" s="1844">
        <v>4178</v>
      </c>
      <c r="E24" s="1540">
        <f t="shared" si="2"/>
        <v>4178</v>
      </c>
      <c r="F24" s="1936">
        <f t="shared" si="1"/>
        <v>4178</v>
      </c>
      <c r="G24" s="1793">
        <f t="shared" si="3"/>
        <v>0</v>
      </c>
    </row>
    <row r="25" spans="1:8" x14ac:dyDescent="0.25">
      <c r="A25" s="1940" t="s">
        <v>2091</v>
      </c>
      <c r="B25" s="1941" t="s">
        <v>2093</v>
      </c>
      <c r="C25" s="1942" t="s">
        <v>2088</v>
      </c>
      <c r="D25" s="1844">
        <v>9725</v>
      </c>
      <c r="E25" s="1540">
        <f t="shared" si="2"/>
        <v>9725</v>
      </c>
      <c r="F25" s="1936">
        <f t="shared" si="1"/>
        <v>9725</v>
      </c>
      <c r="G25" s="1793">
        <f t="shared" si="3"/>
        <v>0</v>
      </c>
    </row>
    <row r="26" spans="1:8" x14ac:dyDescent="0.25">
      <c r="A26" s="1940" t="s">
        <v>2091</v>
      </c>
      <c r="B26" s="1941" t="s">
        <v>2089</v>
      </c>
      <c r="C26" s="1942" t="s">
        <v>2094</v>
      </c>
      <c r="D26" s="1844">
        <v>66979</v>
      </c>
      <c r="E26" s="1540">
        <f t="shared" si="2"/>
        <v>25000</v>
      </c>
      <c r="F26" s="1936">
        <f t="shared" si="1"/>
        <v>25000</v>
      </c>
      <c r="G26" s="1793">
        <f t="shared" si="3"/>
        <v>41979</v>
      </c>
    </row>
    <row r="27" spans="1:8" x14ac:dyDescent="0.25">
      <c r="A27" s="1940" t="s">
        <v>2091</v>
      </c>
      <c r="B27" s="1941" t="s">
        <v>2093</v>
      </c>
      <c r="C27" s="1942" t="s">
        <v>2095</v>
      </c>
      <c r="D27" s="1844">
        <v>3745</v>
      </c>
      <c r="E27" s="1540">
        <f t="shared" si="2"/>
        <v>3745</v>
      </c>
      <c r="F27" s="1936">
        <f t="shared" si="1"/>
        <v>3745</v>
      </c>
      <c r="G27" s="1793">
        <f t="shared" si="3"/>
        <v>0</v>
      </c>
    </row>
    <row r="28" spans="1:8" x14ac:dyDescent="0.25">
      <c r="A28" s="1940" t="s">
        <v>2091</v>
      </c>
      <c r="B28" s="1941" t="s">
        <v>2089</v>
      </c>
      <c r="C28" s="1942" t="s">
        <v>2096</v>
      </c>
      <c r="D28" s="1844">
        <v>10846</v>
      </c>
      <c r="E28" s="1540">
        <f t="shared" si="2"/>
        <v>10846</v>
      </c>
      <c r="F28" s="1936">
        <f t="shared" si="1"/>
        <v>10846</v>
      </c>
      <c r="G28" s="1793">
        <f t="shared" si="3"/>
        <v>0</v>
      </c>
    </row>
    <row r="29" spans="1:8" x14ac:dyDescent="0.25">
      <c r="A29" s="1940" t="s">
        <v>2099</v>
      </c>
      <c r="B29" s="1941" t="s">
        <v>2097</v>
      </c>
      <c r="C29" s="1942" t="s">
        <v>2098</v>
      </c>
      <c r="D29" s="1844">
        <v>60522</v>
      </c>
      <c r="E29" s="1540">
        <f t="shared" si="2"/>
        <v>25000</v>
      </c>
      <c r="F29" s="1936">
        <f t="shared" si="1"/>
        <v>25000</v>
      </c>
      <c r="G29" s="1793">
        <f t="shared" si="3"/>
        <v>35522</v>
      </c>
    </row>
    <row r="30" spans="1:8" x14ac:dyDescent="0.25">
      <c r="A30" s="1940" t="s">
        <v>2101</v>
      </c>
      <c r="B30" s="1941" t="s">
        <v>2097</v>
      </c>
      <c r="C30" s="1942" t="s">
        <v>2100</v>
      </c>
      <c r="D30" s="1844">
        <v>1427</v>
      </c>
      <c r="E30" s="1540">
        <f t="shared" si="2"/>
        <v>1427</v>
      </c>
      <c r="F30" s="1936">
        <f t="shared" si="1"/>
        <v>1427</v>
      </c>
      <c r="G30" s="1793">
        <f t="shared" si="3"/>
        <v>0</v>
      </c>
    </row>
    <row r="31" spans="1:8" x14ac:dyDescent="0.25">
      <c r="A31" s="1653"/>
      <c r="B31" s="1941"/>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194156</v>
      </c>
      <c r="E142" s="1541">
        <f t="shared" si="0"/>
        <v>25000</v>
      </c>
      <c r="F142" s="1932">
        <f>SUM(F18:F141)</f>
        <v>116655</v>
      </c>
      <c r="G142" s="1795">
        <f>SUM(G18:G141)</f>
        <v>77501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344880</v>
      </c>
      <c r="F10" s="974"/>
      <c r="G10" s="975"/>
      <c r="H10" s="162"/>
      <c r="I10" s="162"/>
    </row>
    <row r="11" spans="1:9" s="668" customFormat="1" ht="22.5" customHeight="1" x14ac:dyDescent="0.2">
      <c r="A11" s="2296" t="s">
        <v>1972</v>
      </c>
      <c r="B11" s="2297"/>
      <c r="C11" s="2297"/>
      <c r="D11" s="2298"/>
      <c r="E11" s="977">
        <v>36385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7785945</v>
      </c>
      <c r="F19" s="1799"/>
      <c r="G19" s="1801">
        <f>'Expenditures 15-22'!K33-SUM('Expenditures 15-22'!G33,'Expenditures 15-22'!I33)+'Expenditures 15-22'!D229</f>
        <v>7785945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623962</v>
      </c>
      <c r="F21" s="1802"/>
      <c r="G21" s="1805">
        <f>'Expenditures 15-22'!K42-SUM('Expenditures 15-22'!G42,'Expenditures 15-22'!I42)+'Expenditures 15-22'!K120-SUM('Expenditures 15-22'!G120,'Expenditures 15-22'!I120)+'Expenditures 15-22'!K180-SUM('Expenditures 15-22'!G180,'Expenditures 15-22'!I180)+'Expenditures 15-22'!D238</f>
        <v>623962</v>
      </c>
      <c r="H21" s="987"/>
      <c r="I21" s="162"/>
    </row>
    <row r="22" spans="1:9" s="668" customFormat="1" ht="12" customHeight="1" x14ac:dyDescent="0.2">
      <c r="A22" s="994" t="s">
        <v>564</v>
      </c>
      <c r="B22" s="995"/>
      <c r="C22" s="993">
        <v>2200</v>
      </c>
      <c r="D22" s="1802"/>
      <c r="E22" s="1804">
        <f>'Expenditures 15-22'!K47-SUM('Expenditures 15-22'!G47,'Expenditures 15-22'!I47)+'Expenditures 15-22'!D243</f>
        <v>264807</v>
      </c>
      <c r="F22" s="1802"/>
      <c r="G22" s="1805">
        <f>'Expenditures 15-22'!K47-SUM('Expenditures 15-22'!G47,'Expenditures 15-22'!I47)+'Expenditures 15-22'!D243</f>
        <v>264807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818447</v>
      </c>
      <c r="F23" s="1802"/>
      <c r="G23" s="1804">
        <f>'Expenditures 15-22'!K53-SUM('Expenditures 15-22'!G53,'Expenditures 15-22'!I53)+'Expenditures 15-22'!D257+'Expenditures 15-22'!K330-SUM('Expenditures 15-22'!G330,'Expenditures 15-22'!I330)</f>
        <v>818447</v>
      </c>
      <c r="H23" s="987"/>
      <c r="I23" s="162"/>
    </row>
    <row r="24" spans="1:9" s="668" customFormat="1" ht="12" customHeight="1" x14ac:dyDescent="0.2">
      <c r="A24" s="994" t="s">
        <v>566</v>
      </c>
      <c r="B24" s="995"/>
      <c r="C24" s="993">
        <v>2400</v>
      </c>
      <c r="D24" s="1802"/>
      <c r="E24" s="1804">
        <f>'Expenditures 15-22'!K57-SUM('Expenditures 15-22'!G57,'Expenditures 15-22'!I57)+'Expenditures 15-22'!D261</f>
        <v>501837</v>
      </c>
      <c r="F24" s="1802"/>
      <c r="G24" s="1805">
        <f>'Expenditures 15-22'!K57-SUM('Expenditures 15-22'!G57,'Expenditures 15-22'!I57)+'Expenditures 15-22'!D261</f>
        <v>501837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21739</v>
      </c>
      <c r="E26" s="1804">
        <f>'Expenditures 15-22'!K122-SUM('Expenditures 15-22'!G122,'Expenditures 15-22'!I122)+E7</f>
        <v>0</v>
      </c>
      <c r="F26" s="1804">
        <f>'Expenditures 15-22'!K59-SUM('Expenditures 15-22'!G59,'Expenditures 15-22'!I59)+'Expenditures 15-22'!D263-E7</f>
        <v>21739</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69773</v>
      </c>
      <c r="E27" s="1804">
        <f>E8</f>
        <v>0</v>
      </c>
      <c r="F27" s="1804">
        <f>'Expenditures 15-22'!K60-SUM('Expenditures 15-22'!G60,'Expenditures 15-22'!I60)+'Expenditures 15-22'!D264-E8</f>
        <v>69773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1024773</v>
      </c>
      <c r="F28" s="1806">
        <f>'Expenditures 15-22'!K61-SUM('Expenditures 15-22'!G61,'Expenditures 15-22'!I61)+'Expenditures 15-22'!K124-SUM('Expenditures 15-22'!G124,'Expenditures 15-22'!I124)+'Expenditures 15-22'!D266-E9</f>
        <v>1024773</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534770</v>
      </c>
      <c r="F29" s="1802"/>
      <c r="G29" s="1805">
        <f>'Expenditures 15-22'!K62-SUM('Expenditures 15-22'!G62,'Expenditures 15-22'!I62)+'Expenditures 15-22'!K125-SUM('Expenditures 15-22'!G125,'Expenditures 15-22'!I125)+'Expenditures 15-22'!K182-SUM('Expenditures 15-22'!G182,'Expenditures 15-22'!I182)+'Expenditures 15-22'!D267</f>
        <v>534770</v>
      </c>
      <c r="H29" s="985"/>
    </row>
    <row r="30" spans="1:9" ht="12" customHeight="1" x14ac:dyDescent="0.2">
      <c r="A30" s="994" t="s">
        <v>100</v>
      </c>
      <c r="B30" s="997"/>
      <c r="C30" s="993">
        <v>2560</v>
      </c>
      <c r="D30" s="1802"/>
      <c r="E30" s="1804">
        <f>'Expenditures 15-22'!K63-SUM('Expenditures 15-22'!G63,'Expenditures 15-22'!I63)+'Expenditures 15-22'!D268-E10</f>
        <v>167429</v>
      </c>
      <c r="F30" s="1802"/>
      <c r="G30" s="1804">
        <f>'Expenditures 15-22'!K63-SUM('Expenditures 15-22'!G63,'Expenditures 15-22'!I63)+'Expenditures 15-22'!D268-E10</f>
        <v>167429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79318</v>
      </c>
      <c r="F39" s="1802"/>
      <c r="G39" s="1804">
        <f>'Expenditures 15-22'!K75-SUM('Expenditures 15-22'!G75,'Expenditures 15-22'!I75)+'Expenditures 15-22'!K130-SUM('Expenditures 15-22'!G130,'Expenditures 15-22'!I130)+'Expenditures 15-22'!K185-SUM('Expenditures 15-22'!G185,'Expenditures 15-22'!I185)+'Expenditures 15-22'!D280</f>
        <v>79318</v>
      </c>
    </row>
    <row r="40" spans="1:7" ht="12" customHeight="1" x14ac:dyDescent="0.2">
      <c r="A40" s="990" t="s">
        <v>1820</v>
      </c>
      <c r="B40" s="991"/>
      <c r="C40" s="993"/>
      <c r="D40" s="1802"/>
      <c r="E40" s="1806">
        <f>-'Contracts Paid in CY 29'!G142</f>
        <v>-77501</v>
      </c>
      <c r="F40" s="1802"/>
      <c r="G40" s="1806">
        <f>-'Contracts Paid in CY 29'!G142</f>
        <v>-77501</v>
      </c>
    </row>
    <row r="41" spans="1:7" ht="12" customHeight="1" x14ac:dyDescent="0.2">
      <c r="A41" s="998" t="s">
        <v>156</v>
      </c>
      <c r="B41" s="999"/>
      <c r="C41" s="1000"/>
      <c r="D41" s="1806">
        <f>SUM(D19:D39)</f>
        <v>91512</v>
      </c>
      <c r="E41" s="1806">
        <f>SUM(E19:E40)</f>
        <v>11723787</v>
      </c>
      <c r="F41" s="1806">
        <f>SUM(F19:F39)</f>
        <v>1116285</v>
      </c>
      <c r="G41" s="1806">
        <f>SUM(G19:G40)</f>
        <v>10699014</v>
      </c>
    </row>
    <row r="42" spans="1:7" x14ac:dyDescent="0.2">
      <c r="A42" s="987"/>
      <c r="B42" s="162"/>
      <c r="C42" s="1001"/>
      <c r="D42" s="2294" t="s">
        <v>522</v>
      </c>
      <c r="E42" s="2295"/>
      <c r="F42" s="1002" t="s">
        <v>523</v>
      </c>
      <c r="G42" s="1003"/>
    </row>
    <row r="43" spans="1:7" ht="12" customHeight="1" x14ac:dyDescent="0.2">
      <c r="A43" s="987"/>
      <c r="B43" s="162"/>
      <c r="C43" s="1001"/>
      <c r="D43" s="1807" t="s">
        <v>473</v>
      </c>
      <c r="E43" s="1808">
        <f>D41</f>
        <v>91512</v>
      </c>
      <c r="F43" s="1807" t="s">
        <v>473</v>
      </c>
      <c r="G43" s="1808">
        <f>F41</f>
        <v>1116285</v>
      </c>
    </row>
    <row r="44" spans="1:7" ht="12" customHeight="1" x14ac:dyDescent="0.2">
      <c r="A44" s="987"/>
      <c r="B44" s="162"/>
      <c r="C44" s="1001"/>
      <c r="D44" s="1807" t="s">
        <v>474</v>
      </c>
      <c r="E44" s="1808">
        <f>E41</f>
        <v>11723787</v>
      </c>
      <c r="F44" s="1807" t="s">
        <v>474</v>
      </c>
      <c r="G44" s="1808">
        <f>G41</f>
        <v>10699014</v>
      </c>
    </row>
    <row r="45" spans="1:7" ht="12" customHeight="1" x14ac:dyDescent="0.2">
      <c r="A45" s="987"/>
      <c r="B45" s="162"/>
      <c r="C45" s="162"/>
      <c r="D45" s="1809" t="s">
        <v>1006</v>
      </c>
      <c r="E45" s="1810">
        <f>(E43/E44)</f>
        <v>7.8056689361551863E-3</v>
      </c>
      <c r="F45" s="1809" t="s">
        <v>1006</v>
      </c>
      <c r="G45" s="1810">
        <f>(G43/G44)</f>
        <v>0.10433531538513736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17" activePane="bottomLeft" state="frozen"/>
      <selection activeCell="A47" sqref="A47"/>
      <selection pane="bottomLeft" activeCell="F32" sqref="F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3" t="s">
        <v>1379</v>
      </c>
      <c r="B1" s="2313"/>
      <c r="C1" s="2313"/>
      <c r="D1" s="2313"/>
      <c r="E1" s="2313"/>
      <c r="F1" s="2313"/>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14" t="s">
        <v>1546</v>
      </c>
      <c r="B5" s="2315"/>
      <c r="C5" s="2316"/>
      <c r="D5" s="2316"/>
      <c r="E5" s="2316"/>
      <c r="F5" s="2316"/>
    </row>
    <row r="6" spans="1:10" ht="12" customHeight="1" x14ac:dyDescent="0.25">
      <c r="A6" s="1850"/>
      <c r="B6" s="1851"/>
      <c r="C6" s="2317" t="str">
        <f>COVER!A17</f>
        <v>Carmi-White County CUSD 5</v>
      </c>
      <c r="D6" s="2317"/>
      <c r="E6" s="2317"/>
      <c r="F6" s="1852"/>
    </row>
    <row r="7" spans="1:10" ht="11.25" customHeight="1" thickBot="1" x14ac:dyDescent="0.3">
      <c r="A7" s="1850"/>
      <c r="B7" s="1851"/>
      <c r="C7" s="2318">
        <f>COVER!A13</f>
        <v>20097005026</v>
      </c>
      <c r="D7" s="2318"/>
      <c r="E7" s="2318"/>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2062</v>
      </c>
      <c r="D26" s="1865" t="s">
        <v>2062</v>
      </c>
      <c r="E26" s="1868"/>
      <c r="F26" s="1867" t="s">
        <v>2156</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2062</v>
      </c>
      <c r="D30" s="1865"/>
      <c r="E30" s="1868"/>
      <c r="F30" s="1867" t="s">
        <v>2157</v>
      </c>
      <c r="H30" s="1878">
        <f t="shared" si="0"/>
        <v>5</v>
      </c>
      <c r="I30" s="1878">
        <f t="shared" si="1"/>
        <v>0</v>
      </c>
      <c r="J30" s="1878">
        <f t="shared" si="2"/>
        <v>0</v>
      </c>
    </row>
    <row r="31" spans="1:12" ht="12" customHeight="1" x14ac:dyDescent="0.2">
      <c r="A31" s="1863" t="s">
        <v>1539</v>
      </c>
      <c r="B31" s="1864"/>
      <c r="C31" s="1865" t="s">
        <v>2062</v>
      </c>
      <c r="D31" s="1865" t="s">
        <v>2062</v>
      </c>
      <c r="E31" s="1868"/>
      <c r="F31" s="1867" t="s">
        <v>2158</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10</v>
      </c>
      <c r="J34" s="1878">
        <f>SUM(J11:J32)</f>
        <v>0</v>
      </c>
      <c r="K34" s="1878">
        <f>SUM(H34:J34)</f>
        <v>25</v>
      </c>
    </row>
    <row r="35" spans="1:11" ht="12" customHeight="1" x14ac:dyDescent="0.2">
      <c r="A35" s="1871" t="s">
        <v>1392</v>
      </c>
      <c r="B35" s="1872"/>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7" colorId="8" zoomScale="110" zoomScaleNormal="110" workbookViewId="0">
      <selection activeCell="H23" sqref="H2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6" t="str">
        <f>COVER!A17</f>
        <v>Carmi-White County CUSD 5</v>
      </c>
      <c r="J6" s="2327"/>
      <c r="Q6" s="1664"/>
    </row>
    <row r="7" spans="1:17" x14ac:dyDescent="0.2">
      <c r="A7" s="2328" t="s">
        <v>869</v>
      </c>
      <c r="B7" s="2329"/>
      <c r="C7" s="2329"/>
      <c r="D7" s="2329"/>
      <c r="E7" s="2330"/>
      <c r="F7" s="1017"/>
      <c r="G7" s="1009"/>
      <c r="H7" s="1016" t="s">
        <v>372</v>
      </c>
      <c r="I7" s="2331">
        <f>COVER!A13</f>
        <v>20097005026</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186387</v>
      </c>
      <c r="F12" s="1039"/>
      <c r="G12" s="1811">
        <f t="shared" ref="G12:G18" si="0">SUM(E12:F12)</f>
        <v>186387</v>
      </c>
      <c r="H12" s="1040">
        <v>192274</v>
      </c>
      <c r="I12" s="1039"/>
      <c r="J12" s="1811">
        <f t="shared" ref="J12:J18" si="1">SUM(H12:I12)</f>
        <v>192274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2873</v>
      </c>
      <c r="F14" s="1039"/>
      <c r="G14" s="1811">
        <f t="shared" si="0"/>
        <v>2873</v>
      </c>
      <c r="H14" s="1040">
        <v>2200</v>
      </c>
      <c r="I14" s="1039"/>
      <c r="J14" s="1811">
        <f t="shared" si="1"/>
        <v>2200</v>
      </c>
    </row>
    <row r="15" spans="1:17" ht="15" customHeight="1" x14ac:dyDescent="0.2">
      <c r="A15" s="1035">
        <v>4</v>
      </c>
      <c r="B15" s="1036" t="s">
        <v>1068</v>
      </c>
      <c r="C15" s="1037"/>
      <c r="D15" s="1038">
        <v>2510</v>
      </c>
      <c r="E15" s="1811">
        <f>'Expenditures 15-22'!K59</f>
        <v>21739</v>
      </c>
      <c r="F15" s="1811">
        <f>'Expenditures 15-22'!K122</f>
        <v>0</v>
      </c>
      <c r="G15" s="1811">
        <f t="shared" si="0"/>
        <v>21739</v>
      </c>
      <c r="H15" s="1040">
        <v>23407</v>
      </c>
      <c r="I15" s="1040"/>
      <c r="J15" s="1811">
        <f t="shared" si="1"/>
        <v>23407</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5" t="s">
        <v>7</v>
      </c>
      <c r="C18" s="2336"/>
      <c r="D18" s="233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210999</v>
      </c>
      <c r="F19" s="1813">
        <f t="shared" si="2"/>
        <v>0</v>
      </c>
      <c r="G19" s="1813">
        <f t="shared" si="2"/>
        <v>210999</v>
      </c>
      <c r="H19" s="1813">
        <f t="shared" si="2"/>
        <v>217881</v>
      </c>
      <c r="I19" s="1813">
        <f t="shared" si="2"/>
        <v>0</v>
      </c>
      <c r="J19" s="1813">
        <f t="shared" si="2"/>
        <v>217881</v>
      </c>
    </row>
    <row r="20" spans="1:10" ht="13.5" thickTop="1" x14ac:dyDescent="0.2">
      <c r="A20" s="1035">
        <v>9</v>
      </c>
      <c r="B20" s="2338" t="s">
        <v>1976</v>
      </c>
      <c r="C20" s="2338"/>
      <c r="D20" s="2339"/>
      <c r="E20" s="1046"/>
      <c r="F20" s="1046"/>
      <c r="G20" s="1046"/>
      <c r="H20" s="1046"/>
      <c r="I20" s="1046"/>
      <c r="J20" s="1814">
        <f>IF(AND(G19&gt;0,J19&gt;0),(((J19-G19)/G19)),"Enter Budget Data")</f>
        <v>3.2616268323546554E-2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t="s">
        <v>2159</v>
      </c>
      <c r="D28" s="2342"/>
      <c r="E28" s="1054"/>
      <c r="F28" s="2342" t="s">
        <v>2068</v>
      </c>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1978</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6"/>
  <sheetViews>
    <sheetView showGridLines="0" zoomScale="110" zoomScaleNormal="110" workbookViewId="0">
      <selection activeCell="B18" sqref="B1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B4" s="1948" t="s">
        <v>64</v>
      </c>
    </row>
    <row r="5" spans="1:2" x14ac:dyDescent="0.2">
      <c r="A5" s="1068">
        <v>1</v>
      </c>
      <c r="B5" s="329" t="s">
        <v>2181</v>
      </c>
    </row>
    <row r="6" spans="1:2" x14ac:dyDescent="0.2">
      <c r="A6" s="1068">
        <v>2</v>
      </c>
      <c r="B6" s="329" t="s">
        <v>2210</v>
      </c>
    </row>
    <row r="7" spans="1:2" x14ac:dyDescent="0.2">
      <c r="A7" s="1068"/>
      <c r="B7" s="329" t="s">
        <v>2193</v>
      </c>
    </row>
    <row r="8" spans="1:2" x14ac:dyDescent="0.2">
      <c r="A8" s="1068">
        <v>3</v>
      </c>
      <c r="B8" s="329" t="s">
        <v>2182</v>
      </c>
    </row>
    <row r="9" spans="1:2" x14ac:dyDescent="0.2">
      <c r="A9" s="1069">
        <v>4</v>
      </c>
      <c r="B9" s="329" t="s">
        <v>2183</v>
      </c>
    </row>
    <row r="10" spans="1:2" x14ac:dyDescent="0.2">
      <c r="A10" s="1069">
        <v>5</v>
      </c>
      <c r="B10" s="329" t="s">
        <v>2184</v>
      </c>
    </row>
    <row r="11" spans="1:2" x14ac:dyDescent="0.2">
      <c r="A11" s="1069"/>
    </row>
    <row r="12" spans="1:2" x14ac:dyDescent="0.2">
      <c r="A12" s="1069"/>
      <c r="B12" s="1948" t="s">
        <v>6</v>
      </c>
    </row>
    <row r="13" spans="1:2" x14ac:dyDescent="0.2">
      <c r="A13" s="1069">
        <v>1</v>
      </c>
      <c r="B13" s="329" t="s">
        <v>2211</v>
      </c>
    </row>
    <row r="14" spans="1:2" x14ac:dyDescent="0.2">
      <c r="A14" s="1069"/>
    </row>
    <row r="15" spans="1:2" x14ac:dyDescent="0.2">
      <c r="A15" s="1069"/>
      <c r="B15" s="1948" t="s">
        <v>341</v>
      </c>
    </row>
    <row r="16" spans="1:2" x14ac:dyDescent="0.2">
      <c r="A16" s="1069">
        <v>1</v>
      </c>
      <c r="B16" s="329" t="s">
        <v>2194</v>
      </c>
    </row>
    <row r="17" spans="1:2" x14ac:dyDescent="0.2">
      <c r="A17" s="1069">
        <v>2</v>
      </c>
      <c r="B17" s="329" t="s">
        <v>2212</v>
      </c>
    </row>
    <row r="18" spans="1:2" x14ac:dyDescent="0.2">
      <c r="A18" s="1069"/>
    </row>
    <row r="19" spans="1:2" x14ac:dyDescent="0.2">
      <c r="A19" s="1069"/>
      <c r="B19" s="1948" t="s">
        <v>1157</v>
      </c>
    </row>
    <row r="20" spans="1:2" x14ac:dyDescent="0.2">
      <c r="A20" s="1069">
        <v>1</v>
      </c>
      <c r="B20" s="329" t="s">
        <v>2185</v>
      </c>
    </row>
    <row r="21" spans="1:2" x14ac:dyDescent="0.2">
      <c r="A21" s="1069"/>
    </row>
    <row r="22" spans="1:2" x14ac:dyDescent="0.2">
      <c r="A22" s="1069"/>
      <c r="B22" s="1948" t="s">
        <v>2186</v>
      </c>
    </row>
    <row r="23" spans="1:2" x14ac:dyDescent="0.2">
      <c r="A23" s="1069">
        <v>1</v>
      </c>
      <c r="B23" s="329" t="s">
        <v>2187</v>
      </c>
    </row>
    <row r="24" spans="1:2" x14ac:dyDescent="0.2">
      <c r="A24" s="1069"/>
      <c r="B24" s="329" t="s">
        <v>2188</v>
      </c>
    </row>
    <row r="25" spans="1:2" x14ac:dyDescent="0.2">
      <c r="A25" s="1069">
        <v>2</v>
      </c>
      <c r="B25" s="329" t="s">
        <v>2189</v>
      </c>
    </row>
    <row r="26" spans="1:2" x14ac:dyDescent="0.2">
      <c r="A26" s="1069"/>
      <c r="B26" s="329" t="s">
        <v>2188</v>
      </c>
    </row>
    <row r="27" spans="1:2" x14ac:dyDescent="0.2">
      <c r="A27" s="1069">
        <v>3</v>
      </c>
      <c r="B27" s="329" t="s">
        <v>2190</v>
      </c>
    </row>
    <row r="28" spans="1:2" x14ac:dyDescent="0.2">
      <c r="A28" s="1069"/>
      <c r="B28" s="329" t="s">
        <v>2188</v>
      </c>
    </row>
    <row r="29" spans="1:2" x14ac:dyDescent="0.2">
      <c r="A29" s="1069">
        <v>4</v>
      </c>
      <c r="B29" s="329" t="s">
        <v>2191</v>
      </c>
    </row>
    <row r="30" spans="1:2" x14ac:dyDescent="0.2">
      <c r="A30" s="1069"/>
      <c r="B30" s="329" t="s">
        <v>2188</v>
      </c>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Carmi-White County CUSD 5</v>
      </c>
    </row>
    <row r="66" spans="1:2" x14ac:dyDescent="0.2">
      <c r="B66" s="1070">
        <f>COVER!A13</f>
        <v>20097005026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Normal="100" workbookViewId="0">
      <selection activeCell="F16" sqref="F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5" t="s">
        <v>1685</v>
      </c>
      <c r="B18" s="234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1047750</xdr:colOff>
                <xdr:row>0</xdr:row>
                <xdr:rowOff>152400</xdr:rowOff>
              </from>
              <to>
                <xdr:col>1</xdr:col>
                <xdr:colOff>1962150</xdr:colOff>
                <xdr:row>5</xdr:row>
                <xdr:rowOff>28575</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2305050</xdr:colOff>
                <xdr:row>0</xdr:row>
                <xdr:rowOff>142875</xdr:rowOff>
              </from>
              <to>
                <xdr:col>1</xdr:col>
                <xdr:colOff>3219450</xdr:colOff>
                <xdr:row>5</xdr:row>
                <xdr:rowOff>19050</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0</xdr:col>
                <xdr:colOff>114300</xdr:colOff>
                <xdr:row>6</xdr:row>
                <xdr:rowOff>0</xdr:rowOff>
              </from>
              <to>
                <xdr:col>1</xdr:col>
                <xdr:colOff>904875</xdr:colOff>
                <xdr:row>10</xdr:row>
                <xdr:rowOff>38100</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r:id="rId13">
            <anchor moveWithCells="1">
              <from>
                <xdr:col>1</xdr:col>
                <xdr:colOff>1038225</xdr:colOff>
                <xdr:row>6</xdr:row>
                <xdr:rowOff>28575</xdr:rowOff>
              </from>
              <to>
                <xdr:col>1</xdr:col>
                <xdr:colOff>1952625</xdr:colOff>
                <xdr:row>10</xdr:row>
                <xdr:rowOff>66675</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Worksheet" dvAspect="DVASPECT_ICON" shapeId="37894" r:id="rId14">
          <objectPr defaultSize="0" r:id="rId15">
            <anchor moveWithCells="1">
              <from>
                <xdr:col>1</xdr:col>
                <xdr:colOff>2324100</xdr:colOff>
                <xdr:row>6</xdr:row>
                <xdr:rowOff>19050</xdr:rowOff>
              </from>
              <to>
                <xdr:col>1</xdr:col>
                <xdr:colOff>3238500</xdr:colOff>
                <xdr:row>10</xdr:row>
                <xdr:rowOff>57150</xdr:rowOff>
              </to>
            </anchor>
          </objectPr>
        </oleObject>
      </mc:Choice>
      <mc:Fallback>
        <oleObject progId="Worksheet" dvAspect="DVASPECT_ICON" shapeId="3789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4" zoomScale="110" zoomScaleNormal="110" workbookViewId="0">
      <selection activeCell="J28" sqref="J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1982</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1983</v>
      </c>
      <c r="B4" s="2366"/>
      <c r="C4" s="2366"/>
      <c r="D4" s="2366"/>
      <c r="E4" s="2366"/>
      <c r="F4" s="2367"/>
      <c r="G4" s="1074"/>
      <c r="H4" s="1074"/>
    </row>
    <row r="5" spans="1:8" ht="14.25" customHeight="1" x14ac:dyDescent="0.2">
      <c r="A5" s="2368" t="s">
        <v>1979</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11954324</v>
      </c>
      <c r="C8" s="1815">
        <f>'Acct Summary 7-8'!D8</f>
        <v>693555</v>
      </c>
      <c r="D8" s="1815">
        <f>'Acct Summary 7-8'!F8</f>
        <v>714015</v>
      </c>
      <c r="E8" s="1815">
        <f>'Acct Summary 7-8'!I8</f>
        <v>75511</v>
      </c>
      <c r="F8" s="1815">
        <f>SUM(B8:E8)</f>
        <v>13437405</v>
      </c>
    </row>
    <row r="9" spans="1:8" s="1079" customFormat="1" ht="14.25" customHeight="1" thickBot="1" x14ac:dyDescent="0.25">
      <c r="A9" s="1078" t="s">
        <v>1369</v>
      </c>
      <c r="B9" s="1816">
        <f>'Acct Summary 7-8'!C17</f>
        <v>10371365</v>
      </c>
      <c r="C9" s="1816">
        <f>'Acct Summary 7-8'!D17</f>
        <v>642119</v>
      </c>
      <c r="D9" s="1816">
        <f>'Acct Summary 7-8'!F17</f>
        <v>1273096</v>
      </c>
      <c r="E9" s="1815"/>
      <c r="F9" s="1815">
        <f>SUM(B9:E9)</f>
        <v>12286580</v>
      </c>
    </row>
    <row r="10" spans="1:8" s="1079" customFormat="1" ht="14.25" thickTop="1" thickBot="1" x14ac:dyDescent="0.25">
      <c r="A10" s="1080" t="s">
        <v>1370</v>
      </c>
      <c r="B10" s="1817">
        <f>(B8-B9)</f>
        <v>1582959</v>
      </c>
      <c r="C10" s="1817">
        <f>(C8-C9)</f>
        <v>51436</v>
      </c>
      <c r="D10" s="1817">
        <f>(D8-D9)</f>
        <v>-559081</v>
      </c>
      <c r="E10" s="1816">
        <f>(E8-E9)</f>
        <v>75511</v>
      </c>
      <c r="F10" s="1818">
        <f>SUM(F8-F9)</f>
        <v>1150825</v>
      </c>
    </row>
    <row r="11" spans="1:8" s="1079" customFormat="1" ht="14.25" thickTop="1" thickBot="1" x14ac:dyDescent="0.25">
      <c r="A11" s="1081" t="s">
        <v>1980</v>
      </c>
      <c r="B11" s="1819">
        <f>'Acct Summary 7-8'!C81</f>
        <v>6304361</v>
      </c>
      <c r="C11" s="1819">
        <f>'Acct Summary 7-8'!D81</f>
        <v>718012</v>
      </c>
      <c r="D11" s="1819">
        <f>'Acct Summary 7-8'!F81</f>
        <v>390570</v>
      </c>
      <c r="E11" s="1819">
        <f>'Acct Summary 7-8'!I81</f>
        <v>462134</v>
      </c>
      <c r="F11" s="1820">
        <f>SUM(B11:E11)</f>
        <v>7875077</v>
      </c>
    </row>
    <row r="12" spans="1:8" ht="16.5" customHeight="1" thickTop="1" x14ac:dyDescent="0.2">
      <c r="A12" s="1082"/>
      <c r="B12" s="1083"/>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57" sqref="C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20097005026</v>
      </c>
    </row>
    <row r="3" spans="1:2" x14ac:dyDescent="0.2">
      <c r="A3" t="s">
        <v>956</v>
      </c>
      <c r="B3" s="138" t="str">
        <f>COVER!A15</f>
        <v>White County</v>
      </c>
    </row>
    <row r="4" spans="1:2" x14ac:dyDescent="0.2">
      <c r="A4" t="s">
        <v>1007</v>
      </c>
      <c r="B4" s="138" t="str">
        <f>COVER!A17</f>
        <v>Carmi-White County CUSD 5</v>
      </c>
    </row>
    <row r="5" spans="1:2" x14ac:dyDescent="0.2">
      <c r="A5" t="s">
        <v>704</v>
      </c>
      <c r="B5" s="138" t="str">
        <f>COVER!A38</f>
        <v>Brad K. Lee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065-032563</v>
      </c>
    </row>
    <row r="16" spans="1:2" x14ac:dyDescent="0.2">
      <c r="A16" t="s">
        <v>422</v>
      </c>
      <c r="B16" s="138" t="str">
        <f>COVER!T13</f>
        <v>Kemper CPA Group LLP</v>
      </c>
    </row>
    <row r="17" spans="1:2" x14ac:dyDescent="0.2">
      <c r="A17" t="s">
        <v>884</v>
      </c>
      <c r="B17" s="138" t="str">
        <f>COVER!T15</f>
        <v>Krista McLaren</v>
      </c>
    </row>
    <row r="18" spans="1:2" x14ac:dyDescent="0.2">
      <c r="A18" t="s">
        <v>1150</v>
      </c>
      <c r="B18" s="138" t="str">
        <f>COVER!T17</f>
        <v>703 W Main Street, PO Box 447</v>
      </c>
    </row>
    <row r="19" spans="1:2" x14ac:dyDescent="0.2">
      <c r="A19" t="s">
        <v>886</v>
      </c>
      <c r="B19" s="138" t="str">
        <f>COVER!T25</f>
        <v>kmclaren@kempercpa.com</v>
      </c>
    </row>
    <row r="20" spans="1:2" x14ac:dyDescent="0.2">
      <c r="A20" t="s">
        <v>887</v>
      </c>
      <c r="B20" s="138" t="str">
        <f>COVER!T19</f>
        <v>Olney</v>
      </c>
    </row>
    <row r="21" spans="1:2" x14ac:dyDescent="0.2">
      <c r="A21" t="s">
        <v>479</v>
      </c>
      <c r="B21" s="138" t="str">
        <f>COVER!X19</f>
        <v>IL</v>
      </c>
    </row>
    <row r="22" spans="1:2" x14ac:dyDescent="0.2">
      <c r="A22" t="s">
        <v>888</v>
      </c>
      <c r="B22" s="138">
        <f>COVER!Z19</f>
        <v>62450</v>
      </c>
    </row>
    <row r="23" spans="1:2" x14ac:dyDescent="0.2">
      <c r="A23" t="s">
        <v>1152</v>
      </c>
      <c r="B23" s="138" t="str">
        <f>COVER!T21</f>
        <v>618-395-2105</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5514272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6538363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229143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234002</v>
      </c>
      <c r="C91" s="2" t="s">
        <v>573</v>
      </c>
      <c r="D91" s="2" t="str">
        <f t="shared" si="0"/>
        <v>Error?</v>
      </c>
    </row>
    <row r="92" spans="1:4" x14ac:dyDescent="0.2">
      <c r="A92" s="5">
        <v>31</v>
      </c>
      <c r="B92" s="138">
        <f>'Assets-Liab 5-6'!C39</f>
        <v>6304361</v>
      </c>
      <c r="D92" s="2" t="str">
        <f t="shared" si="0"/>
        <v>Error?</v>
      </c>
    </row>
    <row r="93" spans="1:4" x14ac:dyDescent="0.2">
      <c r="A93" s="5">
        <v>32</v>
      </c>
      <c r="B93" s="138">
        <f>'Assets-Liab 5-6'!C41</f>
        <v>6538363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609405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718673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661</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661</v>
      </c>
      <c r="C122" s="2" t="s">
        <v>573</v>
      </c>
      <c r="D122" s="2" t="str">
        <f t="shared" si="0"/>
        <v>Error?</v>
      </c>
    </row>
    <row r="123" spans="1:4" x14ac:dyDescent="0.2">
      <c r="A123" s="5">
        <v>62</v>
      </c>
      <c r="B123" s="138">
        <f>'Assets-Liab 5-6'!D39</f>
        <v>718012</v>
      </c>
      <c r="D123" s="2" t="str">
        <f t="shared" si="0"/>
        <v>Error?</v>
      </c>
    </row>
    <row r="124" spans="1:4" x14ac:dyDescent="0.2">
      <c r="A124" s="5">
        <v>63</v>
      </c>
      <c r="B124" s="138">
        <f>'Assets-Liab 5-6'!D41</f>
        <v>718673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492302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492302</v>
      </c>
      <c r="D140" s="2" t="str">
        <f t="shared" si="1"/>
        <v>Error?</v>
      </c>
    </row>
    <row r="141" spans="1:4" x14ac:dyDescent="0.2">
      <c r="A141" s="5">
        <v>80</v>
      </c>
      <c r="B141" s="138">
        <f>'Assets-Liab 5-6'!E41</f>
        <v>492302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395261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4691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4691</v>
      </c>
      <c r="C169" s="2" t="s">
        <v>573</v>
      </c>
      <c r="D169" s="2" t="str">
        <f t="shared" si="1"/>
        <v>Error?</v>
      </c>
    </row>
    <row r="170" spans="1:4" x14ac:dyDescent="0.2">
      <c r="A170" s="5">
        <v>109</v>
      </c>
      <c r="B170" s="138">
        <f>'Assets-Liab 5-6'!F39</f>
        <v>390570</v>
      </c>
      <c r="D170" s="2" t="str">
        <f t="shared" si="1"/>
        <v>Error?</v>
      </c>
    </row>
    <row r="171" spans="1:4" x14ac:dyDescent="0.2">
      <c r="A171" s="5">
        <v>110</v>
      </c>
      <c r="B171" s="138">
        <f>'Assets-Liab 5-6'!F41</f>
        <v>395261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382591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450366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402979</v>
      </c>
      <c r="D189" s="2" t="str">
        <f t="shared" si="1"/>
        <v>Error?</v>
      </c>
    </row>
    <row r="190" spans="1:4" x14ac:dyDescent="0.2">
      <c r="A190" s="5">
        <v>129</v>
      </c>
      <c r="B190" s="138">
        <f>'Assets-Liab 5-6'!G41</f>
        <v>450366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1015550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1274254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1274254</v>
      </c>
      <c r="D212" s="2" t="str">
        <f t="shared" si="2"/>
        <v>Error?</v>
      </c>
    </row>
    <row r="213" spans="1:4" x14ac:dyDescent="0.2">
      <c r="A213" s="12">
        <v>152</v>
      </c>
      <c r="B213" s="138">
        <f>'Assets-Liab 5-6'!H41</f>
        <v>1274254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71308</v>
      </c>
      <c r="D273" s="2" t="str">
        <f t="shared" si="3"/>
        <v>Error?</v>
      </c>
    </row>
    <row r="274" spans="1:4" x14ac:dyDescent="0.2">
      <c r="A274" s="5">
        <v>213</v>
      </c>
      <c r="B274" s="138">
        <f>'Assets-Liab 5-6'!M17</f>
        <v>16290265</v>
      </c>
      <c r="D274" s="2" t="str">
        <f t="shared" si="3"/>
        <v>Error?</v>
      </c>
    </row>
    <row r="275" spans="1:4" x14ac:dyDescent="0.2">
      <c r="A275" s="5">
        <v>214</v>
      </c>
      <c r="B275" s="138">
        <f>'Assets-Liab 5-6'!M18</f>
        <v>0</v>
      </c>
      <c r="D275" s="2" t="str">
        <f t="shared" si="3"/>
        <v>Error?</v>
      </c>
    </row>
    <row r="276" spans="1:4" x14ac:dyDescent="0.2">
      <c r="A276" s="5">
        <v>215</v>
      </c>
      <c r="B276" s="138">
        <f>'Assets-Liab 5-6'!M19</f>
        <v>6286039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22647612</v>
      </c>
      <c r="C279" s="2" t="s">
        <v>573</v>
      </c>
      <c r="D279" s="2" t="str">
        <f t="shared" si="3"/>
        <v>Error?</v>
      </c>
    </row>
    <row r="280" spans="1:4" x14ac:dyDescent="0.2">
      <c r="A280" s="5">
        <v>219</v>
      </c>
      <c r="B280" s="138">
        <f>'Assets-Liab 5-6'!M40</f>
        <v>22647612</v>
      </c>
      <c r="D280" s="2" t="str">
        <f t="shared" si="3"/>
        <v>Error?</v>
      </c>
    </row>
    <row r="281" spans="1:4" x14ac:dyDescent="0.2">
      <c r="A281" s="5">
        <v>220</v>
      </c>
      <c r="B281" s="138">
        <f>'Assets-Liab 5-6'!M41</f>
        <v>22647612</v>
      </c>
      <c r="C281" s="2" t="s">
        <v>573</v>
      </c>
      <c r="D281" s="2" t="str">
        <f t="shared" si="3"/>
        <v>Error?</v>
      </c>
    </row>
    <row r="282" spans="1:4" x14ac:dyDescent="0.2">
      <c r="A282" s="5">
        <v>221</v>
      </c>
      <c r="B282" s="138">
        <f>'Assets-Liab 5-6'!N21</f>
        <v>492302</v>
      </c>
      <c r="D282" s="2" t="str">
        <f t="shared" si="3"/>
        <v>Error?</v>
      </c>
    </row>
    <row r="283" spans="1:4" x14ac:dyDescent="0.2">
      <c r="A283" s="5">
        <v>222</v>
      </c>
      <c r="B283" s="138">
        <f>'Assets-Liab 5-6'!N22</f>
        <v>5092405</v>
      </c>
      <c r="D283" s="2" t="str">
        <f t="shared" si="3"/>
        <v>Error?</v>
      </c>
    </row>
    <row r="284" spans="1:4" x14ac:dyDescent="0.2">
      <c r="A284" s="5">
        <v>223</v>
      </c>
      <c r="B284" s="138">
        <f>'Assets-Liab 5-6'!N23</f>
        <v>5584707</v>
      </c>
      <c r="C284" s="2" t="s">
        <v>573</v>
      </c>
      <c r="D284" s="2" t="str">
        <f t="shared" si="3"/>
        <v>Error?</v>
      </c>
    </row>
    <row r="285" spans="1:4" x14ac:dyDescent="0.2">
      <c r="A285" s="5">
        <v>224</v>
      </c>
      <c r="B285" s="138">
        <f>'Assets-Liab 5-6'!N36</f>
        <v>5584707</v>
      </c>
      <c r="D285" s="2" t="str">
        <f t="shared" si="3"/>
        <v>Error?</v>
      </c>
    </row>
    <row r="286" spans="1:4" x14ac:dyDescent="0.2">
      <c r="A286" s="10">
        <v>225</v>
      </c>
      <c r="D286" s="2" t="str">
        <f t="shared" si="3"/>
        <v>OK</v>
      </c>
    </row>
    <row r="287" spans="1:4" x14ac:dyDescent="0.2">
      <c r="A287" s="5">
        <v>226</v>
      </c>
      <c r="B287" s="138">
        <f>'Assets-Liab 5-6'!N37</f>
        <v>5584707</v>
      </c>
      <c r="C287" s="2" t="s">
        <v>573</v>
      </c>
      <c r="D287" s="2" t="str">
        <f t="shared" si="3"/>
        <v>Error?</v>
      </c>
    </row>
    <row r="288" spans="1:4" x14ac:dyDescent="0.2">
      <c r="A288" s="5">
        <v>227</v>
      </c>
      <c r="B288" s="138">
        <f>'Assets-Liab 5-6'!N41</f>
        <v>5584707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3419613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289424</v>
      </c>
      <c r="D717" s="2" t="str">
        <f t="shared" si="10"/>
        <v>Error?</v>
      </c>
    </row>
    <row r="718" spans="1:4" x14ac:dyDescent="0.2">
      <c r="A718" s="5">
        <v>657</v>
      </c>
      <c r="B718" s="138">
        <f>'Expenditures 15-22'!C14</f>
        <v>123333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5774409</v>
      </c>
      <c r="C720" s="2" t="s">
        <v>573</v>
      </c>
      <c r="D720" s="2" t="str">
        <f t="shared" si="10"/>
        <v>Error?</v>
      </c>
    </row>
    <row r="721" spans="1:4" x14ac:dyDescent="0.2">
      <c r="A721" s="5">
        <v>660</v>
      </c>
      <c r="B721" s="138">
        <f>'Expenditures 15-22'!C36</f>
        <v>8009</v>
      </c>
      <c r="D721" s="2" t="str">
        <f t="shared" si="10"/>
        <v>Error?</v>
      </c>
    </row>
    <row r="722" spans="1:4" x14ac:dyDescent="0.2">
      <c r="A722" s="5">
        <v>661</v>
      </c>
      <c r="B722" s="138">
        <f>'Expenditures 15-22'!C37</f>
        <v>250151</v>
      </c>
      <c r="D722" s="2" t="str">
        <f t="shared" si="10"/>
        <v>Error?</v>
      </c>
    </row>
    <row r="723" spans="1:4" x14ac:dyDescent="0.2">
      <c r="A723" s="5">
        <v>662</v>
      </c>
      <c r="B723" s="138">
        <f>'Expenditures 15-22'!C38</f>
        <v>99451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113583</v>
      </c>
      <c r="D725" s="2" t="str">
        <f t="shared" si="10"/>
        <v>Error?</v>
      </c>
    </row>
    <row r="726" spans="1:4" x14ac:dyDescent="0.2">
      <c r="A726" s="5">
        <v>665</v>
      </c>
      <c r="B726" s="138">
        <f>'Expenditures 15-22'!C41</f>
        <v>46074</v>
      </c>
      <c r="D726" s="2" t="str">
        <f t="shared" si="10"/>
        <v>Error?</v>
      </c>
    </row>
    <row r="727" spans="1:4" x14ac:dyDescent="0.2">
      <c r="A727" s="5">
        <v>666</v>
      </c>
      <c r="B727" s="138">
        <f>'Expenditures 15-22'!C42</f>
        <v>517268</v>
      </c>
      <c r="C727" s="2" t="s">
        <v>573</v>
      </c>
      <c r="D727" s="2" t="str">
        <f t="shared" si="10"/>
        <v>Error?</v>
      </c>
    </row>
    <row r="728" spans="1:4" x14ac:dyDescent="0.2">
      <c r="A728" s="5">
        <v>667</v>
      </c>
      <c r="B728" s="138">
        <f>'Expenditures 15-22'!C44</f>
        <v>120223</v>
      </c>
      <c r="D728" s="2" t="str">
        <f t="shared" si="10"/>
        <v>Error?</v>
      </c>
    </row>
    <row r="729" spans="1:4" x14ac:dyDescent="0.2">
      <c r="A729" s="5">
        <v>668</v>
      </c>
      <c r="B729" s="138">
        <f>'Expenditures 15-22'!C45</f>
        <v>87659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207882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141555</v>
      </c>
      <c r="D733" s="2" t="str">
        <f t="shared" si="10"/>
        <v>Error?</v>
      </c>
    </row>
    <row r="734" spans="1:4" x14ac:dyDescent="0.2">
      <c r="A734" s="5">
        <v>673</v>
      </c>
      <c r="B734" s="138">
        <f>'Expenditures 15-22'!C53</f>
        <v>141555</v>
      </c>
      <c r="C734" s="2" t="s">
        <v>573</v>
      </c>
      <c r="D734" s="2" t="str">
        <f t="shared" si="10"/>
        <v>Error?</v>
      </c>
    </row>
    <row r="735" spans="1:4" x14ac:dyDescent="0.2">
      <c r="A735" s="5">
        <v>674</v>
      </c>
      <c r="B735" s="138">
        <f>'Expenditures 15-22'!C55</f>
        <v>411440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411440</v>
      </c>
      <c r="C737" s="2" t="s">
        <v>573</v>
      </c>
      <c r="D737" s="2" t="str">
        <f t="shared" si="10"/>
        <v>Error?</v>
      </c>
    </row>
    <row r="738" spans="1:4" x14ac:dyDescent="0.2">
      <c r="A738" s="5">
        <v>677</v>
      </c>
      <c r="B738" s="138">
        <f>'Expenditures 15-22'!C59</f>
        <v>21569</v>
      </c>
      <c r="D738" s="2" t="str">
        <f t="shared" si="10"/>
        <v>Error?</v>
      </c>
    </row>
    <row r="739" spans="1:4" x14ac:dyDescent="0.2">
      <c r="A739" s="5">
        <v>678</v>
      </c>
      <c r="B739" s="138">
        <f>'Expenditures 15-22'!C60</f>
        <v>49611</v>
      </c>
      <c r="D739" s="2" t="str">
        <f t="shared" si="10"/>
        <v>Error?</v>
      </c>
    </row>
    <row r="740" spans="1:4" x14ac:dyDescent="0.2">
      <c r="A740" s="5">
        <v>679</v>
      </c>
      <c r="B740" s="138">
        <f>'Expenditures 15-22'!C61</f>
        <v>18608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155775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245563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1523708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7298117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567466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47213</v>
      </c>
      <c r="D775" s="2" t="str">
        <f t="shared" si="11"/>
        <v>Error?</v>
      </c>
    </row>
    <row r="776" spans="1:4" x14ac:dyDescent="0.2">
      <c r="A776" s="5">
        <v>715</v>
      </c>
      <c r="B776" s="138">
        <f>'Expenditures 15-22'!D14</f>
        <v>11332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1128737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37503</v>
      </c>
      <c r="D780" s="2" t="str">
        <f t="shared" si="11"/>
        <v>Error?</v>
      </c>
    </row>
    <row r="781" spans="1:4" x14ac:dyDescent="0.2">
      <c r="A781" s="5">
        <v>720</v>
      </c>
      <c r="B781" s="138">
        <f>'Expenditures 15-22'!D38</f>
        <v>23116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10952</v>
      </c>
      <c r="D783" s="2" t="str">
        <f t="shared" si="11"/>
        <v>Error?</v>
      </c>
    </row>
    <row r="784" spans="1:4" x14ac:dyDescent="0.2">
      <c r="A784" s="5">
        <v>723</v>
      </c>
      <c r="B784" s="138">
        <f>'Expenditures 15-22'!D41</f>
        <v>2726</v>
      </c>
      <c r="D784" s="2" t="str">
        <f t="shared" si="11"/>
        <v>Error?</v>
      </c>
    </row>
    <row r="785" spans="1:4" x14ac:dyDescent="0.2">
      <c r="A785" s="5">
        <v>724</v>
      </c>
      <c r="B785" s="138">
        <f>'Expenditures 15-22'!D42</f>
        <v>74297</v>
      </c>
      <c r="C785" s="2" t="s">
        <v>573</v>
      </c>
      <c r="D785" s="2" t="str">
        <f t="shared" si="11"/>
        <v>Error?</v>
      </c>
    </row>
    <row r="786" spans="1:4" x14ac:dyDescent="0.2">
      <c r="A786" s="5">
        <v>725</v>
      </c>
      <c r="B786" s="138">
        <f>'Expenditures 15-22'!D44</f>
        <v>33294</v>
      </c>
      <c r="D786" s="2" t="str">
        <f t="shared" si="11"/>
        <v>Error?</v>
      </c>
    </row>
    <row r="787" spans="1:4" x14ac:dyDescent="0.2">
      <c r="A787" s="5">
        <v>726</v>
      </c>
      <c r="B787" s="138">
        <f>'Expenditures 15-22'!D45</f>
        <v>10418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43712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11141</v>
      </c>
      <c r="D791" s="2" t="str">
        <f t="shared" si="11"/>
        <v>Error?</v>
      </c>
    </row>
    <row r="792" spans="1:4" x14ac:dyDescent="0.2">
      <c r="A792" s="5">
        <v>731</v>
      </c>
      <c r="B792" s="138">
        <f>'Expenditures 15-22'!D53</f>
        <v>11141</v>
      </c>
      <c r="C792" s="2" t="s">
        <v>573</v>
      </c>
      <c r="D792" s="2" t="str">
        <f t="shared" si="11"/>
        <v>Error?</v>
      </c>
    </row>
    <row r="793" spans="1:4" x14ac:dyDescent="0.2">
      <c r="A793" s="5">
        <v>732</v>
      </c>
      <c r="B793" s="138">
        <f>'Expenditures 15-22'!D55</f>
        <v>64830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64830</v>
      </c>
      <c r="C795" s="2" t="s">
        <v>573</v>
      </c>
      <c r="D795" s="2" t="str">
        <f t="shared" si="11"/>
        <v>Error?</v>
      </c>
    </row>
    <row r="796" spans="1:4" x14ac:dyDescent="0.2">
      <c r="A796" s="5">
        <v>735</v>
      </c>
      <c r="B796" s="138">
        <f>'Expenditures 15-22'!D59</f>
        <v>170</v>
      </c>
      <c r="D796" s="2" t="str">
        <f t="shared" si="11"/>
        <v>Error?</v>
      </c>
    </row>
    <row r="797" spans="1:4" x14ac:dyDescent="0.2">
      <c r="A797" s="5">
        <v>736</v>
      </c>
      <c r="B797" s="138">
        <f>'Expenditures 15-22'!D60</f>
        <v>8112</v>
      </c>
      <c r="D797" s="2" t="str">
        <f t="shared" si="11"/>
        <v>Error?</v>
      </c>
    </row>
    <row r="798" spans="1:4" x14ac:dyDescent="0.2">
      <c r="A798" s="5">
        <v>737</v>
      </c>
      <c r="B798" s="138">
        <f>'Expenditures 15-22'!D61</f>
        <v>494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77798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86574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280554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1409291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63527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1943</v>
      </c>
      <c r="D833" s="2" t="str">
        <f t="shared" si="12"/>
        <v>Error?</v>
      </c>
    </row>
    <row r="834" spans="1:4" x14ac:dyDescent="0.2">
      <c r="A834" s="5">
        <v>773</v>
      </c>
      <c r="B834" s="138">
        <f>'Expenditures 15-22'!E14</f>
        <v>31731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268151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1800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19395</v>
      </c>
      <c r="D848" s="2" t="str">
        <f t="shared" si="12"/>
        <v>Error?</v>
      </c>
    </row>
    <row r="849" spans="1:4" x14ac:dyDescent="0.2">
      <c r="A849" s="5">
        <v>788</v>
      </c>
      <c r="B849" s="138">
        <f>'Expenditures 15-22'!E50</f>
        <v>15434</v>
      </c>
      <c r="D849" s="2" t="str">
        <f t="shared" si="12"/>
        <v>Error?</v>
      </c>
    </row>
    <row r="850" spans="1:4" x14ac:dyDescent="0.2">
      <c r="A850" s="5">
        <v>789</v>
      </c>
      <c r="B850" s="138">
        <f>'Expenditures 15-22'!E53</f>
        <v>34829</v>
      </c>
      <c r="C850" s="2" t="s">
        <v>573</v>
      </c>
      <c r="D850" s="2" t="str">
        <f t="shared" si="12"/>
        <v>Error?</v>
      </c>
    </row>
    <row r="851" spans="1:4" x14ac:dyDescent="0.2">
      <c r="A851" s="5">
        <v>790</v>
      </c>
      <c r="B851" s="138">
        <f>'Expenditures 15-22'!E55</f>
        <v>1642</v>
      </c>
      <c r="D851" s="2" t="str">
        <f t="shared" si="12"/>
        <v>Error?</v>
      </c>
    </row>
    <row r="852" spans="1:4" x14ac:dyDescent="0.2">
      <c r="A852" s="5">
        <v>791</v>
      </c>
      <c r="B852" s="138">
        <f>'Expenditures 15-22'!E56</f>
        <v>841</v>
      </c>
      <c r="D852" s="2" t="str">
        <f t="shared" si="12"/>
        <v>Error?</v>
      </c>
    </row>
    <row r="853" spans="1:4" x14ac:dyDescent="0.2">
      <c r="A853" s="5">
        <v>792</v>
      </c>
      <c r="B853" s="138">
        <f>'Expenditures 15-22'!E57</f>
        <v>2483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78110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19245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97355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136467</v>
      </c>
      <c r="C871" s="2" t="s">
        <v>573</v>
      </c>
      <c r="D871" s="2" t="str">
        <f t="shared" si="12"/>
        <v>Error?</v>
      </c>
    </row>
    <row r="872" spans="1:4" x14ac:dyDescent="0.2">
      <c r="A872" s="5">
        <v>811</v>
      </c>
      <c r="B872" s="138">
        <f>'Expenditures 15-22'!E75</f>
        <v>1200</v>
      </c>
      <c r="D872" s="2" t="str">
        <f t="shared" si="12"/>
        <v>Error?</v>
      </c>
    </row>
    <row r="873" spans="1:4" x14ac:dyDescent="0.2">
      <c r="A873" s="5">
        <v>812</v>
      </c>
      <c r="B873" s="138">
        <f>'Expenditures 15-22'!E114</f>
        <v>405818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155083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34611</v>
      </c>
      <c r="D891" s="2" t="str">
        <f t="shared" si="12"/>
        <v>Error?</v>
      </c>
    </row>
    <row r="892" spans="1:4" x14ac:dyDescent="0.2">
      <c r="A892" s="5">
        <v>831</v>
      </c>
      <c r="B892" s="138">
        <f>'Expenditures 15-22'!F14</f>
        <v>4339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372780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2540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508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3048</v>
      </c>
      <c r="C901" s="2" t="s">
        <v>573</v>
      </c>
      <c r="D901" s="2" t="str">
        <f t="shared" si="13"/>
        <v>Error?</v>
      </c>
    </row>
    <row r="902" spans="1:4" x14ac:dyDescent="0.2">
      <c r="A902" s="5">
        <v>841</v>
      </c>
      <c r="B902" s="138">
        <f>'Expenditures 15-22'!F44</f>
        <v>7058</v>
      </c>
      <c r="D902" s="2" t="str">
        <f t="shared" si="13"/>
        <v>Error?</v>
      </c>
    </row>
    <row r="903" spans="1:4" x14ac:dyDescent="0.2">
      <c r="A903" s="5">
        <v>842</v>
      </c>
      <c r="B903" s="138">
        <f>'Expenditures 15-22'!F45</f>
        <v>2054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9112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10732</v>
      </c>
      <c r="D907" s="2" t="str">
        <f t="shared" si="13"/>
        <v>Error?</v>
      </c>
    </row>
    <row r="908" spans="1:4" x14ac:dyDescent="0.2">
      <c r="A908" s="5">
        <v>847</v>
      </c>
      <c r="B908" s="138">
        <f>'Expenditures 15-22'!F53</f>
        <v>10732</v>
      </c>
      <c r="C908" s="2" t="s">
        <v>573</v>
      </c>
      <c r="D908" s="2" t="str">
        <f t="shared" si="13"/>
        <v>Error?</v>
      </c>
    </row>
    <row r="909" spans="1:4" x14ac:dyDescent="0.2">
      <c r="A909" s="5">
        <v>848</v>
      </c>
      <c r="B909" s="138">
        <f>'Expenditures 15-22'!F55</f>
        <v>111</v>
      </c>
      <c r="D909" s="2" t="str">
        <f t="shared" si="13"/>
        <v>Error?</v>
      </c>
    </row>
    <row r="910" spans="1:4" x14ac:dyDescent="0.2">
      <c r="A910" s="5">
        <v>849</v>
      </c>
      <c r="B910" s="138">
        <f>'Expenditures 15-22'!F56</f>
        <v>2032</v>
      </c>
      <c r="D910" s="2" t="str">
        <f t="shared" si="13"/>
        <v>Error?</v>
      </c>
    </row>
    <row r="911" spans="1:4" x14ac:dyDescent="0.2">
      <c r="A911" s="5">
        <v>850</v>
      </c>
      <c r="B911" s="138">
        <f>'Expenditures 15-22'!F57</f>
        <v>2143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213075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218637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431712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456747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829527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19315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19315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2326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2326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567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567</v>
      </c>
      <c r="C1021" s="2" t="s">
        <v>573</v>
      </c>
      <c r="D1021" s="2" t="str">
        <f t="shared" si="14"/>
        <v>Error?</v>
      </c>
    </row>
    <row r="1022" spans="1:4" x14ac:dyDescent="0.2">
      <c r="A1022" s="5">
        <v>961</v>
      </c>
      <c r="B1022" s="138">
        <f>'Expenditures 15-22'!H49</f>
        <v>4036</v>
      </c>
      <c r="D1022" s="2" t="str">
        <f t="shared" si="14"/>
        <v>Error?</v>
      </c>
    </row>
    <row r="1023" spans="1:4" x14ac:dyDescent="0.2">
      <c r="A1023" s="5">
        <v>962</v>
      </c>
      <c r="B1023" s="138">
        <f>'Expenditures 15-22'!H50</f>
        <v>3073</v>
      </c>
      <c r="D1023" s="2" t="str">
        <f t="shared" ref="D1023:D1086" si="15">IF(ISBLANK(B1023),"OK",IF(A1023-B1023=0,"OK","Error?"))</f>
        <v>Error?</v>
      </c>
    </row>
    <row r="1024" spans="1:4" x14ac:dyDescent="0.2">
      <c r="A1024" s="5">
        <v>963</v>
      </c>
      <c r="B1024" s="138">
        <f>'Expenditures 15-22'!H53</f>
        <v>7109</v>
      </c>
      <c r="C1024" s="2" t="s">
        <v>573</v>
      </c>
      <c r="D1024" s="2" t="str">
        <f t="shared" si="15"/>
        <v>Error?</v>
      </c>
    </row>
    <row r="1025" spans="1:4" x14ac:dyDescent="0.2">
      <c r="A1025" s="5">
        <v>964</v>
      </c>
      <c r="B1025" s="138">
        <f>'Expenditures 15-22'!H55</f>
        <v>2747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2747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8958</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8958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19381</v>
      </c>
      <c r="C1045" s="2" t="s">
        <v>573</v>
      </c>
      <c r="D1045" s="2" t="str">
        <f t="shared" si="15"/>
        <v>Error?</v>
      </c>
    </row>
    <row r="1046" spans="1:4" x14ac:dyDescent="0.2">
      <c r="A1046" s="5">
        <v>985</v>
      </c>
      <c r="B1046" s="138">
        <f>'Expenditures 15-22'!H75</f>
        <v>78118</v>
      </c>
      <c r="D1046" s="2" t="str">
        <f t="shared" si="15"/>
        <v>Error?</v>
      </c>
    </row>
    <row r="1047" spans="1:4" x14ac:dyDescent="0.2">
      <c r="A1047" s="5">
        <v>986</v>
      </c>
      <c r="B1047" s="138">
        <f>'Expenditures 15-22'!H102</f>
        <v>238647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338472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4224261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373191</v>
      </c>
      <c r="C1105" s="2" t="s">
        <v>573</v>
      </c>
      <c r="D1105" s="2" t="str">
        <f t="shared" si="16"/>
        <v>Error?</v>
      </c>
    </row>
    <row r="1106" spans="1:4" x14ac:dyDescent="0.2">
      <c r="A1106" s="5">
        <v>1045</v>
      </c>
      <c r="B1106" s="138">
        <f>'Expenditures 15-22'!K14</f>
        <v>170735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7629502</v>
      </c>
      <c r="C1108" s="2" t="s">
        <v>573</v>
      </c>
      <c r="D1108" s="2" t="str">
        <f t="shared" si="16"/>
        <v>Error?</v>
      </c>
    </row>
    <row r="1109" spans="1:4" x14ac:dyDescent="0.2">
      <c r="A1109" s="5">
        <v>1048</v>
      </c>
      <c r="B1109" s="138">
        <f>'Expenditures 15-22'!K36</f>
        <v>8009</v>
      </c>
      <c r="C1109" s="2" t="s">
        <v>573</v>
      </c>
      <c r="D1109" s="2" t="str">
        <f t="shared" si="16"/>
        <v>Error?</v>
      </c>
    </row>
    <row r="1110" spans="1:4" x14ac:dyDescent="0.2">
      <c r="A1110" s="5">
        <v>1049</v>
      </c>
      <c r="B1110" s="138">
        <f>'Expenditures 15-22'!K37</f>
        <v>287654</v>
      </c>
      <c r="C1110" s="2" t="s">
        <v>573</v>
      </c>
      <c r="D1110" s="2" t="str">
        <f t="shared" si="16"/>
        <v>Error?</v>
      </c>
    </row>
    <row r="1111" spans="1:4" x14ac:dyDescent="0.2">
      <c r="A1111" s="5">
        <v>1050</v>
      </c>
      <c r="B1111" s="138">
        <f>'Expenditures 15-22'!K38</f>
        <v>126907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125043</v>
      </c>
      <c r="C1113" s="2" t="s">
        <v>573</v>
      </c>
      <c r="D1113" s="2" t="str">
        <f t="shared" si="16"/>
        <v>Error?</v>
      </c>
    </row>
    <row r="1114" spans="1:4" x14ac:dyDescent="0.2">
      <c r="A1114" s="5">
        <v>1053</v>
      </c>
      <c r="B1114" s="138">
        <f>'Expenditures 15-22'!K41</f>
        <v>48800</v>
      </c>
      <c r="C1114" s="2" t="s">
        <v>573</v>
      </c>
      <c r="D1114" s="2" t="str">
        <f t="shared" si="16"/>
        <v>Error?</v>
      </c>
    </row>
    <row r="1115" spans="1:4" x14ac:dyDescent="0.2">
      <c r="A1115" s="5">
        <v>1054</v>
      </c>
      <c r="B1115" s="138">
        <f>'Expenditures 15-22'!K42</f>
        <v>596413</v>
      </c>
      <c r="C1115" s="2" t="s">
        <v>573</v>
      </c>
      <c r="D1115" s="2" t="str">
        <f t="shared" si="16"/>
        <v>Error?</v>
      </c>
    </row>
    <row r="1116" spans="1:4" x14ac:dyDescent="0.2">
      <c r="A1116" s="5">
        <v>1055</v>
      </c>
      <c r="B1116" s="138">
        <f>'Expenditures 15-22'!K44</f>
        <v>160575</v>
      </c>
      <c r="C1116" s="2" t="s">
        <v>573</v>
      </c>
      <c r="D1116" s="2" t="str">
        <f t="shared" si="16"/>
        <v>Error?</v>
      </c>
    </row>
    <row r="1117" spans="1:4" x14ac:dyDescent="0.2">
      <c r="A1117" s="5">
        <v>1056</v>
      </c>
      <c r="B1117" s="138">
        <f>'Expenditures 15-22'!K45</f>
        <v>100698</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261273</v>
      </c>
      <c r="C1119" s="2" t="s">
        <v>573</v>
      </c>
      <c r="D1119" s="2" t="str">
        <f t="shared" si="16"/>
        <v>Error?</v>
      </c>
    </row>
    <row r="1120" spans="1:4" x14ac:dyDescent="0.2">
      <c r="A1120" s="5">
        <v>1059</v>
      </c>
      <c r="B1120" s="138">
        <f>'Expenditures 15-22'!K49</f>
        <v>23431</v>
      </c>
      <c r="C1120" s="2" t="s">
        <v>573</v>
      </c>
      <c r="D1120" s="2" t="str">
        <f t="shared" si="16"/>
        <v>Error?</v>
      </c>
    </row>
    <row r="1121" spans="1:4" x14ac:dyDescent="0.2">
      <c r="A1121" s="5">
        <v>1060</v>
      </c>
      <c r="B1121" s="138">
        <f>'Expenditures 15-22'!K50</f>
        <v>186387</v>
      </c>
      <c r="C1121" s="2" t="s">
        <v>573</v>
      </c>
      <c r="D1121" s="2" t="str">
        <f t="shared" si="16"/>
        <v>Error?</v>
      </c>
    </row>
    <row r="1122" spans="1:4" x14ac:dyDescent="0.2">
      <c r="A1122" s="5">
        <v>1061</v>
      </c>
      <c r="B1122" s="138">
        <f>'Expenditures 15-22'!K53</f>
        <v>209818</v>
      </c>
      <c r="C1122" s="2" t="s">
        <v>573</v>
      </c>
      <c r="D1122" s="2" t="str">
        <f t="shared" si="16"/>
        <v>Error?</v>
      </c>
    </row>
    <row r="1123" spans="1:4" x14ac:dyDescent="0.2">
      <c r="A1123" s="5">
        <v>1062</v>
      </c>
      <c r="B1123" s="138">
        <f>'Expenditures 15-22'!K55</f>
        <v>480770</v>
      </c>
      <c r="C1123" s="2" t="s">
        <v>573</v>
      </c>
      <c r="D1123" s="2" t="str">
        <f t="shared" si="16"/>
        <v>Error?</v>
      </c>
    </row>
    <row r="1124" spans="1:4" x14ac:dyDescent="0.2">
      <c r="A1124" s="5">
        <v>1063</v>
      </c>
      <c r="B1124" s="138">
        <f>'Expenditures 15-22'!K56</f>
        <v>2873</v>
      </c>
      <c r="C1124" s="2" t="s">
        <v>573</v>
      </c>
      <c r="D1124" s="2" t="str">
        <f t="shared" si="16"/>
        <v>Error?</v>
      </c>
    </row>
    <row r="1125" spans="1:4" x14ac:dyDescent="0.2">
      <c r="A1125" s="5">
        <v>1064</v>
      </c>
      <c r="B1125" s="138">
        <f>'Expenditures 15-22'!K57</f>
        <v>483643</v>
      </c>
      <c r="C1125" s="2" t="s">
        <v>573</v>
      </c>
      <c r="D1125" s="2" t="str">
        <f t="shared" si="16"/>
        <v>Error?</v>
      </c>
    </row>
    <row r="1126" spans="1:4" x14ac:dyDescent="0.2">
      <c r="A1126" s="5">
        <v>1065</v>
      </c>
      <c r="B1126" s="138">
        <f>'Expenditures 15-22'!K59</f>
        <v>21739</v>
      </c>
      <c r="C1126" s="2" t="s">
        <v>573</v>
      </c>
      <c r="D1126" s="2" t="str">
        <f t="shared" si="16"/>
        <v>Error?</v>
      </c>
    </row>
    <row r="1127" spans="1:4" x14ac:dyDescent="0.2">
      <c r="A1127" s="5">
        <v>1066</v>
      </c>
      <c r="B1127" s="138">
        <f>'Expenditures 15-22'!K60</f>
        <v>57723</v>
      </c>
      <c r="C1127" s="2" t="s">
        <v>573</v>
      </c>
      <c r="D1127" s="2" t="str">
        <f t="shared" si="16"/>
        <v>Error?</v>
      </c>
    </row>
    <row r="1128" spans="1:4" x14ac:dyDescent="0.2">
      <c r="A1128" s="5">
        <v>1067</v>
      </c>
      <c r="B1128" s="138">
        <f>'Expenditures 15-22'!K61</f>
        <v>319245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474044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872751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2423898</v>
      </c>
      <c r="C1143" s="2" t="s">
        <v>573</v>
      </c>
      <c r="D1143" s="2" t="str">
        <f t="shared" si="16"/>
        <v>Error?</v>
      </c>
    </row>
    <row r="1144" spans="1:4" x14ac:dyDescent="0.2">
      <c r="A1144" s="5">
        <v>1083</v>
      </c>
      <c r="B1144" s="138">
        <f>'Expenditures 15-22'!K75</f>
        <v>79318</v>
      </c>
      <c r="C1144" s="2" t="s">
        <v>573</v>
      </c>
      <c r="D1144" s="2" t="str">
        <f t="shared" si="16"/>
        <v>Error?</v>
      </c>
    </row>
    <row r="1145" spans="1:4" x14ac:dyDescent="0.2">
      <c r="A1145" s="5">
        <v>1084</v>
      </c>
      <c r="B1145" s="138">
        <f>'Expenditures 15-22'!K102</f>
        <v>238647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10371365</v>
      </c>
      <c r="C1152" s="2" t="s">
        <v>573</v>
      </c>
      <c r="D1152" s="2" t="str">
        <f t="shared" si="17"/>
        <v>Error?</v>
      </c>
    </row>
    <row r="1153" spans="1:4" x14ac:dyDescent="0.2">
      <c r="A1153" s="5">
        <v>1092</v>
      </c>
      <c r="B1153" s="138">
        <f>'Expenditures 15-22'!K115</f>
        <v>1582959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335585</v>
      </c>
      <c r="D1221" s="2" t="str">
        <f t="shared" si="18"/>
        <v>Error?</v>
      </c>
    </row>
    <row r="1222" spans="1:4" x14ac:dyDescent="0.2">
      <c r="A1222" s="10">
        <v>1161</v>
      </c>
      <c r="D1222" s="2" t="str">
        <f t="shared" si="18"/>
        <v>OK</v>
      </c>
    </row>
    <row r="1223" spans="1:4" x14ac:dyDescent="0.2">
      <c r="A1223" s="5">
        <v>1162</v>
      </c>
      <c r="B1223" s="138">
        <f>'Expenditures 15-22'!C127</f>
        <v>335585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335585</v>
      </c>
      <c r="C1225" s="2" t="s">
        <v>573</v>
      </c>
      <c r="D1225" s="2" t="str">
        <f t="shared" si="18"/>
        <v>Error?</v>
      </c>
    </row>
    <row r="1226" spans="1:4" x14ac:dyDescent="0.2">
      <c r="A1226" s="5">
        <v>1165</v>
      </c>
      <c r="B1226" s="138">
        <f>'Expenditures 15-22'!C151</f>
        <v>335585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91431</v>
      </c>
      <c r="D1229" s="2" t="str">
        <f t="shared" si="18"/>
        <v>Error?</v>
      </c>
    </row>
    <row r="1230" spans="1:4" x14ac:dyDescent="0.2">
      <c r="A1230" s="10">
        <v>1169</v>
      </c>
      <c r="D1230" s="2" t="str">
        <f t="shared" si="18"/>
        <v>OK</v>
      </c>
    </row>
    <row r="1231" spans="1:4" x14ac:dyDescent="0.2">
      <c r="A1231" s="5">
        <v>1170</v>
      </c>
      <c r="B1231" s="138">
        <f>'Expenditures 15-22'!D127</f>
        <v>91431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91431</v>
      </c>
      <c r="C1233" s="2" t="s">
        <v>573</v>
      </c>
      <c r="D1233" s="2" t="str">
        <f t="shared" si="18"/>
        <v>Error?</v>
      </c>
    </row>
    <row r="1234" spans="1:4" x14ac:dyDescent="0.2">
      <c r="A1234" s="5">
        <v>1173</v>
      </c>
      <c r="B1234" s="138">
        <f>'Expenditures 15-22'!D151</f>
        <v>91431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106340</v>
      </c>
      <c r="D1237" s="2" t="str">
        <f t="shared" si="18"/>
        <v>Error?</v>
      </c>
    </row>
    <row r="1238" spans="1:4" x14ac:dyDescent="0.2">
      <c r="A1238" s="10">
        <v>1177</v>
      </c>
      <c r="D1238" s="2" t="str">
        <f t="shared" si="18"/>
        <v>OK</v>
      </c>
    </row>
    <row r="1239" spans="1:4" x14ac:dyDescent="0.2">
      <c r="A1239" s="5">
        <v>1178</v>
      </c>
      <c r="B1239" s="138">
        <f>'Expenditures 15-22'!E127</f>
        <v>106340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106340</v>
      </c>
      <c r="C1241" s="2" t="s">
        <v>573</v>
      </c>
      <c r="D1241" s="2" t="str">
        <f t="shared" si="18"/>
        <v>Error?</v>
      </c>
    </row>
    <row r="1242" spans="1:4" x14ac:dyDescent="0.2">
      <c r="A1242" s="5">
        <v>1181</v>
      </c>
      <c r="B1242" s="138">
        <f>'Expenditures 15-22'!E151</f>
        <v>106340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55794</v>
      </c>
      <c r="D1245" s="2" t="str">
        <f t="shared" si="18"/>
        <v>Error?</v>
      </c>
    </row>
    <row r="1246" spans="1:4" x14ac:dyDescent="0.2">
      <c r="A1246" s="10">
        <v>1185</v>
      </c>
      <c r="D1246" s="2" t="str">
        <f t="shared" si="18"/>
        <v>OK</v>
      </c>
    </row>
    <row r="1247" spans="1:4" x14ac:dyDescent="0.2">
      <c r="A1247" s="5">
        <v>1186</v>
      </c>
      <c r="B1247" s="138">
        <f>'Expenditures 15-22'!F127</f>
        <v>55794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55794</v>
      </c>
      <c r="C1249" s="2" t="s">
        <v>573</v>
      </c>
      <c r="D1249" s="2" t="str">
        <f t="shared" si="18"/>
        <v>Error?</v>
      </c>
    </row>
    <row r="1250" spans="1:4" x14ac:dyDescent="0.2">
      <c r="A1250" s="5">
        <v>1189</v>
      </c>
      <c r="B1250" s="138">
        <f>'Expenditures 15-22'!F151</f>
        <v>55794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21600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21600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21600</v>
      </c>
      <c r="C1258" s="2" t="s">
        <v>573</v>
      </c>
      <c r="D1258" s="2" t="str">
        <f t="shared" si="18"/>
        <v>Error?</v>
      </c>
    </row>
    <row r="1259" spans="1:4" x14ac:dyDescent="0.2">
      <c r="A1259" s="5">
        <v>1198</v>
      </c>
      <c r="B1259" s="138">
        <f>'Expenditures 15-22'!G151</f>
        <v>21600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31369</v>
      </c>
      <c r="D1262" s="2" t="str">
        <f t="shared" si="18"/>
        <v>Error?</v>
      </c>
    </row>
    <row r="1263" spans="1:4" x14ac:dyDescent="0.2">
      <c r="A1263" s="10">
        <v>1202</v>
      </c>
      <c r="D1263" s="2" t="str">
        <f t="shared" si="18"/>
        <v>OK</v>
      </c>
    </row>
    <row r="1264" spans="1:4" x14ac:dyDescent="0.2">
      <c r="A1264" s="5">
        <v>1203</v>
      </c>
      <c r="B1264" s="138">
        <f>'Expenditures 15-22'!H127</f>
        <v>31369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31369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31369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642119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642119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642119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642119</v>
      </c>
      <c r="C1288" s="2" t="s">
        <v>573</v>
      </c>
      <c r="D1288" s="2" t="str">
        <f t="shared" si="19"/>
        <v>Error?</v>
      </c>
    </row>
    <row r="1289" spans="1:4" x14ac:dyDescent="0.2">
      <c r="A1289" s="5">
        <v>1228</v>
      </c>
      <c r="B1289" s="138">
        <f>'Expenditures 15-22'!K152</f>
        <v>51436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264540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729540</v>
      </c>
      <c r="C1317" s="2" t="s">
        <v>573</v>
      </c>
      <c r="D1317" s="2" t="str">
        <f t="shared" si="19"/>
        <v>Error?</v>
      </c>
    </row>
    <row r="1318" spans="1:4" x14ac:dyDescent="0.2">
      <c r="A1318" s="5">
        <v>1257</v>
      </c>
      <c r="B1318" s="138">
        <f>'Expenditures 15-22'!H174</f>
        <v>729540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264540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465000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729540</v>
      </c>
      <c r="C1331" s="2" t="s">
        <v>573</v>
      </c>
      <c r="D1331" s="2" t="str">
        <f t="shared" si="19"/>
        <v>Error?</v>
      </c>
    </row>
    <row r="1332" spans="1:4" x14ac:dyDescent="0.2">
      <c r="A1332" s="5">
        <v>1271</v>
      </c>
      <c r="B1332" s="138">
        <f>'Expenditures 15-22'!K174</f>
        <v>729540</v>
      </c>
      <c r="C1332" s="2" t="s">
        <v>573</v>
      </c>
      <c r="D1332" s="2" t="str">
        <f t="shared" si="19"/>
        <v>Error?</v>
      </c>
    </row>
    <row r="1333" spans="1:4" x14ac:dyDescent="0.2">
      <c r="A1333" s="5">
        <v>1272</v>
      </c>
      <c r="B1333" s="138">
        <f>'Expenditures 15-22'!K175</f>
        <v>1465</v>
      </c>
      <c r="C1333" s="2" t="s">
        <v>573</v>
      </c>
      <c r="D1333" s="2" t="str">
        <f t="shared" si="19"/>
        <v>Error?</v>
      </c>
    </row>
    <row r="1334" spans="1:4" x14ac:dyDescent="0.2">
      <c r="A1334" s="10">
        <v>1273</v>
      </c>
      <c r="D1334" s="2" t="str">
        <f t="shared" si="19"/>
        <v>OK</v>
      </c>
    </row>
    <row r="1335" spans="1:4" x14ac:dyDescent="0.2">
      <c r="A1335" s="5">
        <v>1274</v>
      </c>
      <c r="B1335" s="138">
        <f>'Expenditures 15-22'!C182</f>
        <v>249467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249467</v>
      </c>
      <c r="C1339" s="2" t="s">
        <v>573</v>
      </c>
      <c r="D1339" s="2" t="str">
        <f t="shared" si="19"/>
        <v>Error?</v>
      </c>
    </row>
    <row r="1340" spans="1:4" x14ac:dyDescent="0.2">
      <c r="A1340" s="5">
        <v>1279</v>
      </c>
      <c r="B1340" s="138">
        <f>'Expenditures 15-22'!C210</f>
        <v>249467</v>
      </c>
      <c r="C1340" s="2" t="s">
        <v>573</v>
      </c>
      <c r="D1340" s="2" t="str">
        <f t="shared" si="19"/>
        <v>Error?</v>
      </c>
    </row>
    <row r="1341" spans="1:4" x14ac:dyDescent="0.2">
      <c r="A1341" s="5">
        <v>1280</v>
      </c>
      <c r="B1341" s="138">
        <f>'Expenditures 15-22'!D182</f>
        <v>92126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92126</v>
      </c>
      <c r="C1345" s="2" t="s">
        <v>573</v>
      </c>
      <c r="D1345" s="2" t="str">
        <f t="shared" si="20"/>
        <v>Error?</v>
      </c>
    </row>
    <row r="1346" spans="1:4" x14ac:dyDescent="0.2">
      <c r="A1346" s="5">
        <v>1285</v>
      </c>
      <c r="B1346" s="138">
        <f>'Expenditures 15-22'!D210</f>
        <v>92126</v>
      </c>
      <c r="C1346" s="2" t="s">
        <v>573</v>
      </c>
      <c r="D1346" s="2" t="str">
        <f t="shared" si="20"/>
        <v>Error?</v>
      </c>
    </row>
    <row r="1347" spans="1:4" x14ac:dyDescent="0.2">
      <c r="A1347" s="5">
        <v>1286</v>
      </c>
      <c r="B1347" s="138">
        <f>'Expenditures 15-22'!E182</f>
        <v>36387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36387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36387</v>
      </c>
      <c r="C1353" s="2" t="s">
        <v>573</v>
      </c>
      <c r="D1353" s="2" t="str">
        <f t="shared" si="20"/>
        <v>Error?</v>
      </c>
    </row>
    <row r="1354" spans="1:4" x14ac:dyDescent="0.2">
      <c r="A1354" s="5">
        <v>1293</v>
      </c>
      <c r="B1354" s="138">
        <f>'Expenditures 15-22'!F182</f>
        <v>95863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95863</v>
      </c>
      <c r="C1358" s="2" t="s">
        <v>573</v>
      </c>
      <c r="D1358" s="2" t="str">
        <f t="shared" si="20"/>
        <v>Error?</v>
      </c>
    </row>
    <row r="1359" spans="1:4" x14ac:dyDescent="0.2">
      <c r="A1359" s="5">
        <v>1298</v>
      </c>
      <c r="B1359" s="138">
        <f>'Expenditures 15-22'!F210</f>
        <v>95863</v>
      </c>
      <c r="C1359" s="2" t="s">
        <v>573</v>
      </c>
      <c r="D1359" s="2" t="str">
        <f t="shared" si="20"/>
        <v>Error?</v>
      </c>
    </row>
    <row r="1360" spans="1:4" x14ac:dyDescent="0.2">
      <c r="A1360" s="5">
        <v>1299</v>
      </c>
      <c r="B1360" s="138">
        <f>'Expenditures 15-22'!G182</f>
        <v>659958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659958</v>
      </c>
      <c r="C1364" s="2" t="s">
        <v>573</v>
      </c>
      <c r="D1364" s="2" t="str">
        <f t="shared" si="20"/>
        <v>Error?</v>
      </c>
    </row>
    <row r="1365" spans="1:4" x14ac:dyDescent="0.2">
      <c r="A1365" s="5">
        <v>1304</v>
      </c>
      <c r="B1365" s="138">
        <f>'Expenditures 15-22'!G210</f>
        <v>659958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139295</v>
      </c>
      <c r="C1375" s="2" t="s">
        <v>573</v>
      </c>
      <c r="D1375" s="2" t="str">
        <f t="shared" si="20"/>
        <v>Error?</v>
      </c>
    </row>
    <row r="1376" spans="1:4" x14ac:dyDescent="0.2">
      <c r="A1376" s="5">
        <v>1315</v>
      </c>
      <c r="B1376" s="138">
        <f>'Expenditures 15-22'!H210</f>
        <v>139295</v>
      </c>
      <c r="C1376" s="2" t="s">
        <v>573</v>
      </c>
      <c r="D1376" s="2" t="str">
        <f t="shared" si="20"/>
        <v>Error?</v>
      </c>
    </row>
    <row r="1377" spans="1:4" x14ac:dyDescent="0.2">
      <c r="A1377" s="5">
        <v>1316</v>
      </c>
      <c r="B1377" s="138">
        <f>'Expenditures 15-22'!K182</f>
        <v>1133801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1133801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139295</v>
      </c>
      <c r="C1387" s="2" t="s">
        <v>573</v>
      </c>
      <c r="D1387" s="2" t="str">
        <f t="shared" si="20"/>
        <v>Error?</v>
      </c>
    </row>
    <row r="1388" spans="1:4" x14ac:dyDescent="0.2">
      <c r="A1388" s="5">
        <v>1327</v>
      </c>
      <c r="B1388" s="138">
        <f>'Expenditures 15-22'!K210</f>
        <v>1273096</v>
      </c>
      <c r="C1388" s="2" t="s">
        <v>573</v>
      </c>
      <c r="D1388" s="2" t="str">
        <f t="shared" si="20"/>
        <v>Error?</v>
      </c>
    </row>
    <row r="1389" spans="1:4" x14ac:dyDescent="0.2">
      <c r="A1389" s="5">
        <v>1328</v>
      </c>
      <c r="B1389" s="138">
        <f>'Expenditures 15-22'!K211</f>
        <v>-559081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4098</v>
      </c>
      <c r="D1407" s="2" t="str">
        <f t="shared" ref="D1407:D1470" si="21">IF(ISBLANK(B1407),"OK",IF(A1407-B1407=0,"OK","Error?"))</f>
        <v>Error?</v>
      </c>
    </row>
    <row r="1408" spans="1:4" x14ac:dyDescent="0.2">
      <c r="A1408" s="5">
        <v>1347</v>
      </c>
      <c r="B1408" s="138">
        <f>'Expenditures 15-22'!D223</f>
        <v>4271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239542</v>
      </c>
      <c r="C1410" s="2" t="s">
        <v>573</v>
      </c>
      <c r="D1410" s="2" t="str">
        <f t="shared" si="21"/>
        <v>Error?</v>
      </c>
    </row>
    <row r="1411" spans="1:4" x14ac:dyDescent="0.2">
      <c r="A1411" s="5">
        <v>1350</v>
      </c>
      <c r="B1411" s="138">
        <f>'Expenditures 15-22'!D232</f>
        <v>615</v>
      </c>
      <c r="D1411" s="2" t="str">
        <f t="shared" si="21"/>
        <v>Error?</v>
      </c>
    </row>
    <row r="1412" spans="1:4" x14ac:dyDescent="0.2">
      <c r="A1412" s="5">
        <v>1351</v>
      </c>
      <c r="B1412" s="138">
        <f>'Expenditures 15-22'!D233</f>
        <v>7198</v>
      </c>
      <c r="D1412" s="2" t="str">
        <f t="shared" si="21"/>
        <v>Error?</v>
      </c>
    </row>
    <row r="1413" spans="1:4" x14ac:dyDescent="0.2">
      <c r="A1413" s="5">
        <v>1352</v>
      </c>
      <c r="B1413" s="138">
        <f>'Expenditures 15-22'!D234</f>
        <v>13758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1553</v>
      </c>
      <c r="D1415" s="2" t="str">
        <f t="shared" si="21"/>
        <v>Error?</v>
      </c>
    </row>
    <row r="1416" spans="1:4" x14ac:dyDescent="0.2">
      <c r="A1416" s="5">
        <v>1355</v>
      </c>
      <c r="B1416" s="138">
        <f>'Expenditures 15-22'!D237</f>
        <v>4425</v>
      </c>
      <c r="D1416" s="2" t="str">
        <f t="shared" si="21"/>
        <v>Error?</v>
      </c>
    </row>
    <row r="1417" spans="1:4" x14ac:dyDescent="0.2">
      <c r="A1417" s="5">
        <v>1356</v>
      </c>
      <c r="B1417" s="138">
        <f>'Expenditures 15-22'!D238</f>
        <v>27549</v>
      </c>
      <c r="C1417" s="2" t="s">
        <v>573</v>
      </c>
      <c r="D1417" s="2" t="str">
        <f t="shared" si="21"/>
        <v>Error?</v>
      </c>
    </row>
    <row r="1418" spans="1:4" x14ac:dyDescent="0.2">
      <c r="A1418" s="5">
        <v>1357</v>
      </c>
      <c r="B1418" s="138">
        <f>'Expenditures 15-22'!D240</f>
        <v>2219</v>
      </c>
      <c r="D1418" s="2" t="str">
        <f t="shared" si="21"/>
        <v>Error?</v>
      </c>
    </row>
    <row r="1419" spans="1:4" x14ac:dyDescent="0.2">
      <c r="A1419" s="5">
        <v>1358</v>
      </c>
      <c r="B1419" s="138">
        <f>'Expenditures 15-22'!D241</f>
        <v>1315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3534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13054</v>
      </c>
      <c r="D1423" s="2" t="str">
        <f t="shared" si="21"/>
        <v>Error?</v>
      </c>
    </row>
    <row r="1424" spans="1:4" x14ac:dyDescent="0.2">
      <c r="A1424" s="5">
        <v>1363</v>
      </c>
      <c r="B1424" s="138">
        <f>'Expenditures 15-22'!D257</f>
        <v>13054</v>
      </c>
      <c r="C1424" s="2" t="s">
        <v>573</v>
      </c>
      <c r="D1424" s="2" t="str">
        <f t="shared" si="21"/>
        <v>Error?</v>
      </c>
    </row>
    <row r="1425" spans="1:4" x14ac:dyDescent="0.2">
      <c r="A1425" s="5">
        <v>1364</v>
      </c>
      <c r="B1425" s="138">
        <f>'Expenditures 15-22'!D259</f>
        <v>18194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18194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12050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85009</v>
      </c>
      <c r="D1431" s="2" t="str">
        <f t="shared" si="21"/>
        <v>Error?</v>
      </c>
    </row>
    <row r="1432" spans="1:4" x14ac:dyDescent="0.2">
      <c r="A1432" s="5">
        <v>1371</v>
      </c>
      <c r="B1432" s="138">
        <f>'Expenditures 15-22'!D267</f>
        <v>60927</v>
      </c>
      <c r="D1432" s="2" t="str">
        <f t="shared" si="21"/>
        <v>Error?</v>
      </c>
    </row>
    <row r="1433" spans="1:4" x14ac:dyDescent="0.2">
      <c r="A1433" s="5">
        <v>1372</v>
      </c>
      <c r="B1433" s="138">
        <f>'Expenditures 15-22'!D268</f>
        <v>40854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198840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261171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500713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4098</v>
      </c>
      <c r="C1471" s="2" t="s">
        <v>573</v>
      </c>
      <c r="D1471" s="2" t="str">
        <f t="shared" ref="D1471:D1534" si="22">IF(ISBLANK(B1471),"OK",IF(A1471-B1471=0,"OK","Error?"))</f>
        <v>Error?</v>
      </c>
    </row>
    <row r="1472" spans="1:4" x14ac:dyDescent="0.2">
      <c r="A1472" s="5">
        <v>1411</v>
      </c>
      <c r="B1472" s="138">
        <f>'Expenditures 15-22'!K223</f>
        <v>4271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239542</v>
      </c>
      <c r="C1474" s="2" t="s">
        <v>573</v>
      </c>
      <c r="D1474" s="2" t="str">
        <f t="shared" si="22"/>
        <v>Error?</v>
      </c>
    </row>
    <row r="1475" spans="1:4" x14ac:dyDescent="0.2">
      <c r="A1475" s="5">
        <v>1414</v>
      </c>
      <c r="B1475" s="138">
        <f>'Expenditures 15-22'!K232</f>
        <v>615</v>
      </c>
      <c r="C1475" s="2" t="s">
        <v>573</v>
      </c>
      <c r="D1475" s="2" t="str">
        <f t="shared" si="22"/>
        <v>Error?</v>
      </c>
    </row>
    <row r="1476" spans="1:4" x14ac:dyDescent="0.2">
      <c r="A1476" s="5">
        <v>1415</v>
      </c>
      <c r="B1476" s="138">
        <f>'Expenditures 15-22'!K233</f>
        <v>7198</v>
      </c>
      <c r="C1476" s="2" t="s">
        <v>573</v>
      </c>
      <c r="D1476" s="2" t="str">
        <f t="shared" si="22"/>
        <v>Error?</v>
      </c>
    </row>
    <row r="1477" spans="1:4" x14ac:dyDescent="0.2">
      <c r="A1477" s="5">
        <v>1416</v>
      </c>
      <c r="B1477" s="138">
        <f>'Expenditures 15-22'!K234</f>
        <v>13758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1553</v>
      </c>
      <c r="C1479" s="2" t="s">
        <v>573</v>
      </c>
      <c r="D1479" s="2" t="str">
        <f t="shared" si="22"/>
        <v>Error?</v>
      </c>
    </row>
    <row r="1480" spans="1:4" x14ac:dyDescent="0.2">
      <c r="A1480" s="5">
        <v>1419</v>
      </c>
      <c r="B1480" s="138">
        <f>'Expenditures 15-22'!K237</f>
        <v>4425</v>
      </c>
      <c r="C1480" s="2" t="s">
        <v>573</v>
      </c>
      <c r="D1480" s="2" t="str">
        <f t="shared" si="22"/>
        <v>Error?</v>
      </c>
    </row>
    <row r="1481" spans="1:4" x14ac:dyDescent="0.2">
      <c r="A1481" s="5">
        <v>1420</v>
      </c>
      <c r="B1481" s="138">
        <f>'Expenditures 15-22'!K238</f>
        <v>27549</v>
      </c>
      <c r="C1481" s="2" t="s">
        <v>573</v>
      </c>
      <c r="D1481" s="2" t="str">
        <f t="shared" si="22"/>
        <v>Error?</v>
      </c>
    </row>
    <row r="1482" spans="1:4" x14ac:dyDescent="0.2">
      <c r="A1482" s="5">
        <v>1421</v>
      </c>
      <c r="B1482" s="138">
        <f>'Expenditures 15-22'!K240</f>
        <v>2219</v>
      </c>
      <c r="C1482" s="2" t="s">
        <v>573</v>
      </c>
      <c r="D1482" s="2" t="str">
        <f t="shared" si="22"/>
        <v>Error?</v>
      </c>
    </row>
    <row r="1483" spans="1:4" x14ac:dyDescent="0.2">
      <c r="A1483" s="5">
        <v>1422</v>
      </c>
      <c r="B1483" s="138">
        <f>'Expenditures 15-22'!K241</f>
        <v>1315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3534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13054</v>
      </c>
      <c r="C1487" s="2" t="s">
        <v>573</v>
      </c>
      <c r="D1487" s="2" t="str">
        <f t="shared" si="22"/>
        <v>Error?</v>
      </c>
    </row>
    <row r="1488" spans="1:4" x14ac:dyDescent="0.2">
      <c r="A1488" s="5">
        <v>1427</v>
      </c>
      <c r="B1488" s="138">
        <f>'Expenditures 15-22'!K257</f>
        <v>13054</v>
      </c>
      <c r="C1488" s="2" t="s">
        <v>573</v>
      </c>
      <c r="D1488" s="2" t="str">
        <f t="shared" si="22"/>
        <v>Error?</v>
      </c>
    </row>
    <row r="1489" spans="1:4" x14ac:dyDescent="0.2">
      <c r="A1489" s="5">
        <v>1428</v>
      </c>
      <c r="B1489" s="138">
        <f>'Expenditures 15-22'!K259</f>
        <v>18194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18194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12050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85009</v>
      </c>
      <c r="C1495" s="2" t="s">
        <v>573</v>
      </c>
      <c r="D1495" s="2" t="str">
        <f t="shared" si="22"/>
        <v>Error?</v>
      </c>
    </row>
    <row r="1496" spans="1:4" x14ac:dyDescent="0.2">
      <c r="A1496" s="5">
        <v>1435</v>
      </c>
      <c r="B1496" s="138">
        <f>'Expenditures 15-22'!K267</f>
        <v>60927</v>
      </c>
      <c r="C1496" s="2" t="s">
        <v>573</v>
      </c>
      <c r="D1496" s="2" t="str">
        <f t="shared" si="22"/>
        <v>Error?</v>
      </c>
    </row>
    <row r="1497" spans="1:4" x14ac:dyDescent="0.2">
      <c r="A1497" s="5">
        <v>1436</v>
      </c>
      <c r="B1497" s="138">
        <f>'Expenditures 15-22'!K268</f>
        <v>40854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198840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261171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500713</v>
      </c>
      <c r="C1517" s="2" t="s">
        <v>573</v>
      </c>
      <c r="D1517" s="2" t="str">
        <f t="shared" si="22"/>
        <v>Error?</v>
      </c>
    </row>
    <row r="1518" spans="1:4" x14ac:dyDescent="0.2">
      <c r="A1518" s="5">
        <v>1457</v>
      </c>
      <c r="B1518" s="138">
        <f>'Expenditures 15-22'!K296</f>
        <v>-68397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49060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49060</v>
      </c>
      <c r="C1535" s="2" t="s">
        <v>573</v>
      </c>
      <c r="D1535" s="2" t="str">
        <f t="shared" ref="D1535:D1598" si="23">IF(ISBLANK(B1535),"OK",IF(A1535-B1535=0,"OK","Error?"))</f>
        <v>Error?</v>
      </c>
    </row>
    <row r="1536" spans="1:4" x14ac:dyDescent="0.2">
      <c r="A1536" s="5">
        <v>1475</v>
      </c>
      <c r="B1536" s="138">
        <f>'Expenditures 15-22'!E312</f>
        <v>49060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8200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8200</v>
      </c>
      <c r="C1547" s="2" t="s">
        <v>573</v>
      </c>
      <c r="D1547" s="2" t="str">
        <f t="shared" si="23"/>
        <v>Error?</v>
      </c>
    </row>
    <row r="1548" spans="1:4" x14ac:dyDescent="0.2">
      <c r="A1548" s="5">
        <v>1487</v>
      </c>
      <c r="B1548" s="138">
        <f>'Expenditures 15-22'!G312</f>
        <v>8200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57260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57260</v>
      </c>
      <c r="C1559" s="2" t="s">
        <v>573</v>
      </c>
      <c r="D1559" s="2" t="str">
        <f t="shared" si="23"/>
        <v>Error?</v>
      </c>
    </row>
    <row r="1560" spans="1:4" x14ac:dyDescent="0.2">
      <c r="A1560" s="5">
        <v>1499</v>
      </c>
      <c r="B1560" s="138">
        <f>'Expenditures 15-22'!K312</f>
        <v>57260</v>
      </c>
      <c r="C1560" s="2" t="s">
        <v>573</v>
      </c>
      <c r="D1560" s="2" t="str">
        <f t="shared" si="23"/>
        <v>Error?</v>
      </c>
    </row>
    <row r="1561" spans="1:4" x14ac:dyDescent="0.2">
      <c r="A1561" s="5">
        <v>1500</v>
      </c>
      <c r="B1561" s="138">
        <f>'Expenditures 15-22'!K313</f>
        <v>427114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4721402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6304361</v>
      </c>
      <c r="C1630" s="2" t="s">
        <v>573</v>
      </c>
      <c r="D1630" s="2" t="str">
        <f t="shared" si="24"/>
        <v>Error?</v>
      </c>
    </row>
    <row r="1631" spans="1:4" x14ac:dyDescent="0.2">
      <c r="A1631" s="5">
        <v>1570</v>
      </c>
      <c r="B1631" s="138">
        <f>'Acct Summary 7-8'!D79</f>
        <v>666576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718012</v>
      </c>
      <c r="C1644" s="2" t="s">
        <v>573</v>
      </c>
      <c r="D1644" s="2" t="str">
        <f t="shared" si="24"/>
        <v>Error?</v>
      </c>
    </row>
    <row r="1645" spans="1:4" x14ac:dyDescent="0.2">
      <c r="A1645" s="5">
        <v>1584</v>
      </c>
      <c r="B1645" s="138">
        <f>'Acct Summary 7-8'!E79</f>
        <v>490837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492302</v>
      </c>
      <c r="C1658" s="2" t="s">
        <v>573</v>
      </c>
      <c r="D1658" s="2" t="str">
        <f t="shared" si="24"/>
        <v>Error?</v>
      </c>
    </row>
    <row r="1659" spans="1:4" x14ac:dyDescent="0.2">
      <c r="A1659" s="5">
        <v>1598</v>
      </c>
      <c r="B1659" s="138">
        <f>'Acct Summary 7-8'!F79</f>
        <v>475649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390570</v>
      </c>
      <c r="C1672" s="2" t="s">
        <v>573</v>
      </c>
      <c r="D1672" s="2" t="str">
        <f t="shared" si="25"/>
        <v>Error?</v>
      </c>
    </row>
    <row r="1673" spans="1:4" x14ac:dyDescent="0.2">
      <c r="A1673" s="5">
        <v>1612</v>
      </c>
      <c r="B1673" s="138">
        <f>'Acct Summary 7-8'!G79</f>
        <v>518763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450366</v>
      </c>
      <c r="C1686" s="2" t="s">
        <v>573</v>
      </c>
      <c r="D1686" s="2" t="str">
        <f t="shared" si="25"/>
        <v>Error?</v>
      </c>
    </row>
    <row r="1687" spans="1:4" x14ac:dyDescent="0.2">
      <c r="A1687" s="5">
        <v>1626</v>
      </c>
      <c r="B1687" s="138">
        <f>'Acct Summary 7-8'!H79</f>
        <v>847140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1274254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2737874</v>
      </c>
      <c r="C1744" s="2" t="s">
        <v>573</v>
      </c>
      <c r="D1744" s="2" t="str">
        <f t="shared" si="26"/>
        <v>Error?</v>
      </c>
    </row>
    <row r="1745" spans="1:5" x14ac:dyDescent="0.2">
      <c r="A1745" s="5">
        <v>1684</v>
      </c>
      <c r="B1745" s="138">
        <f>'Tax Sched 23'!B5</f>
        <v>681062</v>
      </c>
      <c r="C1745" s="2" t="s">
        <v>573</v>
      </c>
      <c r="D1745" s="2" t="str">
        <f t="shared" si="26"/>
        <v>Error?</v>
      </c>
    </row>
    <row r="1746" spans="1:5" x14ac:dyDescent="0.2">
      <c r="A1746" s="5">
        <v>1685</v>
      </c>
      <c r="B1746" s="138">
        <f>'Tax Sched 23'!B6</f>
        <v>492843</v>
      </c>
      <c r="C1746" s="2" t="s">
        <v>573</v>
      </c>
      <c r="D1746" s="2" t="str">
        <f t="shared" si="26"/>
        <v>Error?</v>
      </c>
    </row>
    <row r="1747" spans="1:5" x14ac:dyDescent="0.2">
      <c r="A1747" s="5">
        <v>1686</v>
      </c>
      <c r="B1747" s="138">
        <f>'Tax Sched 23'!B7</f>
        <v>272426</v>
      </c>
      <c r="C1747" s="2" t="s">
        <v>573</v>
      </c>
      <c r="D1747" s="2" t="str">
        <f t="shared" si="26"/>
        <v>Error?</v>
      </c>
    </row>
    <row r="1748" spans="1:5" x14ac:dyDescent="0.2">
      <c r="A1748" s="5">
        <v>1687</v>
      </c>
      <c r="B1748" s="138">
        <f>'Tax Sched 23'!B8</f>
        <v>199364</v>
      </c>
      <c r="C1748" s="2" t="s">
        <v>573</v>
      </c>
      <c r="D1748" s="2" t="str">
        <f t="shared" si="26"/>
        <v>Error?</v>
      </c>
    </row>
    <row r="1749" spans="1:5" x14ac:dyDescent="0.2">
      <c r="A1749" s="5">
        <v>1688</v>
      </c>
      <c r="B1749" s="138">
        <f>'Tax Sched 23'!B10</f>
        <v>68108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737608</v>
      </c>
      <c r="C1752" s="2" t="s">
        <v>573</v>
      </c>
      <c r="D1752" s="2" t="str">
        <f t="shared" si="26"/>
        <v>Error?</v>
      </c>
    </row>
    <row r="1753" spans="1:5" x14ac:dyDescent="0.2">
      <c r="A1753" s="5">
        <v>1692</v>
      </c>
      <c r="B1753" s="138">
        <f>'Tax Sched 23'!B12</f>
        <v>68108</v>
      </c>
      <c r="C1753" s="2" t="s">
        <v>573</v>
      </c>
      <c r="D1753" s="2" t="str">
        <f t="shared" si="26"/>
        <v>Error?</v>
      </c>
    </row>
    <row r="1754" spans="1:5" x14ac:dyDescent="0.2">
      <c r="A1754" s="5">
        <v>1693</v>
      </c>
      <c r="B1754" s="138">
        <f>'Tax Sched 23'!B14</f>
        <v>54484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5511241</v>
      </c>
      <c r="C1759" s="2" t="s">
        <v>573</v>
      </c>
      <c r="D1759" s="2" t="str">
        <f t="shared" si="26"/>
        <v>Error?</v>
      </c>
    </row>
    <row r="1760" spans="1:5" x14ac:dyDescent="0.2">
      <c r="A1760" s="5">
        <v>1699</v>
      </c>
      <c r="B1760" s="138">
        <f>'Tax Sched 23'!D4</f>
        <v>2737874</v>
      </c>
      <c r="C1760" s="2" t="s">
        <v>573</v>
      </c>
      <c r="D1760" s="2" t="str">
        <f t="shared" si="26"/>
        <v>Error?</v>
      </c>
    </row>
    <row r="1761" spans="1:5" x14ac:dyDescent="0.2">
      <c r="A1761" s="5">
        <v>1700</v>
      </c>
      <c r="B1761" s="138">
        <f>'Tax Sched 23'!D5</f>
        <v>681062</v>
      </c>
      <c r="C1761" s="2" t="s">
        <v>573</v>
      </c>
      <c r="D1761" s="2" t="str">
        <f t="shared" si="26"/>
        <v>Error?</v>
      </c>
    </row>
    <row r="1762" spans="1:5" s="8" customFormat="1" x14ac:dyDescent="0.2">
      <c r="A1762" s="5">
        <v>1701</v>
      </c>
      <c r="B1762" s="138">
        <f>'Tax Sched 23'!D6</f>
        <v>492843</v>
      </c>
      <c r="C1762" s="2" t="s">
        <v>573</v>
      </c>
      <c r="D1762" s="2" t="str">
        <f t="shared" si="26"/>
        <v>Error?</v>
      </c>
      <c r="E1762" s="9"/>
    </row>
    <row r="1763" spans="1:5" x14ac:dyDescent="0.2">
      <c r="A1763" s="5">
        <v>1702</v>
      </c>
      <c r="B1763" s="138">
        <f>'Tax Sched 23'!D7</f>
        <v>272426</v>
      </c>
      <c r="C1763" s="2" t="s">
        <v>573</v>
      </c>
      <c r="D1763" s="2" t="str">
        <f t="shared" si="26"/>
        <v>Error?</v>
      </c>
    </row>
    <row r="1764" spans="1:5" x14ac:dyDescent="0.2">
      <c r="A1764" s="5">
        <v>1703</v>
      </c>
      <c r="B1764" s="138">
        <f>'Tax Sched 23'!D8</f>
        <v>199364</v>
      </c>
      <c r="C1764" s="2" t="s">
        <v>573</v>
      </c>
      <c r="D1764" s="2" t="str">
        <f t="shared" si="26"/>
        <v>Error?</v>
      </c>
    </row>
    <row r="1765" spans="1:5" x14ac:dyDescent="0.2">
      <c r="A1765" s="5">
        <v>1704</v>
      </c>
      <c r="B1765" s="138">
        <f>'Tax Sched 23'!D10</f>
        <v>68108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737608</v>
      </c>
      <c r="C1768" s="2" t="s">
        <v>573</v>
      </c>
      <c r="D1768" s="2" t="str">
        <f t="shared" si="26"/>
        <v>Error?</v>
      </c>
    </row>
    <row r="1769" spans="1:5" x14ac:dyDescent="0.2">
      <c r="A1769" s="5">
        <v>1708</v>
      </c>
      <c r="B1769" s="138">
        <f>'Tax Sched 23'!D12</f>
        <v>68108</v>
      </c>
      <c r="C1769" s="2" t="s">
        <v>573</v>
      </c>
      <c r="D1769" s="2" t="str">
        <f t="shared" si="26"/>
        <v>Error?</v>
      </c>
    </row>
    <row r="1770" spans="1:5" x14ac:dyDescent="0.2">
      <c r="A1770" s="5">
        <v>1709</v>
      </c>
      <c r="B1770" s="138">
        <f>'Tax Sched 23'!D14</f>
        <v>54484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5511241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2869173</v>
      </c>
      <c r="C1792" s="2" t="s">
        <v>573</v>
      </c>
      <c r="D1792" s="2" t="str">
        <f t="shared" si="27"/>
        <v>Error?</v>
      </c>
    </row>
    <row r="1793" spans="1:4" x14ac:dyDescent="0.2">
      <c r="A1793" s="5">
        <v>1732</v>
      </c>
      <c r="B1793" s="138">
        <f>'Tax Sched 23'!F5</f>
        <v>713725</v>
      </c>
      <c r="C1793" s="2" t="s">
        <v>573</v>
      </c>
      <c r="D1793" s="2" t="str">
        <f t="shared" si="27"/>
        <v>Error?</v>
      </c>
    </row>
    <row r="1794" spans="1:4" x14ac:dyDescent="0.2">
      <c r="A1794" s="5">
        <v>1733</v>
      </c>
      <c r="B1794" s="138">
        <f>'Tax Sched 23'!F6</f>
        <v>402070</v>
      </c>
      <c r="C1794" s="2" t="s">
        <v>573</v>
      </c>
      <c r="D1794" s="2" t="str">
        <f t="shared" si="27"/>
        <v>Error?</v>
      </c>
    </row>
    <row r="1795" spans="1:4" x14ac:dyDescent="0.2">
      <c r="A1795" s="5">
        <v>1734</v>
      </c>
      <c r="B1795" s="138">
        <f>'Tax Sched 23'!F7</f>
        <v>285490</v>
      </c>
      <c r="C1795" s="2" t="s">
        <v>573</v>
      </c>
      <c r="D1795" s="2" t="str">
        <f t="shared" si="27"/>
        <v>Error?</v>
      </c>
    </row>
    <row r="1796" spans="1:4" x14ac:dyDescent="0.2">
      <c r="A1796" s="5">
        <v>1735</v>
      </c>
      <c r="B1796" s="138">
        <f>'Tax Sched 23'!F8</f>
        <v>225009</v>
      </c>
      <c r="C1796" s="2" t="s">
        <v>573</v>
      </c>
      <c r="D1796" s="2" t="str">
        <f t="shared" si="27"/>
        <v>Error?</v>
      </c>
    </row>
    <row r="1797" spans="1:4" x14ac:dyDescent="0.2">
      <c r="A1797" s="5">
        <v>1736</v>
      </c>
      <c r="B1797" s="138">
        <f>'Tax Sched 23'!F10</f>
        <v>71372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725002</v>
      </c>
      <c r="C1800" s="2" t="s">
        <v>573</v>
      </c>
      <c r="D1800" s="2" t="str">
        <f t="shared" si="27"/>
        <v>Error?</v>
      </c>
    </row>
    <row r="1801" spans="1:4" x14ac:dyDescent="0.2">
      <c r="A1801" s="5">
        <v>1740</v>
      </c>
      <c r="B1801" s="138">
        <f>'Tax Sched 23'!F12</f>
        <v>71372</v>
      </c>
      <c r="C1801" s="2" t="s">
        <v>573</v>
      </c>
      <c r="D1801" s="2" t="str">
        <f t="shared" si="27"/>
        <v>Error?</v>
      </c>
    </row>
    <row r="1802" spans="1:4" x14ac:dyDescent="0.2">
      <c r="A1802" s="5">
        <v>1741</v>
      </c>
      <c r="B1802" s="138">
        <f>'Tax Sched 23'!F14</f>
        <v>57098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5645320</v>
      </c>
      <c r="C1807" s="2" t="s">
        <v>573</v>
      </c>
      <c r="D1807" s="2" t="str">
        <f t="shared" si="27"/>
        <v>Error?</v>
      </c>
    </row>
    <row r="1808" spans="1:4" x14ac:dyDescent="0.2">
      <c r="A1808" s="5">
        <v>1747</v>
      </c>
      <c r="B1808" s="138">
        <f>'Tax Sched 23'!E4</f>
        <v>2869173</v>
      </c>
      <c r="D1808" s="2" t="str">
        <f t="shared" si="27"/>
        <v>Error?</v>
      </c>
    </row>
    <row r="1809" spans="1:4" x14ac:dyDescent="0.2">
      <c r="A1809" s="5">
        <v>1748</v>
      </c>
      <c r="B1809" s="138">
        <f>'Tax Sched 23'!E5</f>
        <v>713725</v>
      </c>
      <c r="D1809" s="2" t="str">
        <f t="shared" si="27"/>
        <v>Error?</v>
      </c>
    </row>
    <row r="1810" spans="1:4" x14ac:dyDescent="0.2">
      <c r="A1810" s="5">
        <v>1749</v>
      </c>
      <c r="B1810" s="138">
        <f>'Tax Sched 23'!E6</f>
        <v>402070</v>
      </c>
      <c r="D1810" s="2" t="str">
        <f t="shared" si="27"/>
        <v>Error?</v>
      </c>
    </row>
    <row r="1811" spans="1:4" x14ac:dyDescent="0.2">
      <c r="A1811" s="5">
        <v>1750</v>
      </c>
      <c r="B1811" s="138">
        <f>'Tax Sched 23'!E7</f>
        <v>285490</v>
      </c>
      <c r="D1811" s="2" t="str">
        <f t="shared" si="27"/>
        <v>Error?</v>
      </c>
    </row>
    <row r="1812" spans="1:4" x14ac:dyDescent="0.2">
      <c r="A1812" s="5">
        <v>1751</v>
      </c>
      <c r="B1812" s="138">
        <f>'Tax Sched 23'!E8</f>
        <v>225009</v>
      </c>
      <c r="D1812" s="2" t="str">
        <f t="shared" si="27"/>
        <v>Error?</v>
      </c>
    </row>
    <row r="1813" spans="1:4" x14ac:dyDescent="0.2">
      <c r="A1813" s="5">
        <v>1752</v>
      </c>
      <c r="B1813" s="138">
        <f>'Tax Sched 23'!E10</f>
        <v>71372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725002</v>
      </c>
      <c r="D1816" s="2" t="str">
        <f t="shared" si="27"/>
        <v>Error?</v>
      </c>
    </row>
    <row r="1817" spans="1:4" x14ac:dyDescent="0.2">
      <c r="A1817" s="5">
        <v>1756</v>
      </c>
      <c r="B1817" s="138">
        <f>'Tax Sched 23'!E12</f>
        <v>71372</v>
      </c>
      <c r="D1817" s="2" t="str">
        <f t="shared" si="27"/>
        <v>Error?</v>
      </c>
    </row>
    <row r="1818" spans="1:4" x14ac:dyDescent="0.2">
      <c r="A1818" s="5">
        <v>1757</v>
      </c>
      <c r="B1818" s="138">
        <f>'Tax Sched 23'!E14</f>
        <v>57098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5645320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54484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54484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54484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71308</v>
      </c>
      <c r="D2008" s="2" t="str">
        <f t="shared" si="30"/>
        <v>Error?</v>
      </c>
    </row>
    <row r="2009" spans="1:4" x14ac:dyDescent="0.2">
      <c r="A2009" s="5">
        <v>1948</v>
      </c>
      <c r="B2009" s="138">
        <f>'Cap Outlay Deprec 26'!C8</f>
        <v>15884516</v>
      </c>
      <c r="D2009" s="2" t="str">
        <f t="shared" si="30"/>
        <v>Error?</v>
      </c>
    </row>
    <row r="2010" spans="1:4" x14ac:dyDescent="0.2">
      <c r="A2010" s="5">
        <v>1949</v>
      </c>
      <c r="B2010" s="138">
        <f>'Cap Outlay Deprec 26'!C10</f>
        <v>391924</v>
      </c>
      <c r="D2010" s="2" t="str">
        <f t="shared" si="30"/>
        <v>Error?</v>
      </c>
    </row>
    <row r="2011" spans="1:4" x14ac:dyDescent="0.2">
      <c r="A2011" s="5">
        <v>1950</v>
      </c>
      <c r="B2011" s="138">
        <f>'Cap Outlay Deprec 26'!C12</f>
        <v>4503549</v>
      </c>
      <c r="D2011" s="2" t="str">
        <f t="shared" si="30"/>
        <v>Error?</v>
      </c>
    </row>
    <row r="2012" spans="1:4" x14ac:dyDescent="0.2">
      <c r="A2012" s="5">
        <v>1951</v>
      </c>
      <c r="B2012" s="138">
        <f>'Cap Outlay Deprec 26'!C13</f>
        <v>1508607</v>
      </c>
      <c r="D2012" s="2" t="str">
        <f t="shared" si="30"/>
        <v>Error?</v>
      </c>
    </row>
    <row r="2013" spans="1:4" x14ac:dyDescent="0.2">
      <c r="A2013" s="5">
        <v>1952</v>
      </c>
      <c r="B2013" s="138">
        <f>'Cap Outlay Deprec 26'!C16</f>
        <v>22359904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13825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40915</v>
      </c>
      <c r="D2017" s="2" t="str">
        <f t="shared" si="30"/>
        <v>Error?</v>
      </c>
    </row>
    <row r="2018" spans="1:4" x14ac:dyDescent="0.2">
      <c r="A2018" s="5">
        <v>1957</v>
      </c>
      <c r="B2018" s="138">
        <f>'Cap Outlay Deprec 26'!D13</f>
        <v>659958</v>
      </c>
      <c r="D2018" s="2" t="str">
        <f t="shared" si="30"/>
        <v>Error?</v>
      </c>
    </row>
    <row r="2019" spans="1:4" x14ac:dyDescent="0.2">
      <c r="A2019" s="5">
        <v>1958</v>
      </c>
      <c r="B2019" s="138">
        <f>'Cap Outlay Deprec 26'!D16</f>
        <v>714698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426990</v>
      </c>
      <c r="D2024" s="2" t="str">
        <f t="shared" si="30"/>
        <v>Error?</v>
      </c>
    </row>
    <row r="2025" spans="1:4" x14ac:dyDescent="0.2">
      <c r="A2025" s="5">
        <v>1964</v>
      </c>
      <c r="B2025" s="138">
        <f>'Cap Outlay Deprec 26'!E16</f>
        <v>426990</v>
      </c>
      <c r="C2025" s="2" t="s">
        <v>573</v>
      </c>
      <c r="D2025" s="2" t="str">
        <f t="shared" si="30"/>
        <v>Error?</v>
      </c>
    </row>
    <row r="2026" spans="1:4" x14ac:dyDescent="0.2">
      <c r="A2026" s="5">
        <v>1965</v>
      </c>
      <c r="B2026" s="138">
        <f>'Cap Outlay Deprec 26'!F5</f>
        <v>71308</v>
      </c>
      <c r="C2026" s="2" t="s">
        <v>573</v>
      </c>
      <c r="D2026" s="2" t="str">
        <f t="shared" si="30"/>
        <v>Error?</v>
      </c>
    </row>
    <row r="2027" spans="1:4" x14ac:dyDescent="0.2">
      <c r="A2027" s="5">
        <v>1966</v>
      </c>
      <c r="B2027" s="138">
        <f>'Cap Outlay Deprec 26'!F8</f>
        <v>15898341</v>
      </c>
      <c r="C2027" s="2" t="s">
        <v>573</v>
      </c>
      <c r="D2027" s="2" t="str">
        <f t="shared" si="30"/>
        <v>Error?</v>
      </c>
    </row>
    <row r="2028" spans="1:4" x14ac:dyDescent="0.2">
      <c r="A2028" s="5">
        <v>1967</v>
      </c>
      <c r="B2028" s="138">
        <f>'Cap Outlay Deprec 26'!F10</f>
        <v>391924</v>
      </c>
      <c r="C2028" s="2" t="s">
        <v>573</v>
      </c>
      <c r="D2028" s="2" t="str">
        <f t="shared" si="30"/>
        <v>Error?</v>
      </c>
    </row>
    <row r="2029" spans="1:4" x14ac:dyDescent="0.2">
      <c r="A2029" s="5">
        <v>1968</v>
      </c>
      <c r="B2029" s="138">
        <f>'Cap Outlay Deprec 26'!F12</f>
        <v>4544464</v>
      </c>
      <c r="C2029" s="2" t="s">
        <v>573</v>
      </c>
      <c r="D2029" s="2" t="str">
        <f t="shared" si="30"/>
        <v>Error?</v>
      </c>
    </row>
    <row r="2030" spans="1:4" x14ac:dyDescent="0.2">
      <c r="A2030" s="5">
        <v>1969</v>
      </c>
      <c r="B2030" s="138">
        <f>'Cap Outlay Deprec 26'!F13</f>
        <v>1741575</v>
      </c>
      <c r="C2030" s="2" t="s">
        <v>573</v>
      </c>
      <c r="D2030" s="2" t="str">
        <f t="shared" si="30"/>
        <v>Error?</v>
      </c>
    </row>
    <row r="2031" spans="1:4" x14ac:dyDescent="0.2">
      <c r="A2031" s="5">
        <v>1970</v>
      </c>
      <c r="B2031" s="138">
        <f>'Cap Outlay Deprec 26'!F16</f>
        <v>22647612</v>
      </c>
      <c r="C2031" s="2" t="s">
        <v>573</v>
      </c>
      <c r="D2031" s="2" t="str">
        <f t="shared" si="30"/>
        <v>Error?</v>
      </c>
    </row>
    <row r="2032" spans="1:4" x14ac:dyDescent="0.2">
      <c r="A2032" s="10">
        <v>1971</v>
      </c>
      <c r="D2032" s="2" t="str">
        <f t="shared" si="30"/>
        <v>OK</v>
      </c>
    </row>
    <row r="2033" spans="1:4" x14ac:dyDescent="0.2">
      <c r="A2033" s="5">
        <v>1972</v>
      </c>
      <c r="B2033" s="138">
        <f>'Cap Outlay Deprec 26'!H8</f>
        <v>6210504</v>
      </c>
      <c r="D2033" s="2" t="str">
        <f t="shared" si="30"/>
        <v>Error?</v>
      </c>
    </row>
    <row r="2034" spans="1:4" x14ac:dyDescent="0.2">
      <c r="A2034" s="5">
        <v>1973</v>
      </c>
      <c r="B2034" s="138">
        <f>'Cap Outlay Deprec 26'!H10</f>
        <v>195240</v>
      </c>
      <c r="D2034" s="2" t="str">
        <f t="shared" si="30"/>
        <v>Error?</v>
      </c>
    </row>
    <row r="2035" spans="1:4" x14ac:dyDescent="0.2">
      <c r="A2035" s="5">
        <v>1974</v>
      </c>
      <c r="B2035" s="138">
        <f>'Cap Outlay Deprec 26'!H12</f>
        <v>4152782</v>
      </c>
      <c r="D2035" s="2" t="str">
        <f t="shared" si="30"/>
        <v>Error?</v>
      </c>
    </row>
    <row r="2036" spans="1:4" x14ac:dyDescent="0.2">
      <c r="A2036" s="5">
        <v>1975</v>
      </c>
      <c r="B2036" s="138">
        <f>'Cap Outlay Deprec 26'!H13</f>
        <v>1054214</v>
      </c>
      <c r="D2036" s="2" t="str">
        <f t="shared" si="30"/>
        <v>Error?</v>
      </c>
    </row>
    <row r="2037" spans="1:4" x14ac:dyDescent="0.2">
      <c r="A2037" s="5">
        <v>1976</v>
      </c>
      <c r="B2037" s="138">
        <f>'Cap Outlay Deprec 26'!H16</f>
        <v>11612740</v>
      </c>
      <c r="C2037" s="2" t="s">
        <v>573</v>
      </c>
      <c r="D2037" s="2" t="str">
        <f t="shared" si="30"/>
        <v>Error?</v>
      </c>
    </row>
    <row r="2038" spans="1:4" x14ac:dyDescent="0.2">
      <c r="A2038" s="10">
        <v>1977</v>
      </c>
      <c r="D2038" s="2" t="str">
        <f t="shared" si="30"/>
        <v>OK</v>
      </c>
    </row>
    <row r="2039" spans="1:4" x14ac:dyDescent="0.2">
      <c r="A2039" s="5">
        <v>1978</v>
      </c>
      <c r="B2039" s="138">
        <f>'Cap Outlay Deprec 26'!I8</f>
        <v>259915</v>
      </c>
      <c r="D2039" s="2" t="str">
        <f t="shared" si="30"/>
        <v>Error?</v>
      </c>
    </row>
    <row r="2040" spans="1:4" x14ac:dyDescent="0.2">
      <c r="A2040" s="5">
        <v>1979</v>
      </c>
      <c r="B2040" s="138">
        <f>'Cap Outlay Deprec 26'!I10</f>
        <v>11436</v>
      </c>
      <c r="D2040" s="2" t="str">
        <f t="shared" si="30"/>
        <v>Error?</v>
      </c>
    </row>
    <row r="2041" spans="1:4" x14ac:dyDescent="0.2">
      <c r="A2041" s="5">
        <v>1980</v>
      </c>
      <c r="B2041" s="138">
        <f>'Cap Outlay Deprec 26'!I12</f>
        <v>93764</v>
      </c>
      <c r="D2041" s="2" t="str">
        <f t="shared" si="30"/>
        <v>Error?</v>
      </c>
    </row>
    <row r="2042" spans="1:4" x14ac:dyDescent="0.2">
      <c r="A2042" s="5">
        <v>1981</v>
      </c>
      <c r="B2042" s="138">
        <f>'Cap Outlay Deprec 26'!I13</f>
        <v>210714</v>
      </c>
      <c r="D2042" s="2" t="str">
        <f t="shared" si="30"/>
        <v>Error?</v>
      </c>
    </row>
    <row r="2043" spans="1:4" x14ac:dyDescent="0.2">
      <c r="A2043" s="5">
        <v>1982</v>
      </c>
      <c r="B2043" s="138">
        <f>'Cap Outlay Deprec 26'!I16</f>
        <v>575829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268753</v>
      </c>
      <c r="D2048" s="2" t="str">
        <f t="shared" si="31"/>
        <v>Error?</v>
      </c>
    </row>
    <row r="2049" spans="1:4" x14ac:dyDescent="0.2">
      <c r="A2049" s="5">
        <v>1988</v>
      </c>
      <c r="B2049" s="138">
        <f>'Cap Outlay Deprec 26'!J16</f>
        <v>268753</v>
      </c>
      <c r="C2049" s="2" t="s">
        <v>573</v>
      </c>
      <c r="D2049" s="2" t="str">
        <f t="shared" si="31"/>
        <v>Error?</v>
      </c>
    </row>
    <row r="2050" spans="1:4" x14ac:dyDescent="0.2">
      <c r="A2050" s="10">
        <v>1989</v>
      </c>
      <c r="D2050" s="2" t="str">
        <f t="shared" si="31"/>
        <v>OK</v>
      </c>
    </row>
    <row r="2051" spans="1:4" x14ac:dyDescent="0.2">
      <c r="A2051" s="5">
        <v>1990</v>
      </c>
      <c r="B2051" s="138">
        <f>'Cap Outlay Deprec 26'!K8</f>
        <v>6470419</v>
      </c>
      <c r="C2051" s="2" t="s">
        <v>573</v>
      </c>
      <c r="D2051" s="2" t="str">
        <f t="shared" si="31"/>
        <v>Error?</v>
      </c>
    </row>
    <row r="2052" spans="1:4" x14ac:dyDescent="0.2">
      <c r="A2052" s="5">
        <v>1991</v>
      </c>
      <c r="B2052" s="138">
        <f>'Cap Outlay Deprec 26'!K10</f>
        <v>206676</v>
      </c>
      <c r="C2052" s="2" t="s">
        <v>573</v>
      </c>
      <c r="D2052" s="2" t="str">
        <f t="shared" si="31"/>
        <v>Error?</v>
      </c>
    </row>
    <row r="2053" spans="1:4" x14ac:dyDescent="0.2">
      <c r="A2053" s="5">
        <v>1992</v>
      </c>
      <c r="B2053" s="138">
        <f>'Cap Outlay Deprec 26'!K12</f>
        <v>4246546</v>
      </c>
      <c r="C2053" s="2" t="s">
        <v>573</v>
      </c>
      <c r="D2053" s="2" t="str">
        <f t="shared" si="31"/>
        <v>Error?</v>
      </c>
    </row>
    <row r="2054" spans="1:4" x14ac:dyDescent="0.2">
      <c r="A2054" s="5">
        <v>1993</v>
      </c>
      <c r="B2054" s="138">
        <f>'Cap Outlay Deprec 26'!K13</f>
        <v>996175</v>
      </c>
      <c r="C2054" s="2" t="s">
        <v>573</v>
      </c>
      <c r="D2054" s="2" t="str">
        <f t="shared" si="31"/>
        <v>Error?</v>
      </c>
    </row>
    <row r="2055" spans="1:4" x14ac:dyDescent="0.2">
      <c r="A2055" s="5">
        <v>1994</v>
      </c>
      <c r="B2055" s="138">
        <f>'Cap Outlay Deprec 26'!K16</f>
        <v>11919816</v>
      </c>
      <c r="C2055" s="2" t="s">
        <v>573</v>
      </c>
      <c r="D2055" s="2" t="str">
        <f t="shared" si="31"/>
        <v>Error?</v>
      </c>
    </row>
    <row r="2056" spans="1:4" x14ac:dyDescent="0.2">
      <c r="A2056" s="5">
        <v>1995</v>
      </c>
      <c r="B2056" s="138">
        <f>'Cap Outlay Deprec 26'!L5</f>
        <v>71308</v>
      </c>
      <c r="C2056" s="2" t="s">
        <v>573</v>
      </c>
      <c r="D2056" s="2" t="str">
        <f t="shared" si="31"/>
        <v>Error?</v>
      </c>
    </row>
    <row r="2057" spans="1:4" x14ac:dyDescent="0.2">
      <c r="A2057" s="5">
        <v>1996</v>
      </c>
      <c r="B2057" s="138">
        <f>'Cap Outlay Deprec 26'!L8</f>
        <v>9427922</v>
      </c>
      <c r="C2057" s="2" t="s">
        <v>573</v>
      </c>
      <c r="D2057" s="2" t="str">
        <f t="shared" si="31"/>
        <v>Error?</v>
      </c>
    </row>
    <row r="2058" spans="1:4" x14ac:dyDescent="0.2">
      <c r="A2058" s="5">
        <v>1997</v>
      </c>
      <c r="B2058" s="138">
        <f>'Cap Outlay Deprec 26'!L10</f>
        <v>185248</v>
      </c>
      <c r="C2058" s="2" t="s">
        <v>573</v>
      </c>
      <c r="D2058" s="2" t="str">
        <f t="shared" si="31"/>
        <v>Error?</v>
      </c>
    </row>
    <row r="2059" spans="1:4" x14ac:dyDescent="0.2">
      <c r="A2059" s="5">
        <v>1998</v>
      </c>
      <c r="B2059" s="138">
        <f>'Cap Outlay Deprec 26'!L12</f>
        <v>297918</v>
      </c>
      <c r="C2059" s="2" t="s">
        <v>573</v>
      </c>
      <c r="D2059" s="2" t="str">
        <f t="shared" si="31"/>
        <v>Error?</v>
      </c>
    </row>
    <row r="2060" spans="1:4" x14ac:dyDescent="0.2">
      <c r="A2060" s="5">
        <v>1999</v>
      </c>
      <c r="B2060" s="138">
        <f>'Cap Outlay Deprec 26'!L13</f>
        <v>745400</v>
      </c>
      <c r="C2060" s="2" t="s">
        <v>573</v>
      </c>
      <c r="D2060" s="2" t="str">
        <f t="shared" si="31"/>
        <v>Error?</v>
      </c>
    </row>
    <row r="2061" spans="1:4" x14ac:dyDescent="0.2">
      <c r="A2061" s="5">
        <v>2000</v>
      </c>
      <c r="B2061" s="138">
        <f>'Cap Outlay Deprec 26'!L16</f>
        <v>10727796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238647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47387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4855557</v>
      </c>
      <c r="C2551" s="2" t="s">
        <v>573</v>
      </c>
      <c r="D2551" s="2" t="str">
        <f t="shared" si="38"/>
        <v>Error?</v>
      </c>
    </row>
    <row r="2552" spans="1:4" x14ac:dyDescent="0.2">
      <c r="A2552" s="10">
        <v>2491</v>
      </c>
      <c r="D2552" s="2" t="str">
        <f t="shared" si="38"/>
        <v>OK</v>
      </c>
    </row>
    <row r="2553" spans="1:4" x14ac:dyDescent="0.2">
      <c r="A2553" s="5">
        <v>2492</v>
      </c>
      <c r="B2553" s="138">
        <f>'Acct Summary 7-8'!C6</f>
        <v>5817801</v>
      </c>
      <c r="C2553" s="2" t="s">
        <v>573</v>
      </c>
      <c r="D2553" s="2" t="str">
        <f t="shared" si="38"/>
        <v>Error?</v>
      </c>
    </row>
    <row r="2554" spans="1:4" x14ac:dyDescent="0.2">
      <c r="A2554" s="5">
        <v>2493</v>
      </c>
      <c r="B2554" s="138">
        <f>'Acct Summary 7-8'!C7</f>
        <v>1275682</v>
      </c>
      <c r="C2554" s="2" t="s">
        <v>573</v>
      </c>
      <c r="D2554" s="2" t="str">
        <f t="shared" si="38"/>
        <v>Error?</v>
      </c>
    </row>
    <row r="2555" spans="1:4" x14ac:dyDescent="0.2">
      <c r="A2555" s="5">
        <v>2494</v>
      </c>
      <c r="B2555" s="138">
        <f>'Acct Summary 7-8'!C8</f>
        <v>11954324</v>
      </c>
      <c r="C2555" s="2" t="s">
        <v>573</v>
      </c>
      <c r="D2555" s="2" t="str">
        <f t="shared" si="38"/>
        <v>Error?</v>
      </c>
    </row>
    <row r="2556" spans="1:4" x14ac:dyDescent="0.2">
      <c r="A2556" s="5">
        <v>2495</v>
      </c>
      <c r="B2556" s="138">
        <f>'Acct Summary 7-8'!C12</f>
        <v>7629502</v>
      </c>
      <c r="C2556" s="2" t="s">
        <v>573</v>
      </c>
      <c r="D2556" s="2" t="str">
        <f t="shared" si="38"/>
        <v>Error?</v>
      </c>
    </row>
    <row r="2557" spans="1:4" x14ac:dyDescent="0.2">
      <c r="A2557" s="5">
        <v>2496</v>
      </c>
      <c r="B2557" s="138">
        <f>'Acct Summary 7-8'!C13</f>
        <v>2423898</v>
      </c>
      <c r="C2557" s="2" t="s">
        <v>573</v>
      </c>
      <c r="D2557" s="2" t="str">
        <f t="shared" si="38"/>
        <v>Error?</v>
      </c>
    </row>
    <row r="2558" spans="1:4" x14ac:dyDescent="0.2">
      <c r="A2558" s="5">
        <v>2497</v>
      </c>
      <c r="B2558" s="138">
        <f>'Acct Summary 7-8'!C14</f>
        <v>79318</v>
      </c>
      <c r="C2558" s="2" t="s">
        <v>573</v>
      </c>
      <c r="D2558" s="2" t="str">
        <f t="shared" si="38"/>
        <v>Error?</v>
      </c>
    </row>
    <row r="2559" spans="1:4" x14ac:dyDescent="0.2">
      <c r="A2559" s="5">
        <v>2498</v>
      </c>
      <c r="B2559" s="138">
        <f>'Acct Summary 7-8'!C15</f>
        <v>238647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10371365</v>
      </c>
      <c r="C2561" s="2" t="s">
        <v>573</v>
      </c>
      <c r="D2561" s="2" t="str">
        <f t="shared" si="39"/>
        <v>Error?</v>
      </c>
    </row>
    <row r="2562" spans="1:4" x14ac:dyDescent="0.2">
      <c r="A2562" s="5">
        <v>2501</v>
      </c>
      <c r="B2562" s="138">
        <f>'Acct Summary 7-8'!C20</f>
        <v>1582959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693555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693555</v>
      </c>
      <c r="C2568" s="2" t="s">
        <v>573</v>
      </c>
      <c r="D2568" s="2" t="str">
        <f t="shared" si="39"/>
        <v>Error?</v>
      </c>
    </row>
    <row r="2569" spans="1:4" x14ac:dyDescent="0.2">
      <c r="A2569" s="5">
        <v>2508</v>
      </c>
      <c r="B2569" s="138">
        <f>'Acct Summary 7-8'!D13</f>
        <v>642119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642119</v>
      </c>
      <c r="C2573" s="2" t="s">
        <v>573</v>
      </c>
      <c r="D2573" s="2" t="str">
        <f t="shared" si="39"/>
        <v>Error?</v>
      </c>
    </row>
    <row r="2574" spans="1:4" x14ac:dyDescent="0.2">
      <c r="A2574" s="5">
        <v>2513</v>
      </c>
      <c r="B2574" s="138">
        <f>'Acct Summary 7-8'!D20</f>
        <v>51436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281586</v>
      </c>
      <c r="C2591" s="2" t="s">
        <v>573</v>
      </c>
      <c r="D2591" s="2" t="str">
        <f t="shared" si="39"/>
        <v>Error?</v>
      </c>
    </row>
    <row r="2592" spans="1:4" x14ac:dyDescent="0.2">
      <c r="A2592" s="10">
        <v>2531</v>
      </c>
      <c r="D2592" s="2" t="str">
        <f t="shared" si="39"/>
        <v>OK</v>
      </c>
    </row>
    <row r="2593" spans="1:4" x14ac:dyDescent="0.2">
      <c r="A2593" s="5">
        <v>2532</v>
      </c>
      <c r="B2593" s="138">
        <f>'Acct Summary 7-8'!F6</f>
        <v>432429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714015</v>
      </c>
      <c r="C2595" s="2" t="s">
        <v>573</v>
      </c>
      <c r="D2595" s="2" t="str">
        <f t="shared" si="39"/>
        <v>Error?</v>
      </c>
    </row>
    <row r="2596" spans="1:4" x14ac:dyDescent="0.2">
      <c r="A2596" s="5">
        <v>2535</v>
      </c>
      <c r="B2596" s="138">
        <f>'Acct Summary 7-8'!F13</f>
        <v>1133801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139295</v>
      </c>
      <c r="C2599" s="2" t="s">
        <v>573</v>
      </c>
      <c r="D2599" s="2" t="str">
        <f t="shared" si="39"/>
        <v>Error?</v>
      </c>
    </row>
    <row r="2600" spans="1:4" x14ac:dyDescent="0.2">
      <c r="A2600" s="5">
        <v>2539</v>
      </c>
      <c r="B2600" s="138">
        <f>'Acct Summary 7-8'!F17</f>
        <v>1273096</v>
      </c>
      <c r="C2600" s="2" t="s">
        <v>573</v>
      </c>
      <c r="D2600" s="2" t="str">
        <f t="shared" si="39"/>
        <v>Error?</v>
      </c>
    </row>
    <row r="2601" spans="1:4" x14ac:dyDescent="0.2">
      <c r="A2601" s="5">
        <v>2540</v>
      </c>
      <c r="B2601" s="138">
        <f>'Acct Summary 7-8'!F20</f>
        <v>-559081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432316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432316</v>
      </c>
      <c r="C2606" s="2" t="s">
        <v>573</v>
      </c>
      <c r="D2606" s="2" t="str">
        <f t="shared" si="39"/>
        <v>Error?</v>
      </c>
    </row>
    <row r="2607" spans="1:4" x14ac:dyDescent="0.2">
      <c r="A2607" s="5">
        <v>2546</v>
      </c>
      <c r="B2607" s="138">
        <f>'Acct Summary 7-8'!G12</f>
        <v>239542</v>
      </c>
      <c r="C2607" s="2" t="s">
        <v>573</v>
      </c>
      <c r="D2607" s="2" t="str">
        <f t="shared" si="39"/>
        <v>Error?</v>
      </c>
    </row>
    <row r="2608" spans="1:4" x14ac:dyDescent="0.2">
      <c r="A2608" s="5">
        <v>2547</v>
      </c>
      <c r="B2608" s="138">
        <f>'Acct Summary 7-8'!G13</f>
        <v>261171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500713</v>
      </c>
      <c r="C2612" s="2" t="s">
        <v>573</v>
      </c>
      <c r="D2612" s="2" t="str">
        <f t="shared" si="39"/>
        <v>Error?</v>
      </c>
    </row>
    <row r="2613" spans="1:4" x14ac:dyDescent="0.2">
      <c r="A2613" s="5">
        <v>2552</v>
      </c>
      <c r="B2613" s="138">
        <f>'Acct Summary 7-8'!G20</f>
        <v>-68397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731005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731005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729540</v>
      </c>
      <c r="C2634" s="2" t="s">
        <v>573</v>
      </c>
      <c r="D2634" s="2" t="str">
        <f t="shared" si="40"/>
        <v>Error?</v>
      </c>
    </row>
    <row r="2635" spans="1:4" x14ac:dyDescent="0.2">
      <c r="A2635" s="5">
        <v>2574</v>
      </c>
      <c r="B2635" s="138">
        <f>'Acct Summary 7-8'!E17</f>
        <v>729540</v>
      </c>
      <c r="C2635" s="2" t="s">
        <v>573</v>
      </c>
      <c r="D2635" s="2" t="str">
        <f t="shared" si="40"/>
        <v>Error?</v>
      </c>
    </row>
    <row r="2636" spans="1:4" x14ac:dyDescent="0.2">
      <c r="A2636" s="5">
        <v>2575</v>
      </c>
      <c r="B2636" s="138">
        <f>'Acct Summary 7-8'!E20</f>
        <v>1465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484374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484374</v>
      </c>
      <c r="C2658" s="2" t="s">
        <v>573</v>
      </c>
      <c r="D2658" s="2" t="str">
        <f t="shared" si="40"/>
        <v>Error?</v>
      </c>
    </row>
    <row r="2659" spans="1:4" x14ac:dyDescent="0.2">
      <c r="A2659" s="5">
        <v>2598</v>
      </c>
      <c r="B2659" s="138">
        <f>'Acct Summary 7-8'!H13</f>
        <v>57260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57260</v>
      </c>
      <c r="C2661" s="2" t="s">
        <v>573</v>
      </c>
      <c r="D2661" s="2" t="str">
        <f t="shared" si="40"/>
        <v>Error?</v>
      </c>
    </row>
    <row r="2662" spans="1:4" x14ac:dyDescent="0.2">
      <c r="A2662" s="5">
        <v>2601</v>
      </c>
      <c r="B2662" s="138">
        <f>'Acct Summary 7-8'!H20</f>
        <v>427114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431993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462134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342040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614379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462134</v>
      </c>
      <c r="D2912" s="2" t="str">
        <f t="shared" si="44"/>
        <v>Error?</v>
      </c>
    </row>
    <row r="2913" spans="1:4" x14ac:dyDescent="0.2">
      <c r="A2913" s="5">
        <v>2852</v>
      </c>
      <c r="B2913" s="138">
        <f>'Assets-Liab 5-6'!I41</f>
        <v>462134</v>
      </c>
      <c r="C2913" s="2" t="s">
        <v>573</v>
      </c>
      <c r="D2913" s="2" t="str">
        <f t="shared" si="44"/>
        <v>Error?</v>
      </c>
    </row>
    <row r="2914" spans="1:4" x14ac:dyDescent="0.2">
      <c r="A2914" s="5">
        <v>2853</v>
      </c>
      <c r="B2914" s="138">
        <f>'Assets-Liab 5-6'!L33</f>
        <v>614379</v>
      </c>
      <c r="D2914" s="2" t="str">
        <f t="shared" si="44"/>
        <v>Error?</v>
      </c>
    </row>
    <row r="2915" spans="1:4" x14ac:dyDescent="0.2">
      <c r="A2915" s="10">
        <v>2854</v>
      </c>
      <c r="D2915" s="2" t="str">
        <f t="shared" si="44"/>
        <v>OK</v>
      </c>
    </row>
    <row r="2916" spans="1:4" x14ac:dyDescent="0.2">
      <c r="A2916" s="5">
        <v>2855</v>
      </c>
      <c r="B2916" s="138">
        <f>'Assets-Liab 5-6'!L34</f>
        <v>614379</v>
      </c>
      <c r="C2916" s="2" t="s">
        <v>573</v>
      </c>
      <c r="D2916" s="2" t="str">
        <f t="shared" si="44"/>
        <v>Error?</v>
      </c>
    </row>
    <row r="2917" spans="1:4" x14ac:dyDescent="0.2">
      <c r="A2917" s="5">
        <v>2856</v>
      </c>
      <c r="B2917" s="138">
        <f>'Assets-Liab 5-6'!L41</f>
        <v>614379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148432</v>
      </c>
      <c r="D3055" s="2" t="str">
        <f t="shared" si="46"/>
        <v>Error?</v>
      </c>
    </row>
    <row r="3056" spans="1:4" x14ac:dyDescent="0.2">
      <c r="A3056" s="5">
        <v>2995</v>
      </c>
      <c r="B3056" s="138">
        <f>'Expenditures 15-22'!D10</f>
        <v>82001</v>
      </c>
      <c r="D3056" s="2" t="str">
        <f t="shared" si="46"/>
        <v>Error?</v>
      </c>
    </row>
    <row r="3057" spans="1:4" x14ac:dyDescent="0.2">
      <c r="A3057" s="5">
        <v>2996</v>
      </c>
      <c r="B3057" s="138">
        <f>'Expenditures 15-22'!E10</f>
        <v>134934</v>
      </c>
      <c r="D3057" s="2" t="str">
        <f t="shared" si="46"/>
        <v>Error?</v>
      </c>
    </row>
    <row r="3058" spans="1:4" x14ac:dyDescent="0.2">
      <c r="A3058" s="5">
        <v>2997</v>
      </c>
      <c r="B3058" s="138">
        <f>'Expenditures 15-22'!F10</f>
        <v>112737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489378</v>
      </c>
      <c r="C3062" s="2" t="s">
        <v>573</v>
      </c>
      <c r="D3062" s="2" t="str">
        <f t="shared" si="46"/>
        <v>Error?</v>
      </c>
    </row>
    <row r="3063" spans="1:4" x14ac:dyDescent="0.2">
      <c r="A3063" s="10">
        <v>3002</v>
      </c>
      <c r="D3063" s="2" t="str">
        <f t="shared" si="46"/>
        <v>OK</v>
      </c>
    </row>
    <row r="3064" spans="1:4" x14ac:dyDescent="0.2">
      <c r="A3064" s="5">
        <v>3003</v>
      </c>
      <c r="B3064" s="138">
        <f>'Expenditures 15-22'!D219</f>
        <v>32840</v>
      </c>
      <c r="D3064" s="2" t="str">
        <f t="shared" si="46"/>
        <v>Error?</v>
      </c>
    </row>
    <row r="3065" spans="1:4" x14ac:dyDescent="0.2">
      <c r="A3065" s="5">
        <v>3004</v>
      </c>
      <c r="B3065" s="138">
        <f>'Expenditures 15-22'!K219</f>
        <v>32840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75511</v>
      </c>
      <c r="C3225" s="2" t="s">
        <v>573</v>
      </c>
      <c r="D3225" s="2" t="str">
        <f t="shared" si="49"/>
        <v>Error?</v>
      </c>
    </row>
    <row r="3226" spans="1:4" x14ac:dyDescent="0.2">
      <c r="A3226" s="5">
        <v>3165</v>
      </c>
      <c r="B3226" s="138">
        <f>'Acct Summary 7-8'!I8</f>
        <v>75511</v>
      </c>
      <c r="C3226" s="2" t="s">
        <v>573</v>
      </c>
      <c r="D3226" s="2" t="str">
        <f t="shared" si="49"/>
        <v>Error?</v>
      </c>
    </row>
    <row r="3227" spans="1:4" x14ac:dyDescent="0.2">
      <c r="A3227" s="5">
        <v>3166</v>
      </c>
      <c r="B3227" s="138">
        <f>'Acct Summary 7-8'!I20</f>
        <v>75511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1582959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51436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474002</v>
      </c>
      <c r="D3251" s="2" t="str">
        <f t="shared" si="49"/>
        <v>Error?</v>
      </c>
    </row>
    <row r="3252" spans="1:4" x14ac:dyDescent="0.2">
      <c r="A3252" s="5">
        <v>3191</v>
      </c>
      <c r="B3252" s="138">
        <f>'Acct Summary 7-8'!F44</f>
        <v>474002</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474002</v>
      </c>
      <c r="C3255" s="2" t="s">
        <v>573</v>
      </c>
      <c r="D3255" s="2" t="str">
        <f t="shared" si="49"/>
        <v>Error?</v>
      </c>
    </row>
    <row r="3256" spans="1:4" x14ac:dyDescent="0.2">
      <c r="A3256" s="5">
        <v>3195</v>
      </c>
      <c r="B3256" s="138">
        <f>'Acct Summary 7-8'!F78</f>
        <v>-85079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-68397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1465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427114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75511</v>
      </c>
      <c r="C3320" s="2" t="s">
        <v>573</v>
      </c>
      <c r="D3320" s="2" t="str">
        <f t="shared" si="50"/>
        <v>Error?</v>
      </c>
    </row>
    <row r="3321" spans="1:4" x14ac:dyDescent="0.2">
      <c r="A3321" s="5">
        <v>3260</v>
      </c>
      <c r="B3321" s="138">
        <f>'Acct Summary 7-8'!I79</f>
        <v>386623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462134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1560024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368687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14346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1975076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76486</v>
      </c>
      <c r="D3387" s="2" t="str">
        <f t="shared" si="51"/>
        <v>Error?</v>
      </c>
    </row>
    <row r="3388" spans="1:4" x14ac:dyDescent="0.2">
      <c r="A3388" s="5">
        <v>3327</v>
      </c>
      <c r="B3388" s="138">
        <f>'Expenditures 15-22'!D217</f>
        <v>108121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76486</v>
      </c>
      <c r="C3390" s="2" t="s">
        <v>573</v>
      </c>
      <c r="D3390" s="2" t="str">
        <f t="shared" si="51"/>
        <v>Error?</v>
      </c>
    </row>
    <row r="3391" spans="1:4" x14ac:dyDescent="0.2">
      <c r="A3391" s="5">
        <v>3330</v>
      </c>
      <c r="B3391" s="138">
        <f>'Expenditures 15-22'!K217</f>
        <v>108121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5284</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1024091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109268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492302</v>
      </c>
      <c r="D3417" s="2" t="str">
        <f t="shared" si="52"/>
        <v>Error?</v>
      </c>
    </row>
    <row r="3418" spans="1:4" x14ac:dyDescent="0.2">
      <c r="A3418" s="10">
        <v>3357</v>
      </c>
      <c r="D3418" s="2" t="str">
        <f t="shared" si="52"/>
        <v>OK</v>
      </c>
    </row>
    <row r="3419" spans="1:4" x14ac:dyDescent="0.2">
      <c r="A3419" s="5">
        <v>3358</v>
      </c>
      <c r="B3419" s="138">
        <f>'Assets-Liab 5-6'!F4</f>
        <v>395261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67775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258704</v>
      </c>
      <c r="D3425" s="2" t="str">
        <f t="shared" si="52"/>
        <v>Error?</v>
      </c>
    </row>
    <row r="3426" spans="1:4" x14ac:dyDescent="0.2">
      <c r="A3426" s="10">
        <v>3365</v>
      </c>
      <c r="D3426" s="2" t="str">
        <f t="shared" si="52"/>
        <v>OK</v>
      </c>
    </row>
    <row r="3427" spans="1:4" x14ac:dyDescent="0.2">
      <c r="A3427" s="5">
        <v>3366</v>
      </c>
      <c r="B3427" s="138">
        <f>'Assets-Liab 5-6'!I4</f>
        <v>30141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272339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199364</v>
      </c>
      <c r="C3446" s="2" t="s">
        <v>573</v>
      </c>
      <c r="D3446" s="2" t="str">
        <f t="shared" si="52"/>
        <v>Error?</v>
      </c>
    </row>
    <row r="3447" spans="1:4" x14ac:dyDescent="0.2">
      <c r="A3447" s="5">
        <v>3386</v>
      </c>
      <c r="B3447" s="138">
        <f>'Tax Sched 23'!D16</f>
        <v>199364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225009</v>
      </c>
      <c r="C3449" s="2" t="s">
        <v>573</v>
      </c>
      <c r="D3449" s="2" t="str">
        <f t="shared" si="52"/>
        <v>Error?</v>
      </c>
    </row>
    <row r="3450" spans="1:4" x14ac:dyDescent="0.2">
      <c r="A3450" s="5">
        <v>3389</v>
      </c>
      <c r="B3450" s="138">
        <f>'Tax Sched 23'!E16</f>
        <v>225009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150710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150710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150710</v>
      </c>
      <c r="D3567" s="2" t="str">
        <f t="shared" si="54"/>
        <v>Error?</v>
      </c>
    </row>
    <row r="3568" spans="1:4" x14ac:dyDescent="0.2">
      <c r="A3568" s="5">
        <v>3507</v>
      </c>
      <c r="B3568" s="138">
        <f>'Assets-Liab 5-6'!K41</f>
        <v>150710</v>
      </c>
      <c r="C3568" s="2" t="s">
        <v>573</v>
      </c>
      <c r="D3568" s="2" t="str">
        <f t="shared" si="54"/>
        <v>Error?</v>
      </c>
    </row>
    <row r="3569" spans="1:4" x14ac:dyDescent="0.2">
      <c r="A3569" s="5">
        <v>3508</v>
      </c>
      <c r="B3569" s="138">
        <f>'Acct Summary 7-8'!K4</f>
        <v>69379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69379</v>
      </c>
      <c r="C3571" s="2" t="s">
        <v>573</v>
      </c>
      <c r="D3571" s="2" t="str">
        <f t="shared" si="54"/>
        <v>Error?</v>
      </c>
    </row>
    <row r="3572" spans="1:4" x14ac:dyDescent="0.2">
      <c r="A3572" s="5">
        <v>3511</v>
      </c>
      <c r="B3572" s="138">
        <f>'Acct Summary 7-8'!K13</f>
        <v>39853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39853</v>
      </c>
      <c r="C3575" s="2" t="s">
        <v>573</v>
      </c>
      <c r="D3575" s="2" t="str">
        <f t="shared" si="54"/>
        <v>Error?</v>
      </c>
    </row>
    <row r="3576" spans="1:4" x14ac:dyDescent="0.2">
      <c r="A3576" s="5">
        <v>3515</v>
      </c>
      <c r="B3576" s="138">
        <f>'Acct Summary 7-8'!K20</f>
        <v>29526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29526</v>
      </c>
      <c r="C3588" s="2" t="s">
        <v>573</v>
      </c>
      <c r="D3588" s="2" t="str">
        <f t="shared" si="55"/>
        <v>Error?</v>
      </c>
    </row>
    <row r="3589" spans="1:4" x14ac:dyDescent="0.2">
      <c r="A3589" s="5">
        <v>3528</v>
      </c>
      <c r="B3589" s="138">
        <f>'Acct Summary 7-8'!K79</f>
        <v>121184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150710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31728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31728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31728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5625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5625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5625</v>
      </c>
      <c r="C3649" s="2" t="s">
        <v>573</v>
      </c>
      <c r="D3649" s="2" t="str">
        <f t="shared" si="56"/>
        <v>Error?</v>
      </c>
    </row>
    <row r="3650" spans="1:4" x14ac:dyDescent="0.2">
      <c r="A3650" s="5">
        <v>3589</v>
      </c>
      <c r="B3650" s="138">
        <f>'Expenditures 15-22'!G367</f>
        <v>5625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39853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39853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39853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39853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29526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344880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4319442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16273766</v>
      </c>
      <c r="C4122" s="2" t="s">
        <v>573</v>
      </c>
      <c r="D4122" s="2" t="str">
        <f t="shared" si="63"/>
        <v>Error?</v>
      </c>
    </row>
    <row r="4123" spans="1:4" x14ac:dyDescent="0.2">
      <c r="A4123" s="5">
        <v>4062</v>
      </c>
      <c r="B4123" s="138">
        <f>'Acct Summary 7-8'!D10</f>
        <v>693555</v>
      </c>
      <c r="C4123" s="2" t="s">
        <v>573</v>
      </c>
      <c r="D4123" s="2" t="str">
        <f t="shared" si="63"/>
        <v>Error?</v>
      </c>
    </row>
    <row r="4124" spans="1:4" x14ac:dyDescent="0.2">
      <c r="A4124" s="5">
        <v>4063</v>
      </c>
      <c r="B4124" s="138">
        <f>'Acct Summary 7-8'!E10</f>
        <v>731005</v>
      </c>
      <c r="C4124" s="2" t="s">
        <v>573</v>
      </c>
      <c r="D4124" s="2" t="str">
        <f t="shared" si="63"/>
        <v>Error?</v>
      </c>
    </row>
    <row r="4125" spans="1:4" x14ac:dyDescent="0.2">
      <c r="A4125" s="5">
        <v>4064</v>
      </c>
      <c r="B4125" s="138">
        <f>'Acct Summary 7-8'!F10</f>
        <v>714015</v>
      </c>
      <c r="C4125" s="2" t="s">
        <v>573</v>
      </c>
      <c r="D4125" s="2" t="str">
        <f t="shared" si="63"/>
        <v>Error?</v>
      </c>
    </row>
    <row r="4126" spans="1:4" x14ac:dyDescent="0.2">
      <c r="A4126" s="5">
        <v>4065</v>
      </c>
      <c r="B4126" s="138">
        <f>'Acct Summary 7-8'!G10</f>
        <v>432316</v>
      </c>
      <c r="C4126" s="2" t="s">
        <v>573</v>
      </c>
      <c r="D4126" s="2" t="str">
        <f t="shared" si="63"/>
        <v>Error?</v>
      </c>
    </row>
    <row r="4127" spans="1:4" x14ac:dyDescent="0.2">
      <c r="A4127" s="5">
        <v>4066</v>
      </c>
      <c r="B4127" s="138">
        <f>'Acct Summary 7-8'!H10</f>
        <v>484374</v>
      </c>
      <c r="C4127" s="2" t="s">
        <v>573</v>
      </c>
      <c r="D4127" s="2" t="str">
        <f t="shared" si="63"/>
        <v>Error?</v>
      </c>
    </row>
    <row r="4128" spans="1:4" x14ac:dyDescent="0.2">
      <c r="A4128" s="5">
        <v>4067</v>
      </c>
      <c r="B4128" s="138">
        <f>'Acct Summary 7-8'!I10</f>
        <v>75511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69379</v>
      </c>
      <c r="C4130" s="2" t="s">
        <v>573</v>
      </c>
      <c r="D4130" s="2" t="str">
        <f t="shared" si="63"/>
        <v>Error?</v>
      </c>
    </row>
    <row r="4131" spans="1:4" x14ac:dyDescent="0.2">
      <c r="A4131" s="5">
        <v>4070</v>
      </c>
      <c r="B4131" s="138">
        <f>'Acct Summary 7-8'!C18</f>
        <v>4319442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14690807</v>
      </c>
      <c r="C4136" s="2" t="s">
        <v>573</v>
      </c>
      <c r="D4136" s="2" t="str">
        <f t="shared" si="63"/>
        <v>Error?</v>
      </c>
    </row>
    <row r="4137" spans="1:4" x14ac:dyDescent="0.2">
      <c r="A4137" s="5">
        <v>4076</v>
      </c>
      <c r="B4137" s="138">
        <f>'Acct Summary 7-8'!D19</f>
        <v>642119</v>
      </c>
      <c r="C4137" s="2" t="s">
        <v>573</v>
      </c>
      <c r="D4137" s="2" t="str">
        <f t="shared" si="63"/>
        <v>Error?</v>
      </c>
    </row>
    <row r="4138" spans="1:4" x14ac:dyDescent="0.2">
      <c r="A4138" s="5">
        <v>4077</v>
      </c>
      <c r="B4138" s="138">
        <f>'Acct Summary 7-8'!E19</f>
        <v>729540</v>
      </c>
      <c r="C4138" s="2" t="s">
        <v>573</v>
      </c>
      <c r="D4138" s="2" t="str">
        <f t="shared" si="63"/>
        <v>Error?</v>
      </c>
    </row>
    <row r="4139" spans="1:4" x14ac:dyDescent="0.2">
      <c r="A4139" s="5">
        <v>4078</v>
      </c>
      <c r="B4139" s="138">
        <f>'Acct Summary 7-8'!F19</f>
        <v>1273096</v>
      </c>
      <c r="C4139" s="2" t="s">
        <v>573</v>
      </c>
      <c r="D4139" s="2" t="str">
        <f t="shared" si="63"/>
        <v>Error?</v>
      </c>
    </row>
    <row r="4140" spans="1:4" x14ac:dyDescent="0.2">
      <c r="A4140" s="5">
        <v>4079</v>
      </c>
      <c r="B4140" s="138">
        <f>'Acct Summary 7-8'!G19</f>
        <v>500713</v>
      </c>
      <c r="C4140" s="2" t="s">
        <v>573</v>
      </c>
      <c r="D4140" s="2" t="str">
        <f t="shared" si="63"/>
        <v>Error?</v>
      </c>
    </row>
    <row r="4141" spans="1:4" x14ac:dyDescent="0.2">
      <c r="A4141" s="5">
        <v>4080</v>
      </c>
      <c r="B4141" s="138">
        <f>'Acct Summary 7-8'!H19</f>
        <v>57260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39853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5584707</v>
      </c>
      <c r="C4171" s="2" t="s">
        <v>573</v>
      </c>
      <c r="D4171" s="2" t="str">
        <f t="shared" si="64"/>
        <v>Error?</v>
      </c>
    </row>
    <row r="4172" spans="1:4" x14ac:dyDescent="0.2">
      <c r="A4172" s="5">
        <v>4111</v>
      </c>
      <c r="B4172" s="138">
        <f>'Short-Term Long-Term Debt 24'!J49</f>
        <v>5092405</v>
      </c>
      <c r="C4172" s="2" t="s">
        <v>573</v>
      </c>
      <c r="D4172" s="2" t="str">
        <f t="shared" si="64"/>
        <v>Error?</v>
      </c>
    </row>
    <row r="4173" spans="1:4" x14ac:dyDescent="0.2">
      <c r="A4173" s="5">
        <v>4112</v>
      </c>
      <c r="B4173" s="138">
        <f>'Short-Term Long-Term Debt 24'!H49</f>
        <v>465000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334707</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139295</v>
      </c>
      <c r="D4210" s="2" t="str">
        <f t="shared" si="64"/>
        <v>Error?</v>
      </c>
    </row>
    <row r="4211" spans="1:4" x14ac:dyDescent="0.2">
      <c r="A4211" s="5">
        <v>4150</v>
      </c>
      <c r="B4211" s="138">
        <f>'Expenditures 15-22'!K206</f>
        <v>139295</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2010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2710</v>
      </c>
      <c r="C4268" s="2" t="s">
        <v>573</v>
      </c>
      <c r="D4268" s="2" t="str">
        <f t="shared" si="65"/>
        <v>Error?</v>
      </c>
    </row>
    <row r="4269" spans="1:5" x14ac:dyDescent="0.2">
      <c r="A4269" s="12">
        <v>4208</v>
      </c>
      <c r="B4269" s="138">
        <f>'FP Info 3'!J16</f>
        <v>7875077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25195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310935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21068</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21068</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50761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95199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142744945</v>
      </c>
      <c r="D4995" s="2" t="str">
        <f t="shared" si="77"/>
        <v>Error?</v>
      </c>
    </row>
    <row r="4996" spans="1:4" x14ac:dyDescent="0.2">
      <c r="A4996" s="12">
        <v>4935</v>
      </c>
      <c r="B4996" s="138">
        <f>'FP Info 3'!H31</f>
        <v>19698802.41</v>
      </c>
      <c r="D4996" s="2" t="str">
        <f t="shared" si="77"/>
        <v>Error?</v>
      </c>
    </row>
    <row r="4997" spans="1:4" x14ac:dyDescent="0.2">
      <c r="A4997" s="12">
        <v>4936</v>
      </c>
      <c r="B4997" s="138">
        <f>'FP Info 3'!H37</f>
        <v>5584707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2737874</v>
      </c>
      <c r="D5061" s="2" t="str">
        <f t="shared" si="78"/>
        <v>Error?</v>
      </c>
    </row>
    <row r="5062" spans="1:4" x14ac:dyDescent="0.2">
      <c r="A5062" s="10">
        <v>5001</v>
      </c>
      <c r="D5062" s="2" t="str">
        <f t="shared" si="78"/>
        <v>OK</v>
      </c>
    </row>
    <row r="5063" spans="1:4" x14ac:dyDescent="0.2">
      <c r="A5063" s="5">
        <v>5002</v>
      </c>
      <c r="B5063" s="138">
        <f>'Revenues 9-14'!C7</f>
        <v>54484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2792358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332042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332042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1271603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1271603</v>
      </c>
      <c r="C5087" s="2" t="s">
        <v>573</v>
      </c>
      <c r="D5087" s="2" t="str">
        <f t="shared" si="78"/>
        <v>Error?</v>
      </c>
    </row>
    <row r="5088" spans="1:4" x14ac:dyDescent="0.2">
      <c r="A5088" s="5">
        <v>5027</v>
      </c>
      <c r="B5088" s="138">
        <f>'Revenues 9-14'!C65</f>
        <v>68733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68733</v>
      </c>
      <c r="C5090" s="2" t="s">
        <v>573</v>
      </c>
      <c r="D5090" s="2" t="str">
        <f t="shared" si="78"/>
        <v>Error?</v>
      </c>
    </row>
    <row r="5091" spans="1:4" x14ac:dyDescent="0.2">
      <c r="A5091" s="5">
        <v>5030</v>
      </c>
      <c r="B5091" s="138">
        <f>'Revenues 9-14'!C70</f>
        <v>7752</v>
      </c>
      <c r="D5091" s="2" t="str">
        <f t="shared" si="78"/>
        <v>Error?</v>
      </c>
    </row>
    <row r="5092" spans="1:4" x14ac:dyDescent="0.2">
      <c r="A5092" s="5">
        <v>5031</v>
      </c>
      <c r="B5092" s="138">
        <f>'Revenues 9-14'!C71</f>
        <v>2539</v>
      </c>
      <c r="D5092" s="2" t="str">
        <f t="shared" si="78"/>
        <v>Error?</v>
      </c>
    </row>
    <row r="5093" spans="1:4" x14ac:dyDescent="0.2">
      <c r="A5093" s="5">
        <v>5032</v>
      </c>
      <c r="B5093" s="138">
        <f>'Revenues 9-14'!C72</f>
        <v>1095</v>
      </c>
      <c r="D5093" s="2" t="str">
        <f t="shared" si="78"/>
        <v>Error?</v>
      </c>
    </row>
    <row r="5094" spans="1:4" x14ac:dyDescent="0.2">
      <c r="A5094" s="5">
        <v>5033</v>
      </c>
      <c r="B5094" s="138">
        <f>'Revenues 9-14'!C73</f>
        <v>5600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105915</v>
      </c>
      <c r="C5096" s="2" t="s">
        <v>573</v>
      </c>
      <c r="D5096" s="2" t="str">
        <f t="shared" si="78"/>
        <v>Error?</v>
      </c>
    </row>
    <row r="5097" spans="1:4" x14ac:dyDescent="0.2">
      <c r="A5097" s="5">
        <v>5036</v>
      </c>
      <c r="B5097" s="138">
        <f>'Revenues 9-14'!C77</f>
        <v>22199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22199</v>
      </c>
      <c r="C5102" s="2" t="s">
        <v>573</v>
      </c>
      <c r="D5102" s="2" t="str">
        <f t="shared" si="78"/>
        <v>Error?</v>
      </c>
    </row>
    <row r="5103" spans="1:4" x14ac:dyDescent="0.2">
      <c r="A5103" s="5">
        <v>5042</v>
      </c>
      <c r="B5103" s="138">
        <f>'Revenues 9-14'!C84</f>
        <v>23795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23795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62934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24357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147207</v>
      </c>
      <c r="D5119" s="2" t="str">
        <f t="shared" ref="D5119:D5182" si="79">IF(ISBLANK(B5119),"OK",IF(A5119-B5119=0,"OK","Error?"))</f>
        <v>Error?</v>
      </c>
    </row>
    <row r="5120" spans="1:4" x14ac:dyDescent="0.2">
      <c r="A5120" s="5">
        <v>5059</v>
      </c>
      <c r="B5120" s="138">
        <f>'Revenues 9-14'!C108</f>
        <v>238912</v>
      </c>
      <c r="C5120" s="2" t="s">
        <v>573</v>
      </c>
      <c r="D5120" s="2" t="str">
        <f t="shared" si="79"/>
        <v>Error?</v>
      </c>
    </row>
    <row r="5121" spans="1:4" x14ac:dyDescent="0.2">
      <c r="A5121" s="5">
        <v>5060</v>
      </c>
      <c r="B5121" s="138">
        <f>'Revenues 9-14'!C109</f>
        <v>4855557</v>
      </c>
      <c r="C5121" s="2" t="s">
        <v>573</v>
      </c>
      <c r="D5121" s="2" t="str">
        <f t="shared" si="79"/>
        <v>Error?</v>
      </c>
    </row>
    <row r="5122" spans="1:4" x14ac:dyDescent="0.2">
      <c r="A5122" s="5">
        <v>5061</v>
      </c>
      <c r="B5122" s="138">
        <f>'Revenues 9-14'!C111</f>
        <v>5284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5284</v>
      </c>
      <c r="C5125" s="2" t="s">
        <v>573</v>
      </c>
      <c r="D5125" s="2" t="str">
        <f t="shared" si="79"/>
        <v>Error?</v>
      </c>
    </row>
    <row r="5126" spans="1:4" x14ac:dyDescent="0.2">
      <c r="A5126" s="5">
        <v>5065</v>
      </c>
      <c r="B5126" s="138">
        <f>'Revenues 9-14'!C117</f>
        <v>5305464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5305464</v>
      </c>
      <c r="C5132" s="2" t="s">
        <v>573</v>
      </c>
      <c r="D5132" s="2" t="str">
        <f t="shared" si="79"/>
        <v>Error?</v>
      </c>
    </row>
    <row r="5133" spans="1:4" x14ac:dyDescent="0.2">
      <c r="A5133" s="5">
        <v>5072</v>
      </c>
      <c r="B5133" s="138">
        <f>'Revenues 9-14'!C125</f>
        <v>8950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1463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10413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48874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71963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6449</v>
      </c>
      <c r="D5167" s="2" t="str">
        <f t="shared" si="79"/>
        <v>Error?</v>
      </c>
    </row>
    <row r="5168" spans="1:4" x14ac:dyDescent="0.2">
      <c r="A5168" s="5">
        <v>5107</v>
      </c>
      <c r="B5168" s="138">
        <f>'Revenues 9-14'!C148</f>
        <v>18217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310096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512337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5817801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261290</v>
      </c>
      <c r="D5239" s="2" t="str">
        <f t="shared" si="80"/>
        <v>Error?</v>
      </c>
    </row>
    <row r="5240" spans="1:4" x14ac:dyDescent="0.2">
      <c r="A5240" s="5">
        <v>5179</v>
      </c>
      <c r="B5240" s="138">
        <f>'Revenues 9-14'!C192</f>
        <v>1791</v>
      </c>
      <c r="D5240" s="2" t="str">
        <f t="shared" si="80"/>
        <v>Error?</v>
      </c>
    </row>
    <row r="5241" spans="1:4" x14ac:dyDescent="0.2">
      <c r="A5241" s="5">
        <v>5180</v>
      </c>
      <c r="B5241" s="138">
        <f>'Revenues 9-14'!C193</f>
        <v>81799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344880</v>
      </c>
      <c r="C5246" s="2" t="s">
        <v>573</v>
      </c>
      <c r="D5246" s="2" t="str">
        <f t="shared" si="80"/>
        <v>Error?</v>
      </c>
    </row>
    <row r="5247" spans="1:4" x14ac:dyDescent="0.2">
      <c r="A5247" s="5">
        <v>5186</v>
      </c>
      <c r="B5247" s="138">
        <f>'Revenues 9-14'!C200</f>
        <v>473968</v>
      </c>
      <c r="D5247" s="2" t="str">
        <f t="shared" ref="D5247:D5310" si="81">IF(ISBLANK(B5247),"OK",IF(A5247-B5247=0,"OK","Error?"))</f>
        <v>Error?</v>
      </c>
    </row>
    <row r="5248" spans="1:4" x14ac:dyDescent="0.2">
      <c r="A5248" s="5">
        <v>5187</v>
      </c>
      <c r="B5248" s="138">
        <f>'Revenues 9-14'!C201</f>
        <v>42548</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516516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6327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6327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1275682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1275682</v>
      </c>
      <c r="C5326" s="2" t="s">
        <v>573</v>
      </c>
      <c r="D5326" s="2" t="str">
        <f t="shared" si="82"/>
        <v>Error?</v>
      </c>
    </row>
    <row r="5327" spans="1:5" x14ac:dyDescent="0.2">
      <c r="A5327" s="5">
        <v>5266</v>
      </c>
      <c r="B5327" s="138">
        <f>'Revenues 9-14'!C268</f>
        <v>11954324</v>
      </c>
      <c r="C5327" s="2" t="s">
        <v>573</v>
      </c>
      <c r="D5327" s="2" t="str">
        <f t="shared" si="82"/>
        <v>Error?</v>
      </c>
    </row>
    <row r="5328" spans="1:5" x14ac:dyDescent="0.2">
      <c r="A5328" s="5">
        <v>5267</v>
      </c>
      <c r="B5328" s="138">
        <f>'Revenues 9-14'!D5</f>
        <v>681062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681062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11808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11808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v>
      </c>
      <c r="D5354" s="2" t="str">
        <f t="shared" si="82"/>
        <v>Error?</v>
      </c>
    </row>
    <row r="5355" spans="1:4" x14ac:dyDescent="0.2">
      <c r="A5355" s="5">
        <v>5294</v>
      </c>
      <c r="B5355" s="138">
        <f>'Revenues 9-14'!D108</f>
        <v>685</v>
      </c>
      <c r="C5355" s="2" t="s">
        <v>573</v>
      </c>
      <c r="D5355" s="2" t="str">
        <f t="shared" si="82"/>
        <v>Error?</v>
      </c>
    </row>
    <row r="5356" spans="1:4" x14ac:dyDescent="0.2">
      <c r="A5356" s="5">
        <v>5295</v>
      </c>
      <c r="B5356" s="138">
        <f>'Revenues 9-14'!D109</f>
        <v>693555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693555</v>
      </c>
      <c r="C5508" s="2" t="s">
        <v>573</v>
      </c>
      <c r="D5508" s="2" t="str">
        <f t="shared" si="85"/>
        <v>Error?</v>
      </c>
    </row>
    <row r="5509" spans="1:4" x14ac:dyDescent="0.2">
      <c r="A5509" s="5">
        <v>5448</v>
      </c>
      <c r="B5509" s="138">
        <f>'Revenues 9-14'!E5</f>
        <v>492843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492843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4673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4673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233489</v>
      </c>
      <c r="C5526" s="2" t="s">
        <v>573</v>
      </c>
      <c r="D5526" s="2" t="str">
        <f t="shared" si="85"/>
        <v>Error?</v>
      </c>
    </row>
    <row r="5527" spans="1:4" x14ac:dyDescent="0.2">
      <c r="A5527" s="5">
        <v>5466</v>
      </c>
      <c r="B5527" s="138">
        <f>'Revenues 9-14'!E109</f>
        <v>731005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731005</v>
      </c>
      <c r="C5552" s="2" t="s">
        <v>573</v>
      </c>
      <c r="D5552" s="2" t="str">
        <f t="shared" si="85"/>
        <v>Error?</v>
      </c>
    </row>
    <row r="5553" spans="1:4" x14ac:dyDescent="0.2">
      <c r="A5553" s="5">
        <v>5492</v>
      </c>
      <c r="B5553" s="138">
        <f>'Revenues 9-14'!F5</f>
        <v>272426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272426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5313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5313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3847</v>
      </c>
      <c r="D5586" s="2" t="str">
        <f t="shared" si="86"/>
        <v>Error?</v>
      </c>
    </row>
    <row r="5587" spans="1:4" x14ac:dyDescent="0.2">
      <c r="A5587" s="5">
        <v>5526</v>
      </c>
      <c r="B5587" s="138">
        <f>'Revenues 9-14'!F108</f>
        <v>3847</v>
      </c>
      <c r="C5587" s="2" t="s">
        <v>573</v>
      </c>
      <c r="D5587" s="2" t="str">
        <f t="shared" si="86"/>
        <v>Error?</v>
      </c>
    </row>
    <row r="5588" spans="1:4" x14ac:dyDescent="0.2">
      <c r="A5588" s="5">
        <v>5527</v>
      </c>
      <c r="B5588" s="138">
        <f>'Revenues 9-14'!F109</f>
        <v>281586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150000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201361</v>
      </c>
      <c r="D5615" s="2" t="str">
        <f t="shared" si="86"/>
        <v>Error?</v>
      </c>
    </row>
    <row r="5616" spans="1:4" x14ac:dyDescent="0.2">
      <c r="A5616" s="10">
        <v>5555</v>
      </c>
      <c r="D5616" s="2" t="str">
        <f t="shared" si="86"/>
        <v>OK</v>
      </c>
    </row>
    <row r="5617" spans="1:5" x14ac:dyDescent="0.2">
      <c r="A5617" s="5">
        <v>5556</v>
      </c>
      <c r="B5617" s="138">
        <f>'Revenues 9-14'!F153</f>
        <v>81068</v>
      </c>
      <c r="D5617" s="2" t="str">
        <f t="shared" si="86"/>
        <v>Error?</v>
      </c>
    </row>
    <row r="5618" spans="1:5" x14ac:dyDescent="0.2">
      <c r="A5618" s="5">
        <v>5557</v>
      </c>
      <c r="B5618" s="138">
        <f>'Revenues 9-14'!F155</f>
        <v>282429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282429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432429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714015</v>
      </c>
      <c r="C5720" s="2" t="s">
        <v>573</v>
      </c>
      <c r="D5720" s="2" t="str">
        <f t="shared" si="88"/>
        <v>Error?</v>
      </c>
    </row>
    <row r="5721" spans="1:4" x14ac:dyDescent="0.2">
      <c r="A5721" s="5">
        <v>5660</v>
      </c>
      <c r="B5721" s="138">
        <f>'Revenues 9-14'!G5</f>
        <v>199364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199364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398728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573</v>
      </c>
      <c r="D5730" s="2" t="str">
        <f t="shared" si="88"/>
        <v>Error?</v>
      </c>
    </row>
    <row r="5731" spans="1:4" x14ac:dyDescent="0.2">
      <c r="A5731" s="5">
        <v>5670</v>
      </c>
      <c r="B5731" s="138">
        <f>'Revenues 9-14'!G65</f>
        <v>8588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8588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432316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17396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17396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466978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484374</v>
      </c>
      <c r="C5915" s="2" t="s">
        <v>573</v>
      </c>
      <c r="D5915" s="2" t="str">
        <f t="shared" si="91"/>
        <v>Error?</v>
      </c>
    </row>
    <row r="5916" spans="1:4" x14ac:dyDescent="0.2">
      <c r="A5916" s="5">
        <v>5855</v>
      </c>
      <c r="B5916" s="138">
        <f>'Revenues 9-14'!I5</f>
        <v>68108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68108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7403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7403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75511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68108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68108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1271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1271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69379</v>
      </c>
      <c r="C6023" s="2" t="s">
        <v>573</v>
      </c>
      <c r="D6023" s="2" t="str">
        <f t="shared" si="93"/>
        <v>Error?</v>
      </c>
    </row>
    <row r="6024" spans="1:5" x14ac:dyDescent="0.2">
      <c r="A6024" s="5">
        <v>5963</v>
      </c>
      <c r="B6024" s="138">
        <f>'Revenues 9-14'!G109</f>
        <v>432316</v>
      </c>
      <c r="C6024" s="2" t="s">
        <v>573</v>
      </c>
      <c r="D6024" s="2" t="str">
        <f t="shared" si="93"/>
        <v>Error?</v>
      </c>
    </row>
    <row r="6025" spans="1:5" x14ac:dyDescent="0.2">
      <c r="A6025" s="5">
        <v>5964</v>
      </c>
      <c r="B6025" s="138">
        <f>'Revenues 9-14'!H109</f>
        <v>484374</v>
      </c>
      <c r="C6025" s="2" t="s">
        <v>573</v>
      </c>
      <c r="D6025" s="2" t="str">
        <f t="shared" si="93"/>
        <v>Error?</v>
      </c>
    </row>
    <row r="6026" spans="1:5" x14ac:dyDescent="0.2">
      <c r="A6026" s="5">
        <v>5965</v>
      </c>
      <c r="B6026" s="138">
        <f>'Revenues 9-14'!I109</f>
        <v>75511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69379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88929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36385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1248.3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4859</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545808</v>
      </c>
      <c r="D6124" s="2" t="str">
        <f t="shared" si="94"/>
        <v>Error?</v>
      </c>
      <c r="E6124" s="2" t="s">
        <v>190</v>
      </c>
    </row>
    <row r="6125" spans="1:5" x14ac:dyDescent="0.2">
      <c r="A6125">
        <v>6064</v>
      </c>
      <c r="B6125" s="138">
        <f>'Assets-Liab 5-6'!C25</f>
        <v>4859</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545808</v>
      </c>
      <c r="D6215" s="2" t="str">
        <f t="shared" si="96"/>
        <v>Error?</v>
      </c>
      <c r="E6215" s="2" t="s">
        <v>190</v>
      </c>
    </row>
    <row r="6216" spans="1:5" x14ac:dyDescent="0.2">
      <c r="A6216">
        <v>6155</v>
      </c>
      <c r="B6216" s="138">
        <f>'Assets-Liab 5-6'!J41</f>
        <v>545808</v>
      </c>
      <c r="D6216" s="2" t="str">
        <f t="shared" si="96"/>
        <v>Error?</v>
      </c>
      <c r="E6216" s="2" t="s">
        <v>190</v>
      </c>
    </row>
    <row r="6217" spans="1:5" x14ac:dyDescent="0.2">
      <c r="A6217">
        <v>6156</v>
      </c>
      <c r="B6217" s="138">
        <f>'Assets-Liab 5-6'!J4</f>
        <v>540949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770242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770242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770242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600027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600027</v>
      </c>
      <c r="D6229" s="2" t="str">
        <f t="shared" si="96"/>
        <v>Error?</v>
      </c>
      <c r="E6229" s="2" t="s">
        <v>190</v>
      </c>
    </row>
    <row r="6230" spans="1:5" x14ac:dyDescent="0.2">
      <c r="A6230">
        <v>6169</v>
      </c>
      <c r="B6230" s="138">
        <f>'Acct Summary 7-8'!J20</f>
        <v>170215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170215</v>
      </c>
      <c r="D6263" s="2" t="str">
        <f t="shared" si="96"/>
        <v>Error?</v>
      </c>
      <c r="E6263" s="2" t="s">
        <v>190</v>
      </c>
    </row>
    <row r="6264" spans="1:5" x14ac:dyDescent="0.2">
      <c r="A6264">
        <v>6203</v>
      </c>
      <c r="B6264" s="138">
        <f>'Acct Summary 7-8'!J79</f>
        <v>375593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545808</v>
      </c>
      <c r="D6266" s="2" t="str">
        <f t="shared" si="96"/>
        <v>Error?</v>
      </c>
      <c r="E6266" s="2" t="s">
        <v>190</v>
      </c>
    </row>
    <row r="6267" spans="1:5" x14ac:dyDescent="0.2">
      <c r="A6267">
        <v>6206</v>
      </c>
      <c r="B6267" s="138">
        <f>'Acct Summary 7-8'!C82</f>
        <v>1582959</v>
      </c>
      <c r="D6267" s="2" t="str">
        <f t="shared" si="96"/>
        <v>Error?</v>
      </c>
      <c r="E6267" s="2" t="s">
        <v>190</v>
      </c>
    </row>
    <row r="6268" spans="1:5" x14ac:dyDescent="0.2">
      <c r="A6268">
        <v>6207</v>
      </c>
      <c r="B6268" s="138">
        <f>'Acct Summary 7-8'!D82</f>
        <v>51436</v>
      </c>
      <c r="D6268" s="2" t="str">
        <f t="shared" si="96"/>
        <v>Error?</v>
      </c>
      <c r="E6268" s="2" t="s">
        <v>190</v>
      </c>
    </row>
    <row r="6269" spans="1:5" x14ac:dyDescent="0.2">
      <c r="A6269">
        <v>6208</v>
      </c>
      <c r="B6269" s="138">
        <f>'Acct Summary 7-8'!E82</f>
        <v>1465</v>
      </c>
      <c r="D6269" s="2" t="str">
        <f t="shared" si="96"/>
        <v>Error?</v>
      </c>
      <c r="E6269" s="2" t="s">
        <v>190</v>
      </c>
    </row>
    <row r="6270" spans="1:5" x14ac:dyDescent="0.2">
      <c r="A6270">
        <v>6209</v>
      </c>
      <c r="B6270" s="138">
        <f>'Acct Summary 7-8'!F82</f>
        <v>-85079</v>
      </c>
      <c r="D6270" s="2" t="str">
        <f t="shared" si="96"/>
        <v>Error?</v>
      </c>
      <c r="E6270" s="2" t="s">
        <v>190</v>
      </c>
    </row>
    <row r="6271" spans="1:5" x14ac:dyDescent="0.2">
      <c r="A6271">
        <v>6210</v>
      </c>
      <c r="B6271" s="138">
        <f>'Acct Summary 7-8'!G82</f>
        <v>-68397</v>
      </c>
      <c r="D6271" s="2" t="str">
        <f t="shared" ref="D6271:D6334" si="97">IF(ISBLANK(B6271),"OK",IF(A6271-B6271=0,"OK","Error?"))</f>
        <v>Error?</v>
      </c>
      <c r="E6271" s="2" t="s">
        <v>190</v>
      </c>
    </row>
    <row r="6272" spans="1:5" x14ac:dyDescent="0.2">
      <c r="A6272">
        <v>6211</v>
      </c>
      <c r="B6272" s="138">
        <f>'Acct Summary 7-8'!H82</f>
        <v>427114</v>
      </c>
      <c r="D6272" s="2" t="str">
        <f t="shared" si="97"/>
        <v>Error?</v>
      </c>
      <c r="E6272" s="2" t="s">
        <v>190</v>
      </c>
    </row>
    <row r="6273" spans="1:5" x14ac:dyDescent="0.2">
      <c r="A6273">
        <v>6212</v>
      </c>
      <c r="B6273" s="138">
        <f>'Acct Summary 7-8'!I82</f>
        <v>75511</v>
      </c>
      <c r="D6273" s="2" t="str">
        <f t="shared" si="97"/>
        <v>Error?</v>
      </c>
      <c r="E6273" s="2" t="s">
        <v>190</v>
      </c>
    </row>
    <row r="6274" spans="1:5" x14ac:dyDescent="0.2">
      <c r="A6274">
        <v>6213</v>
      </c>
      <c r="B6274" s="138">
        <f>'Acct Summary 7-8'!J82</f>
        <v>170215</v>
      </c>
      <c r="D6274" s="2" t="str">
        <f t="shared" si="97"/>
        <v>Error?</v>
      </c>
      <c r="E6274" s="2" t="s">
        <v>190</v>
      </c>
    </row>
    <row r="6275" spans="1:5" x14ac:dyDescent="0.2">
      <c r="A6275">
        <v>6214</v>
      </c>
      <c r="B6275" s="138">
        <f>'Acct Summary 7-8'!K82</f>
        <v>29526</v>
      </c>
      <c r="D6275" s="2" t="str">
        <f t="shared" si="97"/>
        <v>Error?</v>
      </c>
      <c r="E6275" s="2" t="s">
        <v>190</v>
      </c>
    </row>
    <row r="6276" spans="1:5" x14ac:dyDescent="0.2">
      <c r="A6276">
        <v>6215</v>
      </c>
      <c r="B6276" s="138">
        <f>'Acct Summary 7-8'!C83</f>
        <v>0.25108952358534037</v>
      </c>
      <c r="D6276" s="2" t="str">
        <f t="shared" si="97"/>
        <v>Error?</v>
      </c>
      <c r="E6276" s="2" t="s">
        <v>190</v>
      </c>
    </row>
    <row r="6277" spans="1:5" x14ac:dyDescent="0.2">
      <c r="A6277">
        <v>6216</v>
      </c>
      <c r="B6277" s="138">
        <f>'Acct Summary 7-8'!D83</f>
        <v>7.163668573784282E-2</v>
      </c>
      <c r="D6277" s="2" t="str">
        <f t="shared" si="97"/>
        <v>Error?</v>
      </c>
      <c r="E6277" s="2" t="s">
        <v>190</v>
      </c>
    </row>
    <row r="6278" spans="1:5" x14ac:dyDescent="0.2">
      <c r="A6278">
        <v>6217</v>
      </c>
      <c r="B6278" s="138">
        <f>'Acct Summary 7-8'!E83</f>
        <v>2.9758156578685441E-3</v>
      </c>
      <c r="D6278" s="2" t="str">
        <f t="shared" si="97"/>
        <v>Error?</v>
      </c>
      <c r="E6278" s="2" t="s">
        <v>190</v>
      </c>
    </row>
    <row r="6279" spans="1:5" x14ac:dyDescent="0.2">
      <c r="A6279">
        <v>6218</v>
      </c>
      <c r="B6279" s="138">
        <f>'Acct Summary 7-8'!F83</f>
        <v>-0.21783291087385104</v>
      </c>
      <c r="D6279" s="2" t="str">
        <f t="shared" si="97"/>
        <v>Error?</v>
      </c>
      <c r="E6279" s="2" t="s">
        <v>190</v>
      </c>
    </row>
    <row r="6280" spans="1:5" x14ac:dyDescent="0.2">
      <c r="A6280">
        <v>6219</v>
      </c>
      <c r="B6280" s="138">
        <f>'Acct Summary 7-8'!G83</f>
        <v>-0.15186981255245732</v>
      </c>
      <c r="D6280" s="2" t="str">
        <f t="shared" si="97"/>
        <v>Error?</v>
      </c>
      <c r="E6280" s="2" t="s">
        <v>190</v>
      </c>
    </row>
    <row r="6281" spans="1:5" x14ac:dyDescent="0.2">
      <c r="A6281">
        <v>6220</v>
      </c>
      <c r="B6281" s="138">
        <f>'Acct Summary 7-8'!H83</f>
        <v>0.33518749009224219</v>
      </c>
      <c r="D6281" s="2" t="str">
        <f t="shared" si="97"/>
        <v>Error?</v>
      </c>
      <c r="E6281" s="2" t="s">
        <v>190</v>
      </c>
    </row>
    <row r="6282" spans="1:5" x14ac:dyDescent="0.2">
      <c r="A6282">
        <v>6221</v>
      </c>
      <c r="B6282" s="138">
        <f>'Acct Summary 7-8'!I83</f>
        <v>0.16339633093431774</v>
      </c>
      <c r="D6282" s="2" t="str">
        <f t="shared" si="97"/>
        <v>Error?</v>
      </c>
      <c r="E6282" s="2" t="s">
        <v>190</v>
      </c>
    </row>
    <row r="6283" spans="1:5" x14ac:dyDescent="0.2">
      <c r="A6283">
        <v>6222</v>
      </c>
      <c r="B6283" s="138">
        <f>'Acct Summary 7-8'!J83</f>
        <v>0.31185874886406939</v>
      </c>
      <c r="D6283" s="2" t="str">
        <f t="shared" si="97"/>
        <v>Error?</v>
      </c>
      <c r="E6283" s="2" t="s">
        <v>190</v>
      </c>
    </row>
    <row r="6284" spans="1:5" x14ac:dyDescent="0.2">
      <c r="A6284">
        <v>6223</v>
      </c>
      <c r="B6284" s="138">
        <f>'Acct Summary 7-8'!K83</f>
        <v>0.19591267998142128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737608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737608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5569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5569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27065</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4414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27065</v>
      </c>
      <c r="D6351" s="2" t="str">
        <f t="shared" si="98"/>
        <v>Error?</v>
      </c>
      <c r="E6351" s="2" t="s">
        <v>190</v>
      </c>
    </row>
    <row r="6352" spans="1:5" x14ac:dyDescent="0.2">
      <c r="A6352">
        <v>6291</v>
      </c>
      <c r="B6352" s="138">
        <f>'Revenues 9-14'!J109</f>
        <v>770242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23089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158821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16246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5606</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306445</v>
      </c>
      <c r="D6848" s="2" t="str">
        <f t="shared" si="106"/>
        <v>Error?</v>
      </c>
    </row>
    <row r="6849" spans="1:4" x14ac:dyDescent="0.2">
      <c r="A6849">
        <v>6788</v>
      </c>
      <c r="B6849" s="138">
        <f>'Expenditures 15-22'!I8</f>
        <v>30658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11274</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90416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63784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4452</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4452</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2589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2589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7041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238647</v>
      </c>
      <c r="D6983" s="2" t="str">
        <f t="shared" si="108"/>
        <v>Error?</v>
      </c>
    </row>
    <row r="6984" spans="1:4" x14ac:dyDescent="0.2">
      <c r="A6984">
        <v>6923</v>
      </c>
      <c r="B6984" s="138">
        <f>'Expenditures 15-22'!K86</f>
        <v>238647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238647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70825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600027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770242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12674</v>
      </c>
      <c r="D7073" s="2" t="str">
        <f t="shared" si="109"/>
        <v>Error?</v>
      </c>
    </row>
    <row r="7074" spans="1:4" x14ac:dyDescent="0.2">
      <c r="A7074">
        <v>7013</v>
      </c>
      <c r="B7074" s="138">
        <f>'Expenditures 15-22'!K216</f>
        <v>12674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1052</v>
      </c>
      <c r="D7079" s="2" t="str">
        <f t="shared" si="109"/>
        <v>Error?</v>
      </c>
    </row>
    <row r="7080" spans="1:4" x14ac:dyDescent="0.2">
      <c r="A7080">
        <v>7019</v>
      </c>
      <c r="B7080" s="138">
        <f>'Expenditures 15-22'!K226</f>
        <v>1052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88962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88962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16381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16381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20098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20098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58379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58379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274522</v>
      </c>
      <c r="D7172" s="2" t="str">
        <f t="shared" si="111"/>
        <v>Error?</v>
      </c>
    </row>
    <row r="7173" spans="1:4" x14ac:dyDescent="0.2">
      <c r="A7173">
        <v>7112</v>
      </c>
      <c r="B7173" s="138">
        <f>'Expenditures 15-22'!D325</f>
        <v>1219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38324</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314065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4362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4362</v>
      </c>
      <c r="D7198" s="2" t="str">
        <f t="shared" si="111"/>
        <v>Error?</v>
      </c>
    </row>
    <row r="7199" spans="1:4" x14ac:dyDescent="0.2">
      <c r="A7199">
        <v>7138</v>
      </c>
      <c r="B7199" s="138">
        <f>'Expenditures 15-22'!C330</f>
        <v>274522</v>
      </c>
      <c r="D7199" s="2" t="str">
        <f t="shared" si="111"/>
        <v>Error?</v>
      </c>
    </row>
    <row r="7200" spans="1:4" x14ac:dyDescent="0.2">
      <c r="A7200">
        <v>7139</v>
      </c>
      <c r="B7200" s="138">
        <f>'Expenditures 15-22'!D330</f>
        <v>1219</v>
      </c>
      <c r="D7200" s="2" t="str">
        <f t="shared" si="111"/>
        <v>Error?</v>
      </c>
    </row>
    <row r="7201" spans="1:4" x14ac:dyDescent="0.2">
      <c r="A7201">
        <v>7140</v>
      </c>
      <c r="B7201" s="138">
        <f>'Expenditures 15-22'!E330</f>
        <v>285962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38324</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600027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274522</v>
      </c>
      <c r="D7216" s="2" t="str">
        <f t="shared" si="111"/>
        <v>Error?</v>
      </c>
    </row>
    <row r="7217" spans="1:4" x14ac:dyDescent="0.2">
      <c r="A7217">
        <v>7156</v>
      </c>
      <c r="B7217" s="138">
        <f>'Expenditures 15-22'!D342</f>
        <v>1219</v>
      </c>
      <c r="D7217" s="2" t="str">
        <f t="shared" si="111"/>
        <v>Error?</v>
      </c>
    </row>
    <row r="7218" spans="1:4" x14ac:dyDescent="0.2">
      <c r="A7218">
        <v>7157</v>
      </c>
      <c r="B7218" s="138">
        <f>'Expenditures 15-22'!E342</f>
        <v>285962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38324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600027</v>
      </c>
      <c r="D7224" s="2" t="str">
        <f t="shared" si="111"/>
        <v>Error?</v>
      </c>
    </row>
    <row r="7225" spans="1:4" x14ac:dyDescent="0.2">
      <c r="A7225">
        <v>7164</v>
      </c>
      <c r="B7225" s="138">
        <f>'Expenditures 15-22'!K343</f>
        <v>170215</v>
      </c>
      <c r="D7225" s="2" t="str">
        <f t="shared" si="111"/>
        <v>Error?</v>
      </c>
    </row>
    <row r="7226" spans="1:4" x14ac:dyDescent="0.2">
      <c r="A7226">
        <v>7165</v>
      </c>
      <c r="B7226" s="138">
        <f>'Expenditures 15-22'!I348</f>
        <v>2500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2500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2500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2500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42091</v>
      </c>
      <c r="D7246" s="2" t="str">
        <f t="shared" si="112"/>
        <v>Error?</v>
      </c>
    </row>
    <row r="7247" spans="1:4" x14ac:dyDescent="0.2">
      <c r="A7247">
        <f t="shared" si="113"/>
        <v>7186</v>
      </c>
      <c r="B7247" s="138">
        <f>'Expenditures 15-22'!E7</f>
        <v>34464</v>
      </c>
      <c r="D7247" s="2" t="str">
        <f t="shared" si="112"/>
        <v>Error?</v>
      </c>
    </row>
    <row r="7248" spans="1:4" x14ac:dyDescent="0.2">
      <c r="A7248">
        <f t="shared" si="113"/>
        <v>7187</v>
      </c>
      <c r="B7248" s="138">
        <f>'Expenditures 15-22'!F7</f>
        <v>46148</v>
      </c>
      <c r="D7248" s="2" t="str">
        <f t="shared" si="112"/>
        <v>Error?</v>
      </c>
    </row>
    <row r="7249" spans="1:4" x14ac:dyDescent="0.2">
      <c r="A7249">
        <f t="shared" si="113"/>
        <v>7188</v>
      </c>
      <c r="B7249" s="138">
        <f>'Expenditures 15-22'!G7</f>
        <v>19315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74762</v>
      </c>
      <c r="D7263" s="2" t="str">
        <f t="shared" si="112"/>
        <v>Error?</v>
      </c>
    </row>
    <row r="7264" spans="1:4" x14ac:dyDescent="0.2">
      <c r="A7264">
        <f t="shared" si="113"/>
        <v>7203</v>
      </c>
      <c r="B7264" s="138">
        <f>'Expenditures 15-22'!D17</f>
        <v>9947</v>
      </c>
      <c r="D7264" s="2" t="str">
        <f t="shared" si="112"/>
        <v>Error?</v>
      </c>
    </row>
    <row r="7265" spans="1:5" x14ac:dyDescent="0.2">
      <c r="A7265">
        <f t="shared" si="113"/>
        <v>7204</v>
      </c>
      <c r="B7265" s="138">
        <f>'Expenditures 15-22'!E17</f>
        <v>191</v>
      </c>
      <c r="D7265" s="2" t="str">
        <f t="shared" si="112"/>
        <v>Error?</v>
      </c>
    </row>
    <row r="7266" spans="1:5" x14ac:dyDescent="0.2">
      <c r="A7266">
        <f t="shared" si="113"/>
        <v>7205</v>
      </c>
      <c r="B7266" s="138">
        <f>'Expenditures 15-22'!F17</f>
        <v>5516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73325</v>
      </c>
      <c r="D7624" s="2" t="str">
        <f t="shared" si="124"/>
        <v>Error?</v>
      </c>
      <c r="E7624" s="2" t="s">
        <v>19</v>
      </c>
    </row>
    <row r="7625" spans="1:5" x14ac:dyDescent="0.2">
      <c r="A7625">
        <f t="shared" si="123"/>
        <v>7564</v>
      </c>
      <c r="B7625" s="138">
        <f>'Cap Outlay Deprec 26'!I17</f>
        <v>7332.5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583161.5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70802</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70802</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26978</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26978</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847140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17396</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4414</v>
      </c>
      <c r="D7712" s="2" t="str">
        <f t="shared" si="126"/>
        <v>Error?</v>
      </c>
      <c r="E7712" s="2" t="s">
        <v>827</v>
      </c>
    </row>
    <row r="7713" spans="1:6" x14ac:dyDescent="0.2">
      <c r="A7713">
        <v>7652</v>
      </c>
      <c r="B7713" s="138">
        <f>'Rest Tax Levies-Tort Im 25'!J8</f>
        <v>700467</v>
      </c>
      <c r="D7713" s="2" t="str">
        <f t="shared" si="126"/>
        <v>Error?</v>
      </c>
      <c r="E7713" s="2" t="s">
        <v>827</v>
      </c>
    </row>
    <row r="7714" spans="1:6" x14ac:dyDescent="0.2">
      <c r="A7714">
        <v>7653</v>
      </c>
      <c r="B7714" s="138">
        <f>'Rest Tax Levies-Tort Im 25'!K9</f>
        <v>18217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717863</v>
      </c>
      <c r="D7718" s="2" t="str">
        <f t="shared" si="126"/>
        <v>Error?</v>
      </c>
      <c r="E7718" s="2" t="s">
        <v>827</v>
      </c>
    </row>
    <row r="7719" spans="1:6" x14ac:dyDescent="0.2">
      <c r="A7719">
        <v>7658</v>
      </c>
      <c r="B7719" s="138">
        <f>'Rest Tax Levies-Tort Im 25'!K12</f>
        <v>22631</v>
      </c>
      <c r="D7719" s="2" t="str">
        <f t="shared" si="126"/>
        <v>Error?</v>
      </c>
      <c r="E7719" s="2" t="s">
        <v>827</v>
      </c>
    </row>
    <row r="7720" spans="1:6" x14ac:dyDescent="0.2">
      <c r="A7720">
        <v>7659</v>
      </c>
      <c r="B7720" s="138">
        <f>'Rest Tax Levies-Tort Im 25'!H14</f>
        <v>54484</v>
      </c>
      <c r="D7720" s="2" t="str">
        <f t="shared" si="126"/>
        <v>Error?</v>
      </c>
      <c r="E7720" s="2" t="s">
        <v>827</v>
      </c>
    </row>
    <row r="7721" spans="1:6" x14ac:dyDescent="0.2">
      <c r="A7721">
        <v>7660</v>
      </c>
      <c r="B7721" s="138">
        <f>'Rest Tax Levies-Tort Im 25'!K14</f>
        <v>22631</v>
      </c>
      <c r="D7721" s="2" t="str">
        <f t="shared" si="126"/>
        <v>Error?</v>
      </c>
      <c r="E7721" s="2" t="s">
        <v>827</v>
      </c>
    </row>
    <row r="7722" spans="1:6" x14ac:dyDescent="0.2">
      <c r="A7722">
        <v>7661</v>
      </c>
      <c r="B7722" s="138">
        <f>'Rest Tax Levies-Tort Im 25'!J15</f>
        <v>57260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233489</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233489</v>
      </c>
      <c r="D7727" s="2" t="str">
        <f t="shared" si="126"/>
        <v>Error?</v>
      </c>
      <c r="E7727" s="2" t="s">
        <v>827</v>
      </c>
    </row>
    <row r="7728" spans="1:6" x14ac:dyDescent="0.2">
      <c r="A7728">
        <v>7667</v>
      </c>
      <c r="B7728" s="138">
        <f>'Revenues 9-14'!E103</f>
        <v>233489</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290749</v>
      </c>
      <c r="D7730" s="2" t="str">
        <f t="shared" si="126"/>
        <v>Error?</v>
      </c>
      <c r="E7730" s="2" t="s">
        <v>827</v>
      </c>
    </row>
    <row r="7731" spans="1:6" x14ac:dyDescent="0.2">
      <c r="A7731">
        <v>7670</v>
      </c>
      <c r="B7731" s="138">
        <f>'Revenues 9-14'!H103</f>
        <v>466978</v>
      </c>
      <c r="D7731" s="2" t="str">
        <f t="shared" si="126"/>
        <v>Error?</v>
      </c>
      <c r="E7731" s="2" t="s">
        <v>827</v>
      </c>
    </row>
    <row r="7732" spans="1:6" x14ac:dyDescent="0.2">
      <c r="A7732">
        <v>7671</v>
      </c>
      <c r="B7732" s="138">
        <f>'Rest Tax Levies-Tort Im 25'!J24</f>
        <v>1274254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1274254</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194156</v>
      </c>
      <c r="D7797" s="2" t="str">
        <f t="shared" si="127"/>
        <v>Error?</v>
      </c>
      <c r="E7797" s="4" t="s">
        <v>1900</v>
      </c>
    </row>
    <row r="7798" spans="1:5" x14ac:dyDescent="0.2">
      <c r="A7798">
        <v>7737</v>
      </c>
      <c r="B7798" s="138">
        <f>'Contracts Paid in CY 29'!F142</f>
        <v>116655</v>
      </c>
      <c r="D7798" s="2" t="str">
        <f t="shared" si="127"/>
        <v>Error?</v>
      </c>
      <c r="E7798" s="4" t="s">
        <v>1900</v>
      </c>
    </row>
    <row r="7799" spans="1:5" x14ac:dyDescent="0.2">
      <c r="A7799">
        <v>7738</v>
      </c>
      <c r="B7799" s="138">
        <f>'Contracts Paid in CY 29'!G142</f>
        <v>77501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9"/>
  <sheetViews>
    <sheetView showGridLines="0" showZeros="0" topLeftCell="A10" zoomScale="110" zoomScaleNormal="110" workbookViewId="0">
      <selection activeCell="B49" sqref="B4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3" t="s">
        <v>1191</v>
      </c>
      <c r="B2" s="2413"/>
      <c r="C2" s="2413"/>
      <c r="D2" s="2413"/>
      <c r="E2" s="2413"/>
      <c r="F2" s="2413"/>
      <c r="G2" s="2413"/>
      <c r="H2" s="2413"/>
      <c r="I2" s="2413"/>
      <c r="J2" s="2413"/>
      <c r="K2" s="2413"/>
      <c r="L2" s="2413"/>
    </row>
    <row r="3" spans="1:29" ht="13.5" customHeight="1" x14ac:dyDescent="0.2">
      <c r="A3" s="2399" t="s">
        <v>1190</v>
      </c>
      <c r="B3" s="2399"/>
      <c r="C3" s="2399"/>
      <c r="D3" s="2399"/>
      <c r="E3" s="2399"/>
      <c r="F3" s="2399"/>
      <c r="G3" s="2399"/>
      <c r="H3" s="2399"/>
      <c r="I3" s="2399"/>
      <c r="J3" s="2399"/>
      <c r="K3" s="2399"/>
      <c r="L3" s="2399"/>
    </row>
    <row r="4" spans="1:29" ht="13.5" customHeight="1" x14ac:dyDescent="0.2">
      <c r="A4" s="2413" t="s">
        <v>1984</v>
      </c>
      <c r="B4" s="2430"/>
      <c r="C4" s="2430"/>
      <c r="D4" s="2430"/>
      <c r="E4" s="2430"/>
      <c r="F4" s="2430"/>
      <c r="G4" s="2430"/>
      <c r="H4" s="2430"/>
      <c r="I4" s="2430"/>
      <c r="J4" s="2430"/>
      <c r="K4" s="2430"/>
      <c r="L4" s="243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3" t="str">
        <f>COVER!A17</f>
        <v>Carmi-White County CUSD 5</v>
      </c>
      <c r="B7" s="2394"/>
      <c r="C7" s="2394"/>
      <c r="D7" s="2431"/>
      <c r="E7" s="2432">
        <f>COVER!A13</f>
        <v>20097005026</v>
      </c>
      <c r="F7" s="2433"/>
      <c r="G7" s="2400" t="str">
        <f>COVER!T23</f>
        <v>065-032563</v>
      </c>
      <c r="H7" s="2401"/>
      <c r="I7" s="2401"/>
      <c r="J7" s="2401"/>
      <c r="K7" s="2401"/>
      <c r="L7" s="240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3"/>
      <c r="B9" s="2404"/>
      <c r="C9" s="2404"/>
      <c r="D9" s="2404"/>
      <c r="E9" s="2404"/>
      <c r="F9" s="2405"/>
      <c r="G9" s="2406" t="str">
        <f>COVER!T13</f>
        <v>Kemper CPA Group LLP</v>
      </c>
      <c r="H9" s="2407"/>
      <c r="I9" s="2407"/>
      <c r="J9" s="2407"/>
      <c r="K9" s="2407"/>
      <c r="L9" s="2408"/>
    </row>
    <row r="10" spans="1:29" ht="13.5" customHeight="1" x14ac:dyDescent="0.2">
      <c r="A10" s="2390" t="str">
        <f>COVER!A38</f>
        <v>Brad K. Lee</v>
      </c>
      <c r="B10" s="2391"/>
      <c r="C10" s="2391"/>
      <c r="D10" s="2391"/>
      <c r="E10" s="2391"/>
      <c r="F10" s="2392"/>
      <c r="G10" s="2406" t="str">
        <f>COVER!T17</f>
        <v>703 W Main Street, PO Box 447</v>
      </c>
      <c r="H10" s="2419"/>
      <c r="I10" s="2419"/>
      <c r="J10" s="2419"/>
      <c r="K10" s="2419"/>
      <c r="L10" s="2420"/>
    </row>
    <row r="11" spans="1:29" ht="13.5" customHeight="1" x14ac:dyDescent="0.2">
      <c r="A11" s="1184" t="s">
        <v>1519</v>
      </c>
      <c r="B11" s="1185"/>
      <c r="C11" s="1186"/>
      <c r="D11" s="1191"/>
      <c r="E11" s="1186"/>
      <c r="F11" s="1190"/>
      <c r="G11" s="2406" t="str">
        <f>COVER!T19</f>
        <v>Olney</v>
      </c>
      <c r="H11" s="2419"/>
      <c r="I11" s="2419"/>
      <c r="J11" s="2419"/>
      <c r="K11" s="2419"/>
      <c r="L11" s="2420"/>
    </row>
    <row r="12" spans="1:29" ht="13.5" customHeight="1" x14ac:dyDescent="0.2">
      <c r="A12" s="2424" t="s">
        <v>1518</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1520</v>
      </c>
      <c r="H13" s="2415"/>
      <c r="I13" s="2427" t="str">
        <f>COVER!T25</f>
        <v>kmclaren@kempercpa.com</v>
      </c>
      <c r="J13" s="2428"/>
      <c r="K13" s="2428"/>
      <c r="L13" s="2429"/>
    </row>
    <row r="14" spans="1:29" ht="13.5" customHeight="1" x14ac:dyDescent="0.2">
      <c r="A14" s="2406" t="str">
        <f>COVER!A19</f>
        <v>211 West Robinson Street</v>
      </c>
      <c r="B14" s="2419"/>
      <c r="C14" s="2419"/>
      <c r="D14" s="2419"/>
      <c r="E14" s="2419"/>
      <c r="F14" s="2420"/>
      <c r="G14" s="1195" t="s">
        <v>1185</v>
      </c>
      <c r="H14" s="1193"/>
      <c r="I14" s="1193"/>
      <c r="J14" s="1193"/>
      <c r="K14" s="1193"/>
      <c r="L14" s="1194"/>
    </row>
    <row r="15" spans="1:29" ht="13.5" customHeight="1" x14ac:dyDescent="0.2">
      <c r="A15" s="2406" t="str">
        <f>COVER!A21</f>
        <v>Carmi</v>
      </c>
      <c r="B15" s="2419"/>
      <c r="C15" s="2419"/>
      <c r="D15" s="2419"/>
      <c r="E15" s="2419"/>
      <c r="F15" s="2420"/>
      <c r="G15" s="2416" t="str">
        <f>COVER!T15</f>
        <v>Krista McLaren</v>
      </c>
      <c r="H15" s="2417"/>
      <c r="I15" s="2417"/>
      <c r="J15" s="2417"/>
      <c r="K15" s="2417"/>
      <c r="L15" s="2418"/>
    </row>
    <row r="16" spans="1:29" ht="12.2" customHeight="1" x14ac:dyDescent="0.2">
      <c r="A16" s="2396">
        <f>COVER!A25</f>
        <v>62821</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5" t="s">
        <v>1184</v>
      </c>
      <c r="H17" s="1193"/>
      <c r="I17" s="1193"/>
      <c r="J17" s="1193"/>
      <c r="K17" s="1197" t="s">
        <v>1183</v>
      </c>
      <c r="L17" s="1190"/>
      <c r="M17" s="1183"/>
    </row>
    <row r="18" spans="1:13" ht="12.2" customHeight="1" x14ac:dyDescent="0.2">
      <c r="A18" s="2390"/>
      <c r="B18" s="2391"/>
      <c r="C18" s="2391"/>
      <c r="D18" s="2391"/>
      <c r="E18" s="2391"/>
      <c r="F18" s="2392"/>
      <c r="G18" s="2393" t="str">
        <f>COVER!T21</f>
        <v>618-395-2105</v>
      </c>
      <c r="H18" s="2394"/>
      <c r="I18" s="2394"/>
      <c r="J18" s="2394"/>
      <c r="K18" s="2393" t="str">
        <f>COVER!X21</f>
        <v>618-395-7079</v>
      </c>
      <c r="L18" s="239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2062</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2062</v>
      </c>
      <c r="C26" s="1202" t="s">
        <v>1699</v>
      </c>
    </row>
    <row r="27" spans="1:13" s="1198" customFormat="1" ht="9" customHeight="1" x14ac:dyDescent="0.2">
      <c r="B27" s="1203"/>
      <c r="C27" s="1202"/>
    </row>
    <row r="28" spans="1:13" s="1198" customFormat="1" ht="12.2" customHeight="1" x14ac:dyDescent="0.2">
      <c r="A28" s="1205"/>
      <c r="B28" s="1201" t="s">
        <v>2062</v>
      </c>
      <c r="C28" s="1202" t="s">
        <v>1700</v>
      </c>
    </row>
    <row r="29" spans="1:13" s="1198" customFormat="1" ht="9" customHeight="1" x14ac:dyDescent="0.2">
      <c r="A29" s="1205"/>
      <c r="B29" s="1203"/>
      <c r="C29" s="1202"/>
    </row>
    <row r="30" spans="1:13" s="1198" customFormat="1" ht="12.2" customHeight="1" x14ac:dyDescent="0.2">
      <c r="B30" s="1201" t="s">
        <v>2062</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2062</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2062</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2062</v>
      </c>
      <c r="C38" s="1202" t="s">
        <v>1566</v>
      </c>
    </row>
    <row r="39" spans="1:8" ht="9" customHeight="1" x14ac:dyDescent="0.2">
      <c r="B39" s="1203"/>
      <c r="C39" s="1206"/>
    </row>
    <row r="40" spans="1:8" s="1198" customFormat="1" ht="13.5" customHeight="1" x14ac:dyDescent="0.2">
      <c r="B40" s="1201" t="s">
        <v>2062</v>
      </c>
      <c r="C40" s="1202" t="s">
        <v>1567</v>
      </c>
    </row>
    <row r="41" spans="1:8" ht="9" customHeight="1" x14ac:dyDescent="0.2">
      <c r="A41" s="1207"/>
      <c r="B41" s="1203"/>
      <c r="C41" s="1206"/>
    </row>
    <row r="42" spans="1:8" s="1198" customFormat="1" ht="13.5" customHeight="1" x14ac:dyDescent="0.2">
      <c r="B42" s="1201" t="s">
        <v>2062</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2062</v>
      </c>
      <c r="C46" s="1209" t="s">
        <v>1568</v>
      </c>
      <c r="D46" s="1196"/>
      <c r="E46" s="1196"/>
      <c r="F46" s="1196"/>
      <c r="G46" s="1196"/>
      <c r="H46" s="1196"/>
    </row>
    <row r="47" spans="1:8" ht="9" customHeight="1" x14ac:dyDescent="0.2"/>
    <row r="48" spans="1:8" ht="12.2" customHeight="1" x14ac:dyDescent="0.2">
      <c r="B48" s="1935" t="s">
        <v>2062</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6" zoomScale="125" zoomScaleNormal="125" workbookViewId="0">
      <selection activeCell="D45" sqref="D4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Carmi-White County CUSD 5</v>
      </c>
      <c r="B1" s="2430"/>
      <c r="C1" s="2430"/>
      <c r="D1" s="2430"/>
    </row>
    <row r="2" spans="1:11" s="1212" customFormat="1" ht="12.75" x14ac:dyDescent="0.2">
      <c r="A2" s="2435">
        <f>'Single Audit Cover'!E7</f>
        <v>20097005026</v>
      </c>
      <c r="B2" s="2436"/>
      <c r="C2" s="2436"/>
      <c r="D2" s="2436"/>
    </row>
    <row r="3" spans="1:11" s="1212" customFormat="1" ht="12.75" x14ac:dyDescent="0.2">
      <c r="A3" s="2434" t="s">
        <v>1513</v>
      </c>
      <c r="B3" s="2430"/>
      <c r="C3" s="2430"/>
      <c r="D3" s="243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Carmi-White County CUSD 5</v>
      </c>
      <c r="B1" s="2438"/>
      <c r="C1" s="2438"/>
      <c r="D1" s="2438"/>
      <c r="E1" s="2438"/>
    </row>
    <row r="2" spans="1:5" x14ac:dyDescent="0.2">
      <c r="A2" s="2439">
        <f>'Single Audit Cover'!E7</f>
        <v>20097005026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1275682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36385</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-310935</v>
      </c>
    </row>
    <row r="19" spans="1:4" ht="13.5" thickBot="1" x14ac:dyDescent="0.25">
      <c r="A19" s="1262" t="s">
        <v>1235</v>
      </c>
      <c r="D19" s="1263">
        <f>SUM(D10:D17)</f>
        <v>1001132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1001132</v>
      </c>
    </row>
    <row r="33" spans="1:4" x14ac:dyDescent="0.2">
      <c r="D33" s="1266"/>
    </row>
    <row r="34" spans="1:4" x14ac:dyDescent="0.2">
      <c r="A34" s="317" t="s">
        <v>1232</v>
      </c>
    </row>
    <row r="35" spans="1:4" x14ac:dyDescent="0.2">
      <c r="A35" s="317" t="s">
        <v>1231</v>
      </c>
      <c r="B35" s="1255" t="s">
        <v>1230</v>
      </c>
      <c r="D35" s="1267">
        <v>1001132</v>
      </c>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1001132</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topLeftCell="A7" zoomScaleNormal="100" workbookViewId="0">
      <selection activeCell="B17" sqref="B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Carmi-White County CUSD 5</v>
      </c>
      <c r="C1" s="2442"/>
      <c r="D1" s="2442"/>
      <c r="E1" s="2442"/>
      <c r="F1" s="2442"/>
      <c r="G1" s="2442"/>
      <c r="H1" s="2442"/>
      <c r="I1" s="2442"/>
      <c r="J1" s="2442"/>
      <c r="K1" s="2442"/>
      <c r="L1" s="2442"/>
      <c r="M1" s="2442"/>
    </row>
    <row r="2" spans="2:14" ht="15" x14ac:dyDescent="0.2">
      <c r="B2" s="2443">
        <f>'Single Audit Cover'!E7</f>
        <v>20097005026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4" t="s">
        <v>2117</v>
      </c>
      <c r="C11" s="1335"/>
      <c r="D11" s="1336"/>
      <c r="E11" s="1337"/>
      <c r="F11" s="1337"/>
      <c r="G11" s="1337"/>
      <c r="H11" s="1337"/>
      <c r="I11" s="1337"/>
      <c r="J11" s="1337"/>
      <c r="K11" s="1337"/>
      <c r="L11" s="1337">
        <f>+G11+I11+K11</f>
        <v>0</v>
      </c>
      <c r="M11" s="1337"/>
    </row>
    <row r="12" spans="2:14" ht="20.100000000000001" customHeight="1" x14ac:dyDescent="0.2">
      <c r="B12" s="1944" t="s">
        <v>2118</v>
      </c>
      <c r="C12" s="1338"/>
      <c r="D12" s="1339"/>
      <c r="E12" s="1340"/>
      <c r="F12" s="1340"/>
      <c r="G12" s="1340"/>
      <c r="H12" s="1340"/>
      <c r="I12" s="1340"/>
      <c r="J12" s="1340"/>
      <c r="K12" s="1340"/>
      <c r="L12" s="1337">
        <f t="shared" ref="L12:L27" si="0">+G12+I12+K12</f>
        <v>0</v>
      </c>
      <c r="M12" s="1340"/>
    </row>
    <row r="13" spans="2:14" ht="20.100000000000001" customHeight="1" x14ac:dyDescent="0.2">
      <c r="B13" s="1334" t="s">
        <v>2202</v>
      </c>
      <c r="C13" s="1338" t="s">
        <v>2122</v>
      </c>
      <c r="D13" s="1339" t="s">
        <v>2125</v>
      </c>
      <c r="E13" s="1945">
        <v>0</v>
      </c>
      <c r="F13" s="1945">
        <v>253745</v>
      </c>
      <c r="G13" s="1945">
        <v>0</v>
      </c>
      <c r="H13" s="1945">
        <v>0</v>
      </c>
      <c r="I13" s="1945">
        <v>484652</v>
      </c>
      <c r="J13" s="1945">
        <v>0</v>
      </c>
      <c r="K13" s="1945">
        <v>0</v>
      </c>
      <c r="L13" s="1337">
        <f t="shared" si="0"/>
        <v>484652</v>
      </c>
      <c r="M13" s="1340">
        <v>485345</v>
      </c>
    </row>
    <row r="14" spans="2:14" ht="20.100000000000001" customHeight="1" x14ac:dyDescent="0.2">
      <c r="B14" s="1334" t="s">
        <v>2202</v>
      </c>
      <c r="C14" s="1338" t="s">
        <v>2122</v>
      </c>
      <c r="D14" s="1339" t="s">
        <v>2126</v>
      </c>
      <c r="E14" s="1945">
        <v>178403</v>
      </c>
      <c r="F14" s="1945">
        <v>220223</v>
      </c>
      <c r="G14" s="1945">
        <v>387613</v>
      </c>
      <c r="H14" s="1945">
        <v>0</v>
      </c>
      <c r="I14" s="1945">
        <v>11013</v>
      </c>
      <c r="J14" s="1945">
        <v>0</v>
      </c>
      <c r="K14" s="1945">
        <v>0</v>
      </c>
      <c r="L14" s="1337">
        <f t="shared" si="0"/>
        <v>398626</v>
      </c>
      <c r="M14" s="1340">
        <v>406985</v>
      </c>
    </row>
    <row r="15" spans="2:14" ht="20.100000000000001" customHeight="1" x14ac:dyDescent="0.2">
      <c r="B15" s="1334" t="s">
        <v>2203</v>
      </c>
      <c r="C15" s="1338" t="s">
        <v>2122</v>
      </c>
      <c r="D15" s="1339" t="s">
        <v>2127</v>
      </c>
      <c r="E15" s="1945">
        <v>0</v>
      </c>
      <c r="F15" s="1945">
        <v>24035</v>
      </c>
      <c r="G15" s="1945">
        <v>0</v>
      </c>
      <c r="H15" s="1945">
        <v>0</v>
      </c>
      <c r="I15" s="1945">
        <v>49167</v>
      </c>
      <c r="J15" s="1945">
        <v>49167</v>
      </c>
      <c r="K15" s="1945">
        <v>0</v>
      </c>
      <c r="L15" s="1337">
        <f t="shared" si="0"/>
        <v>49167</v>
      </c>
      <c r="M15" s="1340">
        <v>50574</v>
      </c>
    </row>
    <row r="16" spans="2:14" ht="20.100000000000001" customHeight="1" x14ac:dyDescent="0.2">
      <c r="B16" s="1334" t="s">
        <v>2203</v>
      </c>
      <c r="C16" s="1338" t="s">
        <v>2122</v>
      </c>
      <c r="D16" s="1339" t="s">
        <v>2128</v>
      </c>
      <c r="E16" s="1945">
        <v>23294</v>
      </c>
      <c r="F16" s="1945">
        <v>18513</v>
      </c>
      <c r="G16" s="1945">
        <v>41807</v>
      </c>
      <c r="H16" s="1945">
        <v>41807</v>
      </c>
      <c r="I16" s="1946">
        <v>0</v>
      </c>
      <c r="J16" s="1945">
        <v>0</v>
      </c>
      <c r="K16" s="1945">
        <v>0</v>
      </c>
      <c r="L16" s="1337">
        <f t="shared" si="0"/>
        <v>41807</v>
      </c>
      <c r="M16" s="1340">
        <v>42041</v>
      </c>
    </row>
    <row r="17" spans="2:14" ht="20.100000000000001" customHeight="1" x14ac:dyDescent="0.2">
      <c r="B17" s="1334" t="s">
        <v>2119</v>
      </c>
      <c r="C17" s="1338">
        <v>84.367000000000004</v>
      </c>
      <c r="D17" s="1339" t="s">
        <v>2129</v>
      </c>
      <c r="E17" s="1945">
        <v>0</v>
      </c>
      <c r="F17" s="1945">
        <v>50761</v>
      </c>
      <c r="G17" s="1945">
        <v>0</v>
      </c>
      <c r="H17" s="1945">
        <v>0</v>
      </c>
      <c r="I17" s="1945">
        <v>65053</v>
      </c>
      <c r="J17" s="1945">
        <v>0</v>
      </c>
      <c r="K17" s="1945">
        <v>0</v>
      </c>
      <c r="L17" s="1337">
        <f t="shared" si="0"/>
        <v>65053</v>
      </c>
      <c r="M17" s="1340">
        <v>67963</v>
      </c>
    </row>
    <row r="18" spans="2:14" ht="20.100000000000001" customHeight="1" x14ac:dyDescent="0.2">
      <c r="B18" s="1334" t="s">
        <v>2119</v>
      </c>
      <c r="C18" s="1338">
        <v>84.367000000000004</v>
      </c>
      <c r="D18" s="1339" t="s">
        <v>2130</v>
      </c>
      <c r="E18" s="1945">
        <v>61315</v>
      </c>
      <c r="F18" s="1946">
        <v>0</v>
      </c>
      <c r="G18" s="1945">
        <v>61315</v>
      </c>
      <c r="H18" s="1945">
        <v>0</v>
      </c>
      <c r="I18" s="1946">
        <v>0</v>
      </c>
      <c r="J18" s="1945">
        <v>0</v>
      </c>
      <c r="K18" s="1945">
        <v>0</v>
      </c>
      <c r="L18" s="1337">
        <f t="shared" si="0"/>
        <v>61315</v>
      </c>
      <c r="M18" s="1340">
        <v>61315</v>
      </c>
    </row>
    <row r="19" spans="2:14" ht="20.100000000000001" customHeight="1" x14ac:dyDescent="0.2">
      <c r="B19" s="1334" t="s">
        <v>2120</v>
      </c>
      <c r="C19" s="1338" t="s">
        <v>2123</v>
      </c>
      <c r="D19" s="1339" t="s">
        <v>2131</v>
      </c>
      <c r="E19" s="1945">
        <v>0</v>
      </c>
      <c r="F19" s="1945">
        <v>19885</v>
      </c>
      <c r="G19" s="1945">
        <v>0</v>
      </c>
      <c r="H19" s="1945">
        <v>0</v>
      </c>
      <c r="I19" s="1945">
        <v>25717</v>
      </c>
      <c r="J19" s="1945">
        <v>0</v>
      </c>
      <c r="K19" s="1945">
        <v>0</v>
      </c>
      <c r="L19" s="1337">
        <f t="shared" si="0"/>
        <v>25717</v>
      </c>
      <c r="M19" s="1340">
        <v>25717</v>
      </c>
    </row>
    <row r="20" spans="2:14" ht="20.100000000000001" customHeight="1" x14ac:dyDescent="0.2">
      <c r="B20" s="1334" t="s">
        <v>2120</v>
      </c>
      <c r="C20" s="1338" t="s">
        <v>2123</v>
      </c>
      <c r="D20" s="1339" t="s">
        <v>2132</v>
      </c>
      <c r="E20" s="1945">
        <v>22660</v>
      </c>
      <c r="F20" s="1945">
        <v>1183</v>
      </c>
      <c r="G20" s="1945">
        <v>23843</v>
      </c>
      <c r="H20" s="1945">
        <v>0</v>
      </c>
      <c r="I20" s="1945">
        <v>0</v>
      </c>
      <c r="J20" s="1945">
        <v>0</v>
      </c>
      <c r="K20" s="1945">
        <v>0</v>
      </c>
      <c r="L20" s="1337">
        <f t="shared" si="0"/>
        <v>23843</v>
      </c>
      <c r="M20" s="1340">
        <v>23843</v>
      </c>
    </row>
    <row r="21" spans="2:14" ht="20.100000000000001" customHeight="1" x14ac:dyDescent="0.2">
      <c r="B21" s="1334" t="s">
        <v>2121</v>
      </c>
      <c r="C21" s="1338" t="s">
        <v>2124</v>
      </c>
      <c r="D21" s="1339" t="s">
        <v>2133</v>
      </c>
      <c r="E21" s="1945">
        <v>0</v>
      </c>
      <c r="F21" s="1945">
        <v>6327</v>
      </c>
      <c r="G21" s="1945"/>
      <c r="H21" s="1945">
        <v>0</v>
      </c>
      <c r="I21" s="1945">
        <v>6327</v>
      </c>
      <c r="J21" s="1945">
        <v>0</v>
      </c>
      <c r="K21" s="1945">
        <v>0</v>
      </c>
      <c r="L21" s="1337">
        <f t="shared" si="0"/>
        <v>6327</v>
      </c>
      <c r="M21" s="1340"/>
    </row>
    <row r="22" spans="2:14" ht="20.100000000000001" customHeight="1" x14ac:dyDescent="0.2">
      <c r="B22" s="1944" t="s">
        <v>2134</v>
      </c>
      <c r="C22" s="1338"/>
      <c r="D22" s="1339"/>
      <c r="E22" s="1945">
        <f t="shared" ref="E22:K22" si="1">SUM(E13:E21)</f>
        <v>285672</v>
      </c>
      <c r="F22" s="1945">
        <f t="shared" si="1"/>
        <v>594672</v>
      </c>
      <c r="G22" s="1945">
        <f t="shared" si="1"/>
        <v>514578</v>
      </c>
      <c r="H22" s="1945">
        <f t="shared" si="1"/>
        <v>41807</v>
      </c>
      <c r="I22" s="1945">
        <f t="shared" si="1"/>
        <v>641929</v>
      </c>
      <c r="J22" s="1945">
        <f t="shared" si="1"/>
        <v>49167</v>
      </c>
      <c r="K22" s="1945">
        <f t="shared" si="1"/>
        <v>0</v>
      </c>
      <c r="L22" s="1337">
        <f t="shared" si="0"/>
        <v>1156507</v>
      </c>
      <c r="M22" s="1340"/>
    </row>
    <row r="23" spans="2:14" ht="20.100000000000001" customHeight="1" x14ac:dyDescent="0.2">
      <c r="B23" s="1334"/>
      <c r="C23" s="1338"/>
      <c r="D23" s="1339"/>
      <c r="E23" s="1945"/>
      <c r="F23" s="1945"/>
      <c r="G23" s="1945"/>
      <c r="H23" s="1945"/>
      <c r="I23" s="1945"/>
      <c r="J23" s="1945"/>
      <c r="K23" s="1945"/>
      <c r="L23" s="1337">
        <f t="shared" si="0"/>
        <v>0</v>
      </c>
      <c r="M23" s="1340"/>
    </row>
    <row r="24" spans="2:14" ht="20.100000000000001" customHeight="1" x14ac:dyDescent="0.2">
      <c r="B24" s="1944" t="s">
        <v>2135</v>
      </c>
      <c r="C24" s="1338"/>
      <c r="D24" s="1339"/>
      <c r="E24" s="1945"/>
      <c r="F24" s="1945"/>
      <c r="G24" s="1945"/>
      <c r="H24" s="1945"/>
      <c r="I24" s="1945"/>
      <c r="J24" s="1945"/>
      <c r="K24" s="1945"/>
      <c r="L24" s="1337">
        <f t="shared" si="0"/>
        <v>0</v>
      </c>
      <c r="M24" s="1340"/>
    </row>
    <row r="25" spans="2:14" ht="20.100000000000001" customHeight="1" x14ac:dyDescent="0.2">
      <c r="B25" s="1334" t="s">
        <v>2136</v>
      </c>
      <c r="C25" s="1338"/>
      <c r="D25" s="1339"/>
      <c r="E25" s="1945"/>
      <c r="F25" s="1945"/>
      <c r="G25" s="1945"/>
      <c r="H25" s="1945"/>
      <c r="I25" s="1945"/>
      <c r="J25" s="1945"/>
      <c r="K25" s="1945"/>
      <c r="L25" s="1337">
        <f t="shared" si="0"/>
        <v>0</v>
      </c>
      <c r="M25" s="1340"/>
    </row>
    <row r="26" spans="2:14" ht="20.100000000000001" customHeight="1" x14ac:dyDescent="0.2">
      <c r="B26" s="1334" t="s">
        <v>2137</v>
      </c>
      <c r="C26" s="1338">
        <v>93.778000000000006</v>
      </c>
      <c r="D26" s="1339" t="s">
        <v>2139</v>
      </c>
      <c r="E26" s="1945">
        <v>0</v>
      </c>
      <c r="F26" s="1945">
        <v>25195</v>
      </c>
      <c r="G26" s="1945">
        <v>0</v>
      </c>
      <c r="H26" s="1945">
        <v>0</v>
      </c>
      <c r="I26" s="1945">
        <v>24560</v>
      </c>
      <c r="J26" s="1945">
        <v>0</v>
      </c>
      <c r="K26" s="1945">
        <v>0</v>
      </c>
      <c r="L26" s="1337">
        <f t="shared" si="0"/>
        <v>24560</v>
      </c>
      <c r="M26" s="1340" t="s">
        <v>2140</v>
      </c>
    </row>
    <row r="27" spans="2:14" ht="20.100000000000001" customHeight="1" x14ac:dyDescent="0.2">
      <c r="B27" s="1944" t="s">
        <v>2138</v>
      </c>
      <c r="C27" s="1338"/>
      <c r="D27" s="1339"/>
      <c r="E27" s="1945">
        <f t="shared" ref="E27:K27" si="2">E26</f>
        <v>0</v>
      </c>
      <c r="F27" s="1945">
        <f t="shared" si="2"/>
        <v>25195</v>
      </c>
      <c r="G27" s="1945">
        <f t="shared" si="2"/>
        <v>0</v>
      </c>
      <c r="H27" s="1945">
        <f t="shared" si="2"/>
        <v>0</v>
      </c>
      <c r="I27" s="1945">
        <f t="shared" si="2"/>
        <v>24560</v>
      </c>
      <c r="J27" s="1945">
        <f t="shared" si="2"/>
        <v>0</v>
      </c>
      <c r="K27" s="1945">
        <f t="shared" si="2"/>
        <v>0</v>
      </c>
      <c r="L27" s="1337">
        <f t="shared" si="0"/>
        <v>24560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1"/>
  <sheetViews>
    <sheetView showGridLines="0" topLeftCell="A5" zoomScaleNormal="100" workbookViewId="0">
      <selection activeCell="B22" sqref="B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Carmi-White County CUSD 5</v>
      </c>
      <c r="C1" s="2442"/>
      <c r="D1" s="2442"/>
      <c r="E1" s="2442"/>
      <c r="F1" s="2442"/>
      <c r="G1" s="2442"/>
      <c r="H1" s="2442"/>
      <c r="I1" s="2442"/>
      <c r="J1" s="2442"/>
      <c r="K1" s="2442"/>
      <c r="L1" s="2442"/>
      <c r="M1" s="2442"/>
    </row>
    <row r="2" spans="2:14" ht="15" x14ac:dyDescent="0.2">
      <c r="B2" s="2443">
        <f>'Single Audit Cover'!E7</f>
        <v>20097005026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4" t="s">
        <v>2142</v>
      </c>
      <c r="C11" s="1335"/>
      <c r="D11" s="1336"/>
      <c r="E11" s="1337"/>
      <c r="F11" s="1337"/>
      <c r="G11" s="1337"/>
      <c r="H11" s="1337"/>
      <c r="I11" s="1337"/>
      <c r="J11" s="1337"/>
      <c r="K11" s="1337"/>
      <c r="L11" s="1337">
        <f>+G11+I11+K11</f>
        <v>0</v>
      </c>
      <c r="M11" s="1337"/>
    </row>
    <row r="12" spans="2:14" ht="20.100000000000001" customHeight="1" x14ac:dyDescent="0.2">
      <c r="B12" s="1944" t="s">
        <v>2118</v>
      </c>
      <c r="C12" s="1338"/>
      <c r="D12" s="1339"/>
      <c r="E12" s="1340"/>
      <c r="F12" s="1340"/>
      <c r="G12" s="1340"/>
      <c r="H12" s="1340"/>
      <c r="I12" s="1340"/>
      <c r="J12" s="1340"/>
      <c r="K12" s="1340"/>
      <c r="L12" s="1337">
        <f t="shared" ref="L12:L26" si="0">+G12+I12+K12</f>
        <v>0</v>
      </c>
      <c r="M12" s="1340"/>
    </row>
    <row r="13" spans="2:14" ht="20.100000000000001" customHeight="1" x14ac:dyDescent="0.2">
      <c r="B13" s="1334" t="s">
        <v>2143</v>
      </c>
      <c r="C13" s="1338"/>
      <c r="D13" s="1339"/>
      <c r="E13" s="1945"/>
      <c r="F13" s="1945"/>
      <c r="G13" s="1945"/>
      <c r="H13" s="1945"/>
      <c r="I13" s="1945"/>
      <c r="J13" s="1945"/>
      <c r="K13" s="1945"/>
      <c r="L13" s="1337">
        <f t="shared" si="0"/>
        <v>0</v>
      </c>
      <c r="M13" s="1340"/>
    </row>
    <row r="14" spans="2:14" ht="20.100000000000001" customHeight="1" x14ac:dyDescent="0.2">
      <c r="B14" s="1334" t="s">
        <v>2197</v>
      </c>
      <c r="C14" s="1338">
        <v>10.555</v>
      </c>
      <c r="D14" s="1339" t="s">
        <v>2147</v>
      </c>
      <c r="E14" s="1945">
        <v>0</v>
      </c>
      <c r="F14" s="1945">
        <v>213936</v>
      </c>
      <c r="G14" s="1945">
        <v>0</v>
      </c>
      <c r="H14" s="1945">
        <v>0</v>
      </c>
      <c r="I14" s="1945">
        <v>213936</v>
      </c>
      <c r="J14" s="1945">
        <v>0</v>
      </c>
      <c r="K14" s="1945">
        <v>0</v>
      </c>
      <c r="L14" s="1337">
        <f t="shared" si="0"/>
        <v>213936</v>
      </c>
      <c r="M14" s="1340" t="s">
        <v>2140</v>
      </c>
    </row>
    <row r="15" spans="2:14" ht="20.100000000000001" customHeight="1" x14ac:dyDescent="0.2">
      <c r="B15" s="1334" t="s">
        <v>2197</v>
      </c>
      <c r="C15" s="1338">
        <v>10.555</v>
      </c>
      <c r="D15" s="1339" t="s">
        <v>2148</v>
      </c>
      <c r="E15" s="1945">
        <v>203599</v>
      </c>
      <c r="F15" s="1945">
        <v>47354</v>
      </c>
      <c r="G15" s="1945">
        <v>203599</v>
      </c>
      <c r="H15" s="1945">
        <v>0</v>
      </c>
      <c r="I15" s="1945">
        <v>47354</v>
      </c>
      <c r="J15" s="1945">
        <v>0</v>
      </c>
      <c r="K15" s="1945">
        <v>0</v>
      </c>
      <c r="L15" s="1337">
        <f t="shared" si="0"/>
        <v>250953</v>
      </c>
      <c r="M15" s="1340" t="s">
        <v>2140</v>
      </c>
    </row>
    <row r="16" spans="2:14" ht="20.100000000000001" customHeight="1" x14ac:dyDescent="0.2">
      <c r="B16" s="1334" t="s">
        <v>2198</v>
      </c>
      <c r="C16" s="1338">
        <v>10.555999999999999</v>
      </c>
      <c r="D16" s="1339" t="s">
        <v>2149</v>
      </c>
      <c r="E16" s="1945">
        <v>0</v>
      </c>
      <c r="F16" s="1945">
        <v>1443</v>
      </c>
      <c r="G16" s="1945">
        <v>0</v>
      </c>
      <c r="H16" s="1945">
        <v>0</v>
      </c>
      <c r="I16" s="1946">
        <v>1443</v>
      </c>
      <c r="J16" s="1945">
        <v>0</v>
      </c>
      <c r="K16" s="1945">
        <v>0</v>
      </c>
      <c r="L16" s="1337">
        <f t="shared" si="0"/>
        <v>1443</v>
      </c>
      <c r="M16" s="1340" t="s">
        <v>2140</v>
      </c>
    </row>
    <row r="17" spans="2:14" ht="20.100000000000001" customHeight="1" x14ac:dyDescent="0.2">
      <c r="B17" s="1334" t="s">
        <v>2198</v>
      </c>
      <c r="C17" s="1338">
        <v>10.555999999999999</v>
      </c>
      <c r="D17" s="1339" t="s">
        <v>2150</v>
      </c>
      <c r="E17" s="1945">
        <v>1948</v>
      </c>
      <c r="F17" s="1945">
        <v>347</v>
      </c>
      <c r="G17" s="1945">
        <v>1948</v>
      </c>
      <c r="H17" s="1945">
        <v>0</v>
      </c>
      <c r="I17" s="1945">
        <v>347</v>
      </c>
      <c r="J17" s="1945">
        <v>0</v>
      </c>
      <c r="K17" s="1945">
        <v>0</v>
      </c>
      <c r="L17" s="1337">
        <f t="shared" si="0"/>
        <v>2295</v>
      </c>
      <c r="M17" s="1340" t="s">
        <v>2140</v>
      </c>
    </row>
    <row r="18" spans="2:14" ht="20.100000000000001" customHeight="1" x14ac:dyDescent="0.2">
      <c r="B18" s="1334" t="s">
        <v>2199</v>
      </c>
      <c r="C18" s="1338">
        <v>10.553000000000001</v>
      </c>
      <c r="D18" s="1339" t="s">
        <v>2151</v>
      </c>
      <c r="E18" s="1945">
        <v>0</v>
      </c>
      <c r="F18" s="1946">
        <v>66627</v>
      </c>
      <c r="G18" s="1945">
        <v>0</v>
      </c>
      <c r="H18" s="1945">
        <v>0</v>
      </c>
      <c r="I18" s="1946">
        <v>66627</v>
      </c>
      <c r="J18" s="1945">
        <v>0</v>
      </c>
      <c r="K18" s="1945">
        <v>0</v>
      </c>
      <c r="L18" s="1337">
        <f t="shared" si="0"/>
        <v>66627</v>
      </c>
      <c r="M18" s="1340" t="s">
        <v>2140</v>
      </c>
    </row>
    <row r="19" spans="2:14" ht="20.100000000000001" customHeight="1" x14ac:dyDescent="0.2">
      <c r="B19" s="1334" t="s">
        <v>2199</v>
      </c>
      <c r="C19" s="1338">
        <v>10.553000000000001</v>
      </c>
      <c r="D19" s="1339" t="s">
        <v>2152</v>
      </c>
      <c r="E19" s="1945">
        <v>68765</v>
      </c>
      <c r="F19" s="1945">
        <v>15173</v>
      </c>
      <c r="G19" s="1945">
        <v>68765</v>
      </c>
      <c r="H19" s="1945">
        <v>0</v>
      </c>
      <c r="I19" s="1945">
        <v>15173</v>
      </c>
      <c r="J19" s="1945">
        <v>0</v>
      </c>
      <c r="K19" s="1945">
        <v>0</v>
      </c>
      <c r="L19" s="1337">
        <f t="shared" si="0"/>
        <v>83938</v>
      </c>
      <c r="M19" s="1340" t="s">
        <v>2140</v>
      </c>
    </row>
    <row r="20" spans="2:14" ht="20.100000000000001" customHeight="1" x14ac:dyDescent="0.2">
      <c r="B20" s="1334" t="s">
        <v>2200</v>
      </c>
      <c r="C20" s="1338">
        <v>10.555</v>
      </c>
      <c r="D20" s="1339" t="s">
        <v>2140</v>
      </c>
      <c r="E20" s="1945">
        <v>0</v>
      </c>
      <c r="F20" s="1945">
        <v>32777</v>
      </c>
      <c r="G20" s="1945">
        <v>0</v>
      </c>
      <c r="H20" s="1945">
        <v>0</v>
      </c>
      <c r="I20" s="1945">
        <v>32777</v>
      </c>
      <c r="J20" s="1945">
        <v>0</v>
      </c>
      <c r="K20" s="1945">
        <v>0</v>
      </c>
      <c r="L20" s="1337">
        <f t="shared" si="0"/>
        <v>32777</v>
      </c>
      <c r="M20" s="1340" t="s">
        <v>2140</v>
      </c>
    </row>
    <row r="21" spans="2:14" ht="20.100000000000001" customHeight="1" x14ac:dyDescent="0.2">
      <c r="B21" s="1334" t="s">
        <v>2201</v>
      </c>
      <c r="C21" s="1338">
        <v>10.555</v>
      </c>
      <c r="D21" s="1339" t="s">
        <v>2140</v>
      </c>
      <c r="E21" s="1945">
        <v>0</v>
      </c>
      <c r="F21" s="1945">
        <v>3608</v>
      </c>
      <c r="G21" s="1945">
        <v>0</v>
      </c>
      <c r="H21" s="1945">
        <v>0</v>
      </c>
      <c r="I21" s="1945">
        <v>3608</v>
      </c>
      <c r="J21" s="1945"/>
      <c r="K21" s="1945">
        <v>0</v>
      </c>
      <c r="L21" s="1337">
        <f t="shared" si="0"/>
        <v>3608</v>
      </c>
      <c r="M21" s="1340" t="s">
        <v>2140</v>
      </c>
    </row>
    <row r="22" spans="2:14" ht="20.100000000000001" customHeight="1" x14ac:dyDescent="0.2">
      <c r="B22" s="1944" t="s">
        <v>2144</v>
      </c>
      <c r="C22" s="1338"/>
      <c r="D22" s="1339"/>
      <c r="E22" s="1945">
        <f t="shared" ref="E22:K22" si="1">SUM(E14:E21)</f>
        <v>274312</v>
      </c>
      <c r="F22" s="1945">
        <f t="shared" si="1"/>
        <v>381265</v>
      </c>
      <c r="G22" s="1945">
        <f t="shared" si="1"/>
        <v>274312</v>
      </c>
      <c r="H22" s="1945">
        <f t="shared" si="1"/>
        <v>0</v>
      </c>
      <c r="I22" s="1945">
        <f t="shared" si="1"/>
        <v>381265</v>
      </c>
      <c r="J22" s="1945">
        <f t="shared" si="1"/>
        <v>0</v>
      </c>
      <c r="K22" s="1945">
        <f t="shared" si="1"/>
        <v>0</v>
      </c>
      <c r="L22" s="1337">
        <f t="shared" si="0"/>
        <v>655577</v>
      </c>
      <c r="M22" s="1340"/>
    </row>
    <row r="23" spans="2:14" ht="20.100000000000001" customHeight="1" x14ac:dyDescent="0.2">
      <c r="B23" s="1944" t="s">
        <v>2145</v>
      </c>
      <c r="C23" s="1338"/>
      <c r="D23" s="1339"/>
      <c r="E23" s="1945">
        <f t="shared" ref="E23:K23" si="2">E22</f>
        <v>274312</v>
      </c>
      <c r="F23" s="1945">
        <f t="shared" si="2"/>
        <v>381265</v>
      </c>
      <c r="G23" s="1945">
        <f t="shared" si="2"/>
        <v>274312</v>
      </c>
      <c r="H23" s="1945">
        <f t="shared" si="2"/>
        <v>0</v>
      </c>
      <c r="I23" s="1945">
        <f t="shared" si="2"/>
        <v>381265</v>
      </c>
      <c r="J23" s="1945">
        <f t="shared" si="2"/>
        <v>0</v>
      </c>
      <c r="K23" s="1945">
        <f t="shared" si="2"/>
        <v>0</v>
      </c>
      <c r="L23" s="1337"/>
      <c r="M23" s="1340"/>
    </row>
    <row r="24" spans="2:14" ht="20.100000000000001" customHeight="1" x14ac:dyDescent="0.2">
      <c r="B24" s="1944"/>
      <c r="C24" s="1338"/>
      <c r="D24" s="1339"/>
      <c r="E24" s="1945"/>
      <c r="F24" s="1945"/>
      <c r="G24" s="1945"/>
      <c r="H24" s="1945"/>
      <c r="I24" s="1945"/>
      <c r="J24" s="1945"/>
      <c r="K24" s="1945"/>
      <c r="L24" s="1337"/>
      <c r="M24" s="1340"/>
    </row>
    <row r="25" spans="2:14" ht="20.100000000000001" customHeight="1" x14ac:dyDescent="0.2">
      <c r="B25" s="1334"/>
      <c r="C25" s="1338"/>
      <c r="D25" s="1339"/>
      <c r="E25" s="1945"/>
      <c r="F25" s="1945"/>
      <c r="G25" s="1945"/>
      <c r="H25" s="1945"/>
      <c r="I25" s="1945"/>
      <c r="J25" s="1945"/>
      <c r="K25" s="1945"/>
      <c r="L25" s="1337"/>
      <c r="M25" s="1340"/>
    </row>
    <row r="26" spans="2:14" ht="20.100000000000001" customHeight="1" x14ac:dyDescent="0.2">
      <c r="B26" s="1944" t="s">
        <v>2146</v>
      </c>
      <c r="C26" s="1338"/>
      <c r="D26" s="1339"/>
      <c r="E26" s="1945">
        <f>' SEFA'!E22+' SEFA'!E27+' SEFA (2)'!E23</f>
        <v>559984</v>
      </c>
      <c r="F26" s="1945">
        <f>' SEFA'!F22+' SEFA'!F27+' SEFA (2)'!F23</f>
        <v>1001132</v>
      </c>
      <c r="G26" s="1945">
        <f>' SEFA'!G22+' SEFA'!G27+' SEFA (2)'!G23</f>
        <v>788890</v>
      </c>
      <c r="H26" s="1945">
        <f>' SEFA'!H22+' SEFA'!H27+' SEFA (2)'!H23</f>
        <v>41807</v>
      </c>
      <c r="I26" s="1945">
        <f>' SEFA'!I22+' SEFA'!I27+' SEFA (2)'!I23</f>
        <v>1047754</v>
      </c>
      <c r="J26" s="1945">
        <f>' SEFA'!J22+' SEFA'!J27+' SEFA (2)'!J23</f>
        <v>49167</v>
      </c>
      <c r="K26" s="1945">
        <f>' SEFA'!K22+' SEFA'!K27+' SEFA (2)'!K23</f>
        <v>0</v>
      </c>
      <c r="L26" s="1337">
        <f t="shared" si="0"/>
        <v>1836644</v>
      </c>
      <c r="M26" s="1340"/>
      <c r="N26" s="1341"/>
    </row>
    <row r="27" spans="2:14" ht="12.75" customHeight="1" x14ac:dyDescent="0.2">
      <c r="B27" s="1342"/>
      <c r="C27" s="1343"/>
      <c r="D27" s="1344"/>
      <c r="E27" s="1345"/>
      <c r="F27" s="1345"/>
      <c r="G27" s="1345"/>
      <c r="H27" s="1345"/>
      <c r="I27" s="1345"/>
      <c r="J27" s="1345"/>
      <c r="K27" s="1345"/>
      <c r="L27" s="1345"/>
      <c r="M27" s="1345"/>
      <c r="N27" s="1341"/>
    </row>
    <row r="28" spans="2:14" x14ac:dyDescent="0.2">
      <c r="B28" s="1254"/>
      <c r="C28" s="1346"/>
      <c r="D28" s="1347"/>
      <c r="E28" s="1254"/>
      <c r="F28" s="1254"/>
      <c r="G28" s="1247"/>
      <c r="H28" s="1247"/>
      <c r="I28" s="1247"/>
      <c r="J28" s="1247"/>
      <c r="K28" s="1247"/>
      <c r="L28" s="1247"/>
      <c r="M28" s="1254"/>
      <c r="N28" s="1341"/>
    </row>
    <row r="29" spans="2:14" ht="13.5" customHeight="1" x14ac:dyDescent="0.2">
      <c r="B29" s="1279" t="s">
        <v>1734</v>
      </c>
      <c r="C29" s="1346"/>
      <c r="D29" s="1347"/>
      <c r="E29" s="1254"/>
      <c r="F29" s="1254"/>
      <c r="G29" s="1247"/>
      <c r="H29" s="1247"/>
      <c r="I29" s="1247"/>
      <c r="J29" s="1247"/>
      <c r="K29" s="1247"/>
      <c r="L29" s="1247"/>
      <c r="M29" s="1254"/>
      <c r="N29" s="1341"/>
    </row>
    <row r="30" spans="2:14" ht="8.25" customHeight="1" x14ac:dyDescent="0.2">
      <c r="B30" s="1279"/>
      <c r="C30" s="1346"/>
      <c r="D30" s="1347"/>
      <c r="E30" s="1254"/>
      <c r="F30" s="1254"/>
      <c r="G30" s="1247"/>
      <c r="H30" s="1247"/>
      <c r="I30" s="1247"/>
      <c r="J30" s="1247"/>
      <c r="K30" s="1247"/>
      <c r="L30" s="1247"/>
      <c r="M30" s="1254"/>
      <c r="N30" s="1341"/>
    </row>
    <row r="31" spans="2:14" x14ac:dyDescent="0.2">
      <c r="B31" s="1348" t="s">
        <v>1837</v>
      </c>
      <c r="C31" s="1349"/>
      <c r="D31" s="1350"/>
      <c r="E31" s="1351"/>
      <c r="F31" s="1351"/>
      <c r="G31" s="1351"/>
      <c r="H31" s="1351"/>
      <c r="I31" s="317"/>
      <c r="J31" s="317"/>
    </row>
    <row r="32" spans="2:14" x14ac:dyDescent="0.2">
      <c r="B32" s="1274"/>
      <c r="C32" s="1352"/>
      <c r="D32" s="1353"/>
      <c r="E32" s="1275"/>
      <c r="F32" s="1275"/>
      <c r="G32" s="317"/>
      <c r="H32" s="317"/>
      <c r="I32" s="317"/>
      <c r="J32" s="317"/>
    </row>
    <row r="33" spans="2:13" ht="13.5" customHeight="1" x14ac:dyDescent="0.2">
      <c r="B33" s="1273" t="s">
        <v>1246</v>
      </c>
      <c r="G33" s="317"/>
      <c r="H33" s="317"/>
      <c r="I33" s="317"/>
      <c r="J33" s="317"/>
    </row>
    <row r="34" spans="2:13" ht="13.5" customHeight="1" x14ac:dyDescent="0.2">
      <c r="B34" s="1356"/>
      <c r="C34" s="1357"/>
      <c r="D34" s="1358"/>
      <c r="E34" s="1294"/>
      <c r="F34" s="1294"/>
      <c r="G34" s="1294"/>
      <c r="H34" s="1294"/>
      <c r="I34" s="1294"/>
      <c r="J34" s="1294"/>
      <c r="K34" s="1359"/>
      <c r="L34" s="1359"/>
      <c r="M34" s="1294"/>
    </row>
    <row r="35" spans="2:13" ht="9.6" customHeight="1" x14ac:dyDescent="0.2">
      <c r="B35" s="1360"/>
      <c r="G35" s="317"/>
      <c r="H35" s="317"/>
      <c r="I35" s="317"/>
      <c r="J35" s="317"/>
    </row>
    <row r="36" spans="2:13" ht="11.25" customHeight="1" x14ac:dyDescent="0.2">
      <c r="B36" s="1361" t="s">
        <v>1735</v>
      </c>
      <c r="C36" s="1362"/>
      <c r="D36" s="1362"/>
      <c r="E36" s="1362"/>
      <c r="F36" s="1362"/>
      <c r="G36" s="1362"/>
      <c r="H36" s="1362"/>
      <c r="I36" s="1363"/>
      <c r="J36" s="1363"/>
      <c r="K36" s="1363"/>
      <c r="L36" s="1363"/>
      <c r="M36" s="1363"/>
    </row>
    <row r="37" spans="2:13" ht="11.25" customHeight="1" x14ac:dyDescent="0.2">
      <c r="B37" s="1364" t="s">
        <v>1584</v>
      </c>
      <c r="C37" s="1363"/>
      <c r="D37" s="1363"/>
      <c r="E37" s="1363"/>
      <c r="F37" s="1363"/>
      <c r="G37" s="1363"/>
      <c r="H37" s="1363"/>
      <c r="I37" s="1363"/>
      <c r="J37" s="1363"/>
      <c r="K37" s="1363"/>
      <c r="L37" s="1363"/>
      <c r="M37" s="1363"/>
    </row>
    <row r="38" spans="2:13" ht="3.95" customHeight="1" x14ac:dyDescent="0.2">
      <c r="B38" s="1364"/>
      <c r="C38" s="1363"/>
      <c r="D38" s="1363"/>
      <c r="E38" s="1363"/>
      <c r="F38" s="1363"/>
      <c r="G38" s="1363"/>
      <c r="H38" s="1363"/>
      <c r="I38" s="1363"/>
      <c r="J38" s="1363"/>
      <c r="K38" s="1363"/>
      <c r="L38" s="1363"/>
      <c r="M38" s="1363"/>
    </row>
    <row r="39" spans="2:13" ht="11.25" customHeight="1" x14ac:dyDescent="0.2">
      <c r="B39" s="1361" t="s">
        <v>1736</v>
      </c>
      <c r="C39" s="1363"/>
      <c r="D39" s="1363"/>
      <c r="E39" s="1363"/>
      <c r="F39" s="1363"/>
      <c r="G39" s="1363"/>
      <c r="H39" s="1363"/>
      <c r="I39" s="1363"/>
      <c r="J39" s="1363"/>
      <c r="K39" s="1363"/>
      <c r="L39" s="1363"/>
      <c r="M39" s="1363"/>
    </row>
    <row r="40" spans="2:13" ht="11.25" customHeight="1" x14ac:dyDescent="0.2">
      <c r="B40" s="1297" t="s">
        <v>1585</v>
      </c>
      <c r="C40" s="1365"/>
      <c r="D40" s="1366"/>
      <c r="E40" s="1297"/>
      <c r="F40" s="1297"/>
      <c r="G40" s="1297"/>
      <c r="H40" s="1297"/>
      <c r="I40" s="1297"/>
      <c r="J40" s="1297"/>
      <c r="K40" s="1367"/>
      <c r="L40" s="1367"/>
      <c r="M40" s="1297"/>
    </row>
    <row r="41" spans="2:13" ht="3.95" customHeight="1" x14ac:dyDescent="0.2">
      <c r="B41" s="1297"/>
      <c r="C41" s="1365"/>
      <c r="D41" s="1366"/>
      <c r="E41" s="1297"/>
      <c r="F41" s="1297"/>
      <c r="G41" s="1297"/>
      <c r="H41" s="1297"/>
      <c r="I41" s="1297"/>
      <c r="J41" s="1297"/>
      <c r="K41" s="1367"/>
      <c r="L41" s="1367"/>
      <c r="M41" s="1297"/>
    </row>
    <row r="42" spans="2:13" ht="11.25" customHeight="1" x14ac:dyDescent="0.2">
      <c r="B42" s="1368" t="s">
        <v>1737</v>
      </c>
      <c r="C42" s="1365"/>
      <c r="D42" s="1366"/>
      <c r="E42" s="1297"/>
      <c r="F42" s="1297"/>
      <c r="G42" s="1297"/>
      <c r="H42" s="1297"/>
      <c r="I42" s="1297"/>
      <c r="J42" s="1297"/>
      <c r="K42" s="1367"/>
      <c r="L42" s="1367"/>
      <c r="M42" s="1297"/>
    </row>
    <row r="43" spans="2:13" ht="3.95" customHeight="1" x14ac:dyDescent="0.2">
      <c r="B43" s="1368"/>
      <c r="C43" s="1365"/>
      <c r="D43" s="1366"/>
      <c r="E43" s="1297"/>
      <c r="F43" s="1297"/>
      <c r="G43" s="1297"/>
      <c r="H43" s="1297"/>
      <c r="I43" s="1297"/>
      <c r="J43" s="1297"/>
      <c r="K43" s="1367"/>
      <c r="L43" s="1367"/>
      <c r="M43" s="1297"/>
    </row>
    <row r="44" spans="2:13" ht="11.25" customHeight="1" x14ac:dyDescent="0.2">
      <c r="B44" s="1369" t="s">
        <v>1738</v>
      </c>
      <c r="C44" s="1365"/>
      <c r="D44" s="1366"/>
      <c r="E44" s="1297"/>
      <c r="F44" s="1297"/>
      <c r="G44" s="1297"/>
      <c r="H44" s="1297"/>
      <c r="I44" s="1297"/>
      <c r="J44" s="1297"/>
      <c r="K44" s="1367"/>
      <c r="L44" s="1367"/>
      <c r="M44" s="1297"/>
    </row>
    <row r="45" spans="2:13" ht="11.25" customHeight="1" x14ac:dyDescent="0.2">
      <c r="B45" s="1297" t="s">
        <v>1586</v>
      </c>
      <c r="G45" s="317"/>
      <c r="H45" s="317"/>
      <c r="I45" s="317"/>
      <c r="J45" s="317"/>
    </row>
    <row r="46" spans="2:13" ht="11.1" customHeight="1" x14ac:dyDescent="0.2">
      <c r="B46" s="1297"/>
      <c r="G46" s="317"/>
      <c r="H46" s="317"/>
      <c r="I46" s="317"/>
      <c r="J46" s="317"/>
    </row>
    <row r="47" spans="2:13" ht="11.1" customHeight="1" x14ac:dyDescent="0.2">
      <c r="B47" s="1297"/>
      <c r="G47" s="317"/>
      <c r="H47" s="317"/>
      <c r="I47" s="317"/>
      <c r="J47" s="317"/>
    </row>
    <row r="48" spans="2:13" ht="13.5" customHeight="1" x14ac:dyDescent="0.2">
      <c r="M48" s="1370"/>
    </row>
    <row r="49" spans="7:13" ht="13.5" customHeight="1" x14ac:dyDescent="0.2">
      <c r="M49" s="1370"/>
    </row>
    <row r="50" spans="7:13" ht="13.5" customHeight="1" x14ac:dyDescent="0.2">
      <c r="M50" s="137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N15" sqref="N1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Carmi-White County CUSD 5</v>
      </c>
      <c r="B1" s="2447"/>
      <c r="C1" s="2447"/>
      <c r="D1" s="2447"/>
      <c r="E1" s="2447"/>
      <c r="F1" s="2447"/>
    </row>
    <row r="2" spans="1:7" ht="13.5" customHeight="1" x14ac:dyDescent="0.2">
      <c r="A2" s="2443">
        <f>'Single Audit Cover'!E7</f>
        <v>20097005026</v>
      </c>
      <c r="B2" s="2443"/>
      <c r="C2" s="2443"/>
      <c r="D2" s="2443"/>
      <c r="E2" s="2443"/>
      <c r="F2" s="2443"/>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2195</v>
      </c>
      <c r="B7" s="2446"/>
      <c r="C7" s="2446"/>
      <c r="D7" s="2446"/>
      <c r="E7" s="2446"/>
      <c r="F7" s="244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21.75" customHeight="1" x14ac:dyDescent="0.2">
      <c r="A13" s="2446" t="s">
        <v>2213</v>
      </c>
      <c r="B13" s="2446"/>
      <c r="C13" s="2446"/>
      <c r="D13" s="2446"/>
      <c r="E13" s="2446"/>
      <c r="F13" s="2446"/>
    </row>
    <row r="14" spans="1:7" ht="9.75" customHeight="1" x14ac:dyDescent="0.2">
      <c r="C14" s="1257"/>
      <c r="D14" s="1257"/>
    </row>
    <row r="15" spans="1:7" ht="13.5" customHeight="1" x14ac:dyDescent="0.2">
      <c r="C15" s="1846" t="s">
        <v>1270</v>
      </c>
      <c r="D15" s="2451" t="s">
        <v>1269</v>
      </c>
      <c r="E15" s="2451"/>
      <c r="F15" s="2451"/>
    </row>
    <row r="16" spans="1:7" ht="13.5" customHeight="1" x14ac:dyDescent="0.2">
      <c r="A16" s="1279"/>
      <c r="B16" s="1273" t="s">
        <v>1268</v>
      </c>
      <c r="C16" s="1846" t="s">
        <v>1267</v>
      </c>
      <c r="D16" s="2452" t="s">
        <v>1588</v>
      </c>
      <c r="E16" s="2452"/>
      <c r="F16" s="2452"/>
    </row>
    <row r="17" spans="1:6" ht="20.45" customHeight="1" x14ac:dyDescent="0.2">
      <c r="A17" s="1280"/>
      <c r="B17" s="1281" t="s">
        <v>2141</v>
      </c>
      <c r="C17" s="1282" t="s">
        <v>2122</v>
      </c>
      <c r="D17" s="2450">
        <v>49167</v>
      </c>
      <c r="E17" s="2450"/>
      <c r="F17" s="2450"/>
    </row>
    <row r="18" spans="1:6" ht="20.65" customHeight="1" x14ac:dyDescent="0.2">
      <c r="A18" s="1280"/>
      <c r="B18" s="1281"/>
      <c r="C18" s="1282"/>
      <c r="D18" s="2450"/>
      <c r="E18" s="2450"/>
      <c r="F18" s="2450"/>
    </row>
    <row r="19" spans="1:6" ht="20.65" customHeight="1" x14ac:dyDescent="0.2">
      <c r="A19" s="1280"/>
      <c r="B19" s="1281"/>
      <c r="C19" s="1282"/>
      <c r="D19" s="2450"/>
      <c r="E19" s="2450"/>
      <c r="F19" s="2450"/>
    </row>
    <row r="20" spans="1:6" ht="20.65" customHeight="1" x14ac:dyDescent="0.2">
      <c r="A20" s="1280"/>
      <c r="B20" s="1281"/>
      <c r="C20" s="1282"/>
      <c r="D20" s="2450"/>
      <c r="E20" s="2450"/>
      <c r="F20" s="2450"/>
    </row>
    <row r="21" spans="1:6" ht="20.65" customHeight="1" x14ac:dyDescent="0.2">
      <c r="A21" s="1280"/>
      <c r="B21" s="1281"/>
      <c r="C21" s="1282"/>
      <c r="D21" s="2450"/>
      <c r="E21" s="2450"/>
      <c r="F21" s="2450"/>
    </row>
    <row r="22" spans="1:6" ht="20.65" customHeight="1" x14ac:dyDescent="0.2">
      <c r="A22" s="1280"/>
      <c r="B22" s="1281"/>
      <c r="C22" s="1282"/>
      <c r="D22" s="2450"/>
      <c r="E22" s="2450"/>
      <c r="F22" s="2450"/>
    </row>
    <row r="23" spans="1:6" ht="20.65" customHeight="1" x14ac:dyDescent="0.2">
      <c r="A23" s="1280"/>
      <c r="B23" s="1281"/>
      <c r="C23" s="1282"/>
      <c r="D23" s="2450"/>
      <c r="E23" s="2450"/>
      <c r="F23" s="2450"/>
    </row>
    <row r="24" spans="1:6" ht="20.65" customHeight="1" x14ac:dyDescent="0.2">
      <c r="A24" s="1280"/>
      <c r="B24" s="1281"/>
      <c r="C24" s="1282"/>
      <c r="D24" s="2450"/>
      <c r="E24" s="2450"/>
      <c r="F24" s="2450"/>
    </row>
    <row r="25" spans="1:6" ht="20.65" customHeight="1" x14ac:dyDescent="0.2">
      <c r="A25" s="1280"/>
      <c r="B25" s="1281"/>
      <c r="C25" s="1282"/>
      <c r="D25" s="2450"/>
      <c r="E25" s="2450"/>
      <c r="F25" s="2450"/>
    </row>
    <row r="26" spans="1:6" ht="20.65" customHeight="1" x14ac:dyDescent="0.2">
      <c r="A26" s="1280"/>
      <c r="B26" s="1281"/>
      <c r="C26" s="1282"/>
      <c r="D26" s="2450"/>
      <c r="E26" s="2450"/>
      <c r="F26" s="2450"/>
    </row>
    <row r="27" spans="1:6" ht="20.65" customHeight="1" x14ac:dyDescent="0.2">
      <c r="A27" s="1280"/>
      <c r="B27" s="1281"/>
      <c r="C27" s="1282"/>
      <c r="D27" s="2450"/>
      <c r="E27" s="2450"/>
      <c r="F27" s="2450"/>
    </row>
    <row r="28" spans="1:6" ht="20.65" customHeight="1" x14ac:dyDescent="0.2">
      <c r="A28" s="1280"/>
      <c r="B28" s="1281"/>
      <c r="C28" s="1282"/>
      <c r="D28" s="2450"/>
      <c r="E28" s="2450"/>
      <c r="F28" s="2450"/>
    </row>
    <row r="29" spans="1:6" ht="20.65" customHeight="1" x14ac:dyDescent="0.2">
      <c r="A29" s="1280"/>
      <c r="B29" s="1281"/>
      <c r="C29" s="1282"/>
      <c r="D29" s="2450"/>
      <c r="E29" s="2450"/>
      <c r="F29" s="245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4" t="s">
        <v>2196</v>
      </c>
      <c r="B32" s="2454"/>
      <c r="C32" s="2454"/>
      <c r="D32" s="2454"/>
      <c r="E32" s="2454"/>
      <c r="F32" s="2454"/>
    </row>
    <row r="33" spans="1:6" ht="13.5" customHeight="1" x14ac:dyDescent="0.2">
      <c r="A33" s="328" t="s">
        <v>1434</v>
      </c>
      <c r="B33" s="328"/>
      <c r="C33" s="1285">
        <v>36385</v>
      </c>
      <c r="D33" s="1903"/>
      <c r="E33" s="1283"/>
    </row>
    <row r="34" spans="1:6" ht="13.5" customHeight="1" x14ac:dyDescent="0.2">
      <c r="A34" s="328" t="s">
        <v>1835</v>
      </c>
      <c r="B34" s="328"/>
      <c r="C34" s="1286">
        <v>0</v>
      </c>
      <c r="D34" s="1903" t="s">
        <v>1589</v>
      </c>
      <c r="E34" s="2455">
        <f>+C33+C34</f>
        <v>36385</v>
      </c>
      <c r="F34" s="245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383</v>
      </c>
      <c r="D38" s="1903"/>
      <c r="E38" s="1283"/>
    </row>
    <row r="39" spans="1:6" ht="14.25" customHeight="1" x14ac:dyDescent="0.2">
      <c r="A39" s="328"/>
      <c r="B39" s="328" t="s">
        <v>1436</v>
      </c>
      <c r="C39" s="1289" t="s">
        <v>383</v>
      </c>
      <c r="D39" s="1903"/>
      <c r="E39" s="1283"/>
    </row>
    <row r="40" spans="1:6" ht="14.25" customHeight="1" x14ac:dyDescent="0.2">
      <c r="A40" s="328"/>
      <c r="B40" s="328" t="s">
        <v>1437</v>
      </c>
      <c r="C40" s="1289" t="s">
        <v>383</v>
      </c>
      <c r="D40" s="1903"/>
      <c r="E40" s="1283"/>
    </row>
    <row r="41" spans="1:6" ht="14.25" customHeight="1" x14ac:dyDescent="0.2">
      <c r="A41" s="328"/>
      <c r="B41" s="328" t="s">
        <v>1438</v>
      </c>
      <c r="C41" s="1289" t="s">
        <v>383</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7" t="s">
        <v>1590</v>
      </c>
      <c r="C49" s="2457"/>
      <c r="D49" s="2457"/>
      <c r="E49" s="1396"/>
    </row>
    <row r="50" spans="1:5" s="1297" customFormat="1" ht="3.75" customHeight="1" x14ac:dyDescent="0.2">
      <c r="A50" s="1296"/>
      <c r="B50" s="1845"/>
      <c r="C50" s="1845"/>
      <c r="D50" s="1845"/>
      <c r="E50" s="1396"/>
    </row>
    <row r="51" spans="1:5" s="1297" customFormat="1" ht="20.25" customHeight="1" x14ac:dyDescent="0.2">
      <c r="A51" s="1298">
        <v>6</v>
      </c>
      <c r="B51" s="2453" t="s">
        <v>1551</v>
      </c>
      <c r="C51" s="2453"/>
      <c r="D51" s="2453"/>
    </row>
    <row r="52" spans="1:5" ht="14.25" customHeight="1" x14ac:dyDescent="0.2">
      <c r="A52" s="1298"/>
      <c r="B52" s="2453"/>
      <c r="C52" s="2453"/>
      <c r="D52" s="245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zoomScale="110" zoomScaleNormal="110" workbookViewId="0">
      <selection activeCell="B39" sqref="B39:J3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Carmi-White County CUSD 5</v>
      </c>
      <c r="C1" s="2463"/>
      <c r="D1" s="2463"/>
      <c r="E1" s="2463"/>
      <c r="F1" s="2463"/>
      <c r="G1" s="2463"/>
      <c r="H1" s="2463"/>
      <c r="I1" s="2463"/>
      <c r="J1" s="1406"/>
    </row>
    <row r="2" spans="2:10" s="317" customFormat="1" ht="12.75" customHeight="1" x14ac:dyDescent="0.2">
      <c r="B2" s="2464">
        <f>'Single Audit Cover'!E7</f>
        <v>20097005026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t="s">
        <v>1164</v>
      </c>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2062</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t="s">
        <v>2192</v>
      </c>
      <c r="E29" s="2469"/>
      <c r="F29" s="2469"/>
      <c r="G29" s="2469"/>
      <c r="H29" s="2469"/>
      <c r="I29" s="2469"/>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0" t="s">
        <v>1748</v>
      </c>
      <c r="D37" s="2471"/>
      <c r="E37" s="2471"/>
      <c r="F37" s="2472"/>
      <c r="G37" s="2470" t="s">
        <v>1592</v>
      </c>
      <c r="H37" s="2471"/>
      <c r="I37" s="2472"/>
    </row>
    <row r="38" spans="2:9" ht="16.5" customHeight="1" x14ac:dyDescent="0.2">
      <c r="B38" s="1428" t="s">
        <v>2122</v>
      </c>
      <c r="C38" s="2458" t="s">
        <v>2153</v>
      </c>
      <c r="D38" s="2459"/>
      <c r="E38" s="2459"/>
      <c r="F38" s="2460"/>
      <c r="G38" s="2473">
        <v>544832</v>
      </c>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76" t="s">
        <v>1593</v>
      </c>
      <c r="D43" s="2477"/>
      <c r="E43" s="2477"/>
      <c r="F43" s="2478"/>
      <c r="G43" s="2479">
        <f>SUM(G38:I42)</f>
        <v>544832</v>
      </c>
      <c r="H43" s="2479"/>
      <c r="I43" s="2479"/>
    </row>
    <row r="44" spans="2:9" ht="12.75" customHeight="1" x14ac:dyDescent="0.2"/>
    <row r="45" spans="2:9" ht="12.75" customHeight="1" x14ac:dyDescent="0.2">
      <c r="B45" s="1419" t="s">
        <v>2059</v>
      </c>
      <c r="D45" s="2480">
        <v>1047754</v>
      </c>
      <c r="E45" s="2481"/>
    </row>
    <row r="46" spans="2:9" ht="5.25" customHeight="1" x14ac:dyDescent="0.2">
      <c r="B46" s="1429"/>
      <c r="D46" s="1430"/>
      <c r="E46" s="1431"/>
    </row>
    <row r="47" spans="2:9" ht="12.75" customHeight="1" x14ac:dyDescent="0.2">
      <c r="B47" s="1297" t="s">
        <v>1594</v>
      </c>
      <c r="C47" s="1297"/>
      <c r="D47" s="1432">
        <f>+G43/D45</f>
        <v>0.5199999236461994</v>
      </c>
      <c r="E47" s="1433"/>
      <c r="F47" s="1434"/>
      <c r="I47" s="1435"/>
    </row>
    <row r="48" spans="2:9" ht="9.9499999999999993" customHeight="1" x14ac:dyDescent="0.2"/>
    <row r="49" spans="1:9" x14ac:dyDescent="0.2">
      <c r="B49" s="1365" t="s">
        <v>1273</v>
      </c>
      <c r="C49" s="1279"/>
      <c r="D49" s="1279"/>
      <c r="E49" s="2482">
        <v>750000</v>
      </c>
      <c r="F49" s="2482"/>
      <c r="G49" s="2482"/>
      <c r="H49" s="322"/>
    </row>
    <row r="51" spans="1:9" ht="13.5" customHeight="1" x14ac:dyDescent="0.2">
      <c r="B51" s="1365" t="s">
        <v>1272</v>
      </c>
      <c r="C51" s="1279"/>
      <c r="E51" s="1422"/>
      <c r="F51" s="1297" t="s">
        <v>885</v>
      </c>
      <c r="G51" s="1422" t="s">
        <v>2062</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7"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Carmi-White County CUSD 5</v>
      </c>
      <c r="C1" s="2462"/>
      <c r="D1" s="2462"/>
      <c r="E1" s="2462"/>
      <c r="F1" s="2462"/>
      <c r="G1" s="2462"/>
      <c r="H1" s="2462"/>
      <c r="I1" s="2462"/>
      <c r="J1" s="2462"/>
      <c r="K1" s="2462"/>
      <c r="L1" s="1371"/>
      <c r="M1" s="1371"/>
    </row>
    <row r="2" spans="1:13" ht="12" customHeight="1" x14ac:dyDescent="0.2">
      <c r="B2" s="2464">
        <f>'Single Audit Cover'!E7</f>
        <v>20097005026</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1295</v>
      </c>
      <c r="G10" s="1385"/>
      <c r="H10" s="1386" t="s">
        <v>1294</v>
      </c>
      <c r="I10" s="1385" t="s">
        <v>2062</v>
      </c>
      <c r="J10" s="1387" t="s">
        <v>1293</v>
      </c>
      <c r="K10" s="322"/>
      <c r="L10" s="1378"/>
    </row>
    <row r="11" spans="1:13" ht="13.5" customHeight="1" x14ac:dyDescent="0.2">
      <c r="B11" s="322"/>
      <c r="C11" s="322"/>
      <c r="D11" s="322"/>
      <c r="E11" s="322"/>
      <c r="F11" s="322"/>
      <c r="G11" s="1380"/>
      <c r="H11" s="322"/>
      <c r="I11" s="1388" t="s">
        <v>1292</v>
      </c>
      <c r="J11" s="322"/>
      <c r="K11" s="1389">
        <v>2013</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t="s">
        <v>2214</v>
      </c>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t="s">
        <v>2102</v>
      </c>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8" t="s">
        <v>2103</v>
      </c>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t="s">
        <v>2104</v>
      </c>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t="s">
        <v>2105</v>
      </c>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t="s">
        <v>2106</v>
      </c>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3" t="s">
        <v>2107</v>
      </c>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B24" sqref="B2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Carmi-White County CUSD 5</v>
      </c>
      <c r="C1" s="2462"/>
      <c r="D1" s="2462"/>
      <c r="E1" s="2462"/>
      <c r="F1" s="2462"/>
      <c r="G1" s="2462"/>
      <c r="H1" s="2462"/>
      <c r="I1" s="2462"/>
      <c r="J1" s="2462"/>
      <c r="K1" s="2462"/>
      <c r="L1" s="1371"/>
      <c r="M1" s="1371"/>
    </row>
    <row r="2" spans="1:13" ht="12" customHeight="1" x14ac:dyDescent="0.2">
      <c r="B2" s="2464">
        <f>'Single Audit Cover'!E7</f>
        <v>20097005026</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943"/>
      <c r="M3" s="1943"/>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947">
        <v>2</v>
      </c>
      <c r="E10" s="322"/>
      <c r="F10" s="1384" t="s">
        <v>1295</v>
      </c>
      <c r="G10" s="1385"/>
      <c r="H10" s="1386" t="s">
        <v>1294</v>
      </c>
      <c r="I10" s="1385" t="s">
        <v>2062</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t="s">
        <v>2215</v>
      </c>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t="s">
        <v>2108</v>
      </c>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8" t="s">
        <v>2112</v>
      </c>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t="s">
        <v>2216</v>
      </c>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t="s">
        <v>2109</v>
      </c>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t="s">
        <v>2110</v>
      </c>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3" t="s">
        <v>2111</v>
      </c>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3"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Carmi-White County CUSD 5</v>
      </c>
      <c r="C1" s="2462"/>
      <c r="D1" s="2462"/>
      <c r="E1" s="2462"/>
      <c r="F1" s="2462"/>
      <c r="G1" s="2462"/>
      <c r="H1" s="2462"/>
      <c r="I1" s="2462"/>
      <c r="J1" s="2462"/>
      <c r="K1" s="2462"/>
      <c r="L1" s="1371"/>
      <c r="M1" s="1371"/>
    </row>
    <row r="2" spans="1:13" ht="12" customHeight="1" x14ac:dyDescent="0.2">
      <c r="B2" s="2464">
        <f>'Single Audit Cover'!E7</f>
        <v>20097005026</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949"/>
      <c r="M3" s="1949"/>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947">
        <v>3</v>
      </c>
      <c r="E10" s="322"/>
      <c r="F10" s="1384" t="s">
        <v>1295</v>
      </c>
      <c r="G10" s="1385" t="s">
        <v>2062</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v>2019</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t="s">
        <v>2217</v>
      </c>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t="s">
        <v>2218</v>
      </c>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8" t="s">
        <v>2205</v>
      </c>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t="s">
        <v>2206</v>
      </c>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t="s">
        <v>2207</v>
      </c>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t="s">
        <v>2208</v>
      </c>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3" t="s">
        <v>2209</v>
      </c>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110" zoomScaleNormal="110" workbookViewId="0">
      <selection activeCell="D19" sqref="D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Carmi-White County CUSD 5</v>
      </c>
      <c r="C1" s="2489"/>
      <c r="D1" s="2489"/>
      <c r="E1" s="2489"/>
      <c r="F1" s="2489"/>
      <c r="G1" s="2489"/>
      <c r="H1" s="2489"/>
      <c r="I1" s="2489"/>
      <c r="J1" s="2489"/>
      <c r="K1" s="2489"/>
      <c r="L1" s="1449"/>
    </row>
    <row r="2" spans="1:12" ht="12.75" customHeight="1" x14ac:dyDescent="0.2">
      <c r="B2" s="2490">
        <f>'Single Audit Cover'!E7</f>
        <v>20097005026</v>
      </c>
      <c r="C2" s="2490"/>
      <c r="D2" s="2490"/>
      <c r="E2" s="2490"/>
      <c r="F2" s="2490"/>
      <c r="G2" s="2490"/>
      <c r="H2" s="2490"/>
      <c r="I2" s="2490"/>
      <c r="J2" s="2490"/>
      <c r="K2" s="2490"/>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2204</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t="s">
        <v>2140</v>
      </c>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2" t="s">
        <v>2140</v>
      </c>
      <c r="E14" s="2492"/>
      <c r="F14" s="2492"/>
      <c r="H14" s="1459" t="s">
        <v>1303</v>
      </c>
      <c r="I14" s="2493"/>
      <c r="J14" s="2493"/>
      <c r="K14" s="249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3" t="s">
        <v>2140</v>
      </c>
      <c r="E16" s="2493"/>
      <c r="F16" s="2493"/>
      <c r="G16" s="2493"/>
      <c r="H16" s="2493"/>
      <c r="I16" s="2493"/>
      <c r="J16" s="2493"/>
      <c r="K16" s="2493"/>
      <c r="L16" s="322"/>
    </row>
    <row r="17" spans="2:12" ht="13.5" customHeight="1" x14ac:dyDescent="0.2">
      <c r="B17" s="1384" t="s">
        <v>1301</v>
      </c>
      <c r="C17" s="1384"/>
      <c r="D17" s="2494" t="s">
        <v>2140</v>
      </c>
      <c r="E17" s="2494"/>
      <c r="F17" s="2494"/>
      <c r="G17" s="2494"/>
      <c r="H17" s="2494"/>
      <c r="I17" s="2494"/>
      <c r="J17" s="2494"/>
      <c r="K17" s="249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C10" sqref="C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Carmi-White County CUSD 5</v>
      </c>
      <c r="C1" s="2462"/>
      <c r="D1" s="2462"/>
      <c r="E1" s="1469"/>
    </row>
    <row r="2" spans="2:5" s="1279" customFormat="1" ht="12.75" customHeight="1" x14ac:dyDescent="0.2">
      <c r="B2" s="2464">
        <f>'Single Audit Cover'!E7</f>
        <v>20097005026</v>
      </c>
      <c r="C2" s="2464"/>
      <c r="D2" s="2464"/>
      <c r="E2" s="1470"/>
    </row>
    <row r="3" spans="2:5" ht="12.75" customHeight="1" x14ac:dyDescent="0.2">
      <c r="B3" s="2485" t="s">
        <v>1763</v>
      </c>
      <c r="C3" s="2485"/>
      <c r="D3" s="2485"/>
      <c r="E3" s="1271"/>
    </row>
    <row r="4" spans="2:5" s="1279" customFormat="1" ht="12.75" customHeight="1" x14ac:dyDescent="0.2">
      <c r="B4" s="2495" t="str">
        <f>'Single Audit Cover'!A4</f>
        <v>Year Ending June 30, 2019</v>
      </c>
      <c r="C4" s="2495"/>
      <c r="D4" s="2495"/>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2113</v>
      </c>
      <c r="C7" s="324" t="s">
        <v>2114</v>
      </c>
      <c r="D7" s="324" t="s">
        <v>2116</v>
      </c>
      <c r="E7" s="324"/>
    </row>
    <row r="8" spans="2:5" ht="13.5" customHeight="1" x14ac:dyDescent="0.2">
      <c r="B8" s="1474"/>
      <c r="C8" s="324" t="s">
        <v>2115</v>
      </c>
      <c r="D8" s="324"/>
      <c r="E8" s="324"/>
    </row>
    <row r="9" spans="2:5" ht="13.5" customHeight="1" x14ac:dyDescent="0.2">
      <c r="B9" s="1475"/>
      <c r="C9" s="323" t="s">
        <v>2220</v>
      </c>
      <c r="D9" s="323"/>
      <c r="E9" s="323"/>
    </row>
    <row r="10" spans="2:5" ht="13.5" customHeight="1" x14ac:dyDescent="0.2">
      <c r="B10" s="1474"/>
      <c r="C10" s="323" t="s">
        <v>2219</v>
      </c>
      <c r="D10" s="323"/>
      <c r="E10" s="323"/>
    </row>
    <row r="11" spans="2:5" ht="13.5" customHeight="1" x14ac:dyDescent="0.2">
      <c r="B11" s="1474" t="s">
        <v>2160</v>
      </c>
      <c r="C11" s="323" t="s">
        <v>2161</v>
      </c>
      <c r="D11" s="323" t="s">
        <v>2165</v>
      </c>
      <c r="E11" s="323"/>
    </row>
    <row r="12" spans="2:5" ht="13.5" customHeight="1" x14ac:dyDescent="0.2">
      <c r="B12" s="1474"/>
      <c r="C12" s="323" t="s">
        <v>2162</v>
      </c>
      <c r="D12" s="323"/>
      <c r="E12" s="323"/>
    </row>
    <row r="13" spans="2:5" ht="13.5" customHeight="1" x14ac:dyDescent="0.2">
      <c r="B13" s="1474"/>
      <c r="C13" s="323" t="s">
        <v>2163</v>
      </c>
      <c r="D13" s="323"/>
      <c r="E13" s="323"/>
    </row>
    <row r="14" spans="2:5" ht="13.5" customHeight="1" x14ac:dyDescent="0.2">
      <c r="B14" s="1474"/>
      <c r="C14" s="323" t="s">
        <v>2164</v>
      </c>
      <c r="D14" s="323"/>
      <c r="E14" s="323"/>
    </row>
    <row r="15" spans="2:5" ht="13.5" customHeight="1" x14ac:dyDescent="0.2">
      <c r="B15" s="1474" t="s">
        <v>2166</v>
      </c>
      <c r="C15" s="323" t="s">
        <v>2167</v>
      </c>
      <c r="D15" s="323" t="s">
        <v>2165</v>
      </c>
      <c r="E15" s="323"/>
    </row>
    <row r="16" spans="2:5" ht="13.5" customHeight="1" x14ac:dyDescent="0.2">
      <c r="B16" s="1474"/>
      <c r="C16" s="323" t="s">
        <v>2170</v>
      </c>
      <c r="D16" s="323"/>
      <c r="E16" s="323"/>
    </row>
    <row r="17" spans="2:5" ht="13.5" customHeight="1" x14ac:dyDescent="0.2">
      <c r="B17" s="1474"/>
      <c r="C17" s="323" t="s">
        <v>2171</v>
      </c>
      <c r="D17" s="323"/>
      <c r="E17" s="323"/>
    </row>
    <row r="18" spans="2:5" ht="13.5" customHeight="1" x14ac:dyDescent="0.2">
      <c r="B18" s="1474"/>
      <c r="C18" s="323" t="s">
        <v>2168</v>
      </c>
      <c r="D18" s="323"/>
      <c r="E18" s="323"/>
    </row>
    <row r="19" spans="2:5" ht="13.5" customHeight="1" x14ac:dyDescent="0.2">
      <c r="B19" s="1474"/>
      <c r="C19" s="323" t="s">
        <v>2169</v>
      </c>
      <c r="D19" s="323"/>
      <c r="E19" s="323"/>
    </row>
    <row r="20" spans="2:5" ht="13.5" customHeight="1" x14ac:dyDescent="0.2">
      <c r="B20" s="1474" t="s">
        <v>2172</v>
      </c>
      <c r="C20" s="323" t="s">
        <v>2173</v>
      </c>
      <c r="D20" s="323" t="s">
        <v>2175</v>
      </c>
      <c r="E20" s="323"/>
    </row>
    <row r="21" spans="2:5" ht="13.5" customHeight="1" x14ac:dyDescent="0.2">
      <c r="B21" s="1474"/>
      <c r="C21" s="323" t="s">
        <v>2174</v>
      </c>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dcmitype/"/>
    <ds:schemaRef ds:uri="d21dc803-237d-4c68-8692-8d731fd29118"/>
    <ds:schemaRef ds:uri="6ce3111e-7420-4802-b50a-75d4e9a0b980"/>
    <ds:schemaRef ds:uri="http://www.w3.org/XML/1998/namespace"/>
    <ds:schemaRef ds:uri="http://purl.org/dc/terms/"/>
    <ds:schemaRef ds:uri="http://schemas.microsoft.com/sharepoint/v3"/>
    <ds:schemaRef ds:uri="http://schemas.microsoft.com/office/infopath/2007/PartnerControls"/>
    <ds:schemaRef ds:uri="http://purl.org/dc/elements/1.1/"/>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Sec-2 (2)</vt:lpstr>
      <vt:lpstr>SF&amp;QC Sec-2 (3)</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2019-11-11T14:36:08Z</cp:lastPrinted>
  <dcterms:created xsi:type="dcterms:W3CDTF">2003-10-29T19:06:34Z</dcterms:created>
  <dcterms:modified xsi:type="dcterms:W3CDTF">2019-12-30T21:25:46Z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Statements</vt:lpwstr>
  </property>
  <property fmtid="{D5CDD505-2E9C-101B-9397-08002B2CF9AE}" pid="5" name="tabIndex">
    <vt:lpwstr>03-01</vt:lpwstr>
  </property>
  <property fmtid="{D5CDD505-2E9C-101B-9397-08002B2CF9AE}" pid="6" name="workpaperIndex">
    <vt:lpwstr>03-01a</vt:lpwstr>
  </property>
</Properties>
</file>