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F7486E7-1FCC-46AF-9BDD-39B0318CBF48}" xr6:coauthVersionLast="36" xr6:coauthVersionMax="36" xr10:uidLastSave="{00000000-0000-0000-0000-000000000000}"/>
  <bookViews>
    <workbookView xWindow="0" yWindow="0" windowWidth="28800" windowHeight="13425" tabRatio="959" activeTab="1" xr2:uid="{00000000-000D-0000-FFFF-FFFF00000000}"/>
  </bookViews>
  <sheets>
    <sheet name="AUDITCHECK" sheetId="36"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Sec-1'!$A$1:$I$20</definedName>
    <definedName name="_xlnm.Print_Area" localSheetId="30">'SF&amp;QC Sec-2'!$A$1:$K$32</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Area" localSheetId="32">SSPAF!$A$1:$E$43</definedName>
    <definedName name="_xlnm.Print_Titles" localSheetId="7">'Acct Summary 7-8'!$A:$B,'Acct Summary 7-8'!$1:$2</definedName>
    <definedName name="_xlnm.Print_Titles" localSheetId="6">'Assets-Liab 5-6'!$A:$B,'Assets-Liab 5-6'!$1:$2</definedName>
    <definedName name="_xlnm.Print_Titles" localSheetId="0">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5">'Single Audit Checklist'!$1:$4</definedName>
    <definedName name="SCHADDRS" localSheetId="27">#REF!</definedName>
    <definedName name="SCHADDRS" localSheetId="18">#REF!</definedName>
    <definedName name="SCHADDRS" localSheetId="22">#REF!</definedName>
    <definedName name="SCHADDRS" localSheetId="5">#REF!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8">#REF!</definedName>
    <definedName name="SCHCTY" localSheetId="22">#REF!</definedName>
    <definedName name="SCHCTY" localSheetId="5">#REF!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8">#REF!</definedName>
    <definedName name="SCHNMBR" localSheetId="22">#REF!</definedName>
    <definedName name="SCHNMBR" localSheetId="5">#REF!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8">#REF!</definedName>
    <definedName name="SCHNME" localSheetId="22">#REF!</definedName>
    <definedName name="SCHNME" localSheetId="5">#REF!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8">#REF!</definedName>
    <definedName name="SUPT" localSheetId="22">#REF!</definedName>
    <definedName name="SUPT" localSheetId="5">#REF!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01" i="29" l="1"/>
  <c r="E61" i="29"/>
  <c r="F61" i="29"/>
  <c r="G61" i="29"/>
  <c r="F7" i="29"/>
  <c r="L169" i="29"/>
  <c r="L170" i="29"/>
  <c r="K9" i="12" l="1"/>
  <c r="K7" i="12"/>
  <c r="C264" i="5" l="1"/>
  <c r="C107" i="5"/>
  <c r="C73" i="5"/>
  <c r="C71" i="5"/>
  <c r="C70" i="5"/>
  <c r="C69" i="5"/>
  <c r="C5" i="3"/>
  <c r="J15" i="12"/>
  <c r="J18" i="12"/>
  <c r="N21" i="3"/>
  <c r="E301" i="29"/>
  <c r="H96" i="5"/>
  <c r="H103" i="5"/>
  <c r="J8" i="12" s="1"/>
  <c r="H5" i="3"/>
  <c r="D325" i="29"/>
  <c r="D327" i="29"/>
  <c r="D328" i="29"/>
  <c r="J5" i="3"/>
  <c r="K5" i="3"/>
  <c r="I5" i="3"/>
  <c r="F182" i="29"/>
  <c r="G182" i="29"/>
  <c r="C182" i="29"/>
  <c r="E182" i="29"/>
  <c r="D182" i="29"/>
  <c r="F5" i="3"/>
  <c r="D5" i="3"/>
  <c r="E10" i="108"/>
  <c r="I12" i="11"/>
  <c r="I8" i="11"/>
  <c r="D8" i="11"/>
  <c r="J33" i="8"/>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B7727" i="106" s="1"/>
  <c r="D7727" i="106"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C252" i="5"/>
  <c r="B6833" i="106" s="1"/>
  <c r="D6833" i="106" s="1"/>
  <c r="B7761" i="106"/>
  <c r="D7761" i="106" s="1"/>
  <c r="L127" i="29"/>
  <c r="L129" i="29" s="1"/>
  <c r="L139" i="29"/>
  <c r="L149" i="29"/>
  <c r="I7" i="145"/>
  <c r="I6" i="145"/>
  <c r="D78" i="36"/>
  <c r="K75" i="29"/>
  <c r="K130" i="29"/>
  <c r="B2805" i="106" s="1"/>
  <c r="D2805" i="106" s="1"/>
  <c r="K185" i="29"/>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B7088" i="106" s="1"/>
  <c r="D7088" i="106" s="1"/>
  <c r="K252" i="29"/>
  <c r="K253" i="29"/>
  <c r="B7092" i="106" s="1"/>
  <c r="D7092" i="106" s="1"/>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7" i="106"/>
  <c r="D7077" i="106" s="1"/>
  <c r="B7079" i="106"/>
  <c r="D7079" i="106" s="1"/>
  <c r="B7080" i="106"/>
  <c r="D7080" i="106" s="1"/>
  <c r="B7081" i="106"/>
  <c r="D7081" i="106" s="1"/>
  <c r="B7082" i="106"/>
  <c r="D7082" i="106" s="1"/>
  <c r="B7083" i="106"/>
  <c r="D7083" i="106" s="1"/>
  <c r="B7085" i="106"/>
  <c r="D7085" i="106" s="1"/>
  <c r="B7086" i="106"/>
  <c r="D7086" i="106" s="1"/>
  <c r="B7087" i="106"/>
  <c r="D7087" i="106" s="1"/>
  <c r="B7089" i="106"/>
  <c r="D7089" i="106" s="1"/>
  <c r="B7090" i="106"/>
  <c r="D7090" i="106" s="1"/>
  <c r="B7091" i="106"/>
  <c r="D7091"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D27" i="108"/>
  <c r="E27" i="108"/>
  <c r="G27" i="108"/>
  <c r="F36" i="108"/>
  <c r="G28" i="108"/>
  <c r="E30" i="108"/>
  <c r="D36" i="108"/>
  <c r="E31" i="108"/>
  <c r="G31" i="108"/>
  <c r="E33" i="108"/>
  <c r="G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F49" i="34"/>
  <c r="C50" i="34"/>
  <c r="D50" i="34"/>
  <c r="C51" i="34"/>
  <c r="D51" i="34"/>
  <c r="C52" i="34"/>
  <c r="F52" i="34"/>
  <c r="C53" i="34"/>
  <c r="D53" i="34"/>
  <c r="C56" i="34"/>
  <c r="C57" i="34"/>
  <c r="D57" i="34"/>
  <c r="C61" i="34"/>
  <c r="C62" i="34"/>
  <c r="F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D22" i="37"/>
  <c r="L22" i="37"/>
  <c r="D24" i="37"/>
  <c r="B4270" i="106" s="1"/>
  <c r="D4270" i="106" s="1"/>
  <c r="L5" i="11"/>
  <c r="B2056" i="106" s="1"/>
  <c r="D2056" i="106" s="1"/>
  <c r="B5752" i="106"/>
  <c r="D5752" i="106" s="1"/>
  <c r="I24" i="12" l="1"/>
  <c r="B1996" i="106" s="1"/>
  <c r="D1996" i="106" s="1"/>
  <c r="D7245" i="106"/>
  <c r="E29" i="108"/>
  <c r="B2026" i="106"/>
  <c r="D2026" i="106" s="1"/>
  <c r="M16" i="3"/>
  <c r="B2029" i="106"/>
  <c r="D2029" i="106" s="1"/>
  <c r="M19" i="3"/>
  <c r="B276" i="106" s="1"/>
  <c r="D276" i="106" s="1"/>
  <c r="B2027" i="106"/>
  <c r="D2027" i="106" s="1"/>
  <c r="M17" i="3"/>
  <c r="B274" i="106" s="1"/>
  <c r="D274" i="106" s="1"/>
  <c r="D17" i="7"/>
  <c r="B4104" i="106" s="1"/>
  <c r="D4104" i="106" s="1"/>
  <c r="D9" i="7"/>
  <c r="B1767" i="106" s="1"/>
  <c r="D1767" i="106" s="1"/>
  <c r="J22" i="37"/>
  <c r="H28" i="118"/>
  <c r="L367" i="29"/>
  <c r="B1754" i="106"/>
  <c r="D1754" i="106" s="1"/>
  <c r="H5" i="12"/>
  <c r="F68" i="34"/>
  <c r="F56" i="34"/>
  <c r="F50" i="34"/>
  <c r="F46" i="34"/>
  <c r="F42" i="34"/>
  <c r="G38" i="108"/>
  <c r="D37" i="108"/>
  <c r="D31" i="108"/>
  <c r="F37" i="108"/>
  <c r="G26" i="108"/>
  <c r="E26" i="108"/>
  <c r="I26" i="12"/>
  <c r="B7741" i="106" s="1"/>
  <c r="D7741" i="106" s="1"/>
  <c r="B7235" i="106"/>
  <c r="D7235" i="106" s="1"/>
  <c r="K41" i="3"/>
  <c r="L15" i="11"/>
  <c r="B3459" i="106" s="1"/>
  <c r="D3459" i="106" s="1"/>
  <c r="L13" i="11"/>
  <c r="B2060" i="106" s="1"/>
  <c r="D2060" i="106" s="1"/>
  <c r="B2028" i="106"/>
  <c r="D2028" i="106" s="1"/>
  <c r="M18" i="3"/>
  <c r="B275" i="106" s="1"/>
  <c r="D275" i="106" s="1"/>
  <c r="G210" i="29"/>
  <c r="B1274" i="106"/>
  <c r="D1274" i="106" s="1"/>
  <c r="B1124" i="106"/>
  <c r="D1124" i="106" s="1"/>
  <c r="G15" i="145"/>
  <c r="B2895" i="106"/>
  <c r="D2895" i="106" s="1"/>
  <c r="L33" i="3"/>
  <c r="L342" i="29"/>
  <c r="G30" i="108"/>
  <c r="F34" i="34"/>
  <c r="J23" i="12"/>
  <c r="B7730" i="106" s="1"/>
  <c r="D7730" i="106" s="1"/>
  <c r="B3647" i="106"/>
  <c r="D3647" i="106" s="1"/>
  <c r="F77" i="4"/>
  <c r="B3255" i="106" s="1"/>
  <c r="D3255" i="106" s="1"/>
  <c r="K184" i="29"/>
  <c r="F13" i="4" s="1"/>
  <c r="B2596" i="106" s="1"/>
  <c r="D2596" i="106" s="1"/>
  <c r="G29" i="108"/>
  <c r="B1308" i="106"/>
  <c r="D1308" i="106" s="1"/>
  <c r="E174" i="29"/>
  <c r="B1309" i="106" s="1"/>
  <c r="D1309" i="106" s="1"/>
  <c r="F28" i="108"/>
  <c r="F41" i="108" s="1"/>
  <c r="G43" i="108" s="1"/>
  <c r="E28" i="108"/>
  <c r="F19" i="7"/>
  <c r="B1807" i="106" s="1"/>
  <c r="D1807" i="106" s="1"/>
  <c r="N22" i="3"/>
  <c r="B283" i="106" s="1"/>
  <c r="D283" i="106" s="1"/>
  <c r="D68" i="36"/>
  <c r="D69" i="36"/>
  <c r="D11" i="37"/>
  <c r="D31" i="36"/>
  <c r="H29" i="118"/>
  <c r="K28" i="118" s="1"/>
  <c r="O27" i="118" s="1"/>
  <c r="O29" i="118" s="1"/>
  <c r="H33" i="118"/>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270" i="106"/>
  <c r="B1365" i="106" l="1"/>
  <c r="D1365" i="106" s="1"/>
  <c r="F65" i="34"/>
  <c r="B273" i="106"/>
  <c r="D273" i="106" s="1"/>
  <c r="M23" i="3"/>
  <c r="B1381" i="106"/>
  <c r="D1381" i="106" s="1"/>
  <c r="G6" i="4"/>
  <c r="B2604" i="106" s="1"/>
  <c r="D2604" i="106" s="1"/>
  <c r="B3568" i="106"/>
  <c r="D3568" i="106" s="1"/>
  <c r="D52" i="36"/>
  <c r="B1972" i="106"/>
  <c r="D1972" i="106" s="1"/>
  <c r="H12" i="12"/>
  <c r="L34" i="3"/>
  <c r="B2914" i="106"/>
  <c r="D2914" i="106" s="1"/>
  <c r="C114" i="29"/>
  <c r="B757" i="106" s="1"/>
  <c r="D757" i="106" s="1"/>
  <c r="K342" i="29"/>
  <c r="F13" i="34" s="1"/>
  <c r="F174" i="34"/>
  <c r="L16" i="11"/>
  <c r="B2061" i="106" s="1"/>
  <c r="D2061" i="106" s="1"/>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H24" i="12" l="1"/>
  <c r="B1977" i="106"/>
  <c r="D1977" i="106" s="1"/>
  <c r="B279" i="106"/>
  <c r="D279" i="106" s="1"/>
  <c r="M40" i="3"/>
  <c r="B7224" i="106"/>
  <c r="D7224" i="106" s="1"/>
  <c r="B2916" i="106"/>
  <c r="D2916" i="106" s="1"/>
  <c r="L41" i="3"/>
  <c r="B1145" i="106"/>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M41" i="3" l="1"/>
  <c r="B280" i="106"/>
  <c r="D280" i="106" s="1"/>
  <c r="H26" i="12"/>
  <c r="B7740" i="106" s="1"/>
  <c r="D7740" i="106" s="1"/>
  <c r="B1983" i="106"/>
  <c r="D1983" i="106" s="1"/>
  <c r="B2917" i="106"/>
  <c r="D2917" i="106" s="1"/>
  <c r="D53" i="36"/>
  <c r="J20" i="4"/>
  <c r="B6230" i="106" s="1"/>
  <c r="D6230" i="106" s="1"/>
  <c r="K17" i="4"/>
  <c r="B3575" i="106" s="1"/>
  <c r="D3575" i="106" s="1"/>
  <c r="D8" i="146"/>
  <c r="J10" i="4"/>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281" i="106"/>
  <c r="D281" i="106" s="1"/>
  <c r="D54" i="36"/>
  <c r="J78" i="4"/>
  <c r="B6263" i="106" s="1"/>
  <c r="D6263" i="106" s="1"/>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<sst xmlns="http://schemas.openxmlformats.org/spreadsheetml/2006/main" count="5080" uniqueCount="2097">
  <si>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</si>
  <si>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</si>
  <si>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</si>
  <si>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</si>
  <si>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</si>
  <si>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</si>
  <si>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</si>
  <si>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</si>
  <si>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</si>
  <si>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</si>
  <si>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</si>
  <si>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</si>
  <si>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</si>
  <si>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</si>
  <si>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</si>
  <si>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</si>
  <si>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</si>
  <si>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</si>
  <si>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</si>
  <si>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</si>
  <si>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</si>
  <si>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</si>
  <si>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</si>
  <si>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</si>
  <si>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</si>
  <si>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</si>
  <si>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</si>
  <si>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</si>
  <si>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</si>
  <si>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</si>
  <si>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</si>
  <si>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</si>
  <si>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</si>
  <si>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</si>
  <si>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</si>
  <si>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</si>
  <si>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</si>
  <si>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</si>
  <si>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</si>
  <si>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</si>
  <si>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</si>
  <si>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</si>
  <si>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</si>
  <si>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</si>
  <si>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</si>
  <si>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</si>
  <si>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</si>
  <si>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</si>
  <si>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</si>
  <si>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</si>
  <si>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</si>
  <si>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</si>
  <si>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</si>
  <si>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</si>
  <si>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</si>
  <si>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</si>
  <si>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</si>
  <si>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</si>
  <si>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</si>
  <si>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</si>
  <si>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</si>
  <si>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</si>
  <si>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</si>
  <si>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</si>
  <si>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</si>
  <si>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</si>
  <si>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</si>
  <si>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</si>
  <si>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</si>
  <si>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</si>
  <si>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</si>
  <si>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</si>
  <si>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</si>
  <si>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</si>
  <si>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</si>
  <si>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</si>
  <si>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</si>
  <si>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</si>
  <si>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</si>
  <si>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</si>
  <si>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</si>
  <si>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</si>
  <si>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</si>
  <si>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</si>
  <si>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</si>
  <si>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</si>
  <si>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</si>
  <si>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</si>
  <si>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</si>
  <si>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</si>
  <si>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</si>
  <si>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</si>
  <si>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</si>
  <si>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</si>
  <si>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</si>
  <si>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</si>
  <si>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</si>
  <si>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</si>
  <si>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</si>
  <si>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</si>
  <si>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</si>
  <si>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</si>
  <si>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</si>
  <si>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</si>
  <si>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</si>
  <si>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</si>
  <si>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</si>
  <si>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</si>
  <si>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</si>
  <si>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</si>
  <si>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</si>
  <si>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</si>
  <si>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</si>
  <si>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</si>
  <si>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</si>
  <si>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</si>
  <si>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</si>
  <si>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</si>
  <si>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</si>
  <si>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</si>
  <si>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</si>
  <si>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</si>
  <si>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</si>
  <si>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</si>
  <si>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</si>
  <si>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</si>
  <si>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</si>
  <si>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</si>
  <si>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</si>
  <si>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</si>
  <si>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</si>
  <si>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</si>
  <si>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</si>
  <si>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</si>
  <si>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</si>
  <si>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</si>
  <si>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</si>
  <si>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</si>
  <si>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</si>
  <si>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</si>
  <si>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</si>
  <si>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</si>
  <si>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</si>
  <si>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</si>
  <si>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</si>
  <si>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</si>
  <si>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</si>
  <si>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</si>
  <si>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</si>
  <si>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</si>
  <si>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</si>
  <si>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</si>
  <si>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</si>
  <si>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</si>
  <si>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</si>
  <si>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</si>
  <si>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</si>
  <si>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</si>
  <si>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</si>
  <si>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</si>
  <si>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</si>
  <si>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</si>
  <si>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</si>
  <si>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</si>
  <si>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</si>
  <si>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</si>
  <si>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</si>
  <si>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</si>
  <si>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</si>
  <si>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</si>
  <si>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</si>
  <si>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</si>
  <si>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</si>
  <si>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</si>
  <si>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</si>
  <si>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</si>
  <si>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</si>
  <si>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</si>
  <si>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</si>
  <si>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</si>
  <si>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</si>
  <si>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</si>
  <si>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</si>
  <si>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</si>
  <si>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</si>
  <si>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</si>
  <si>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</si>
  <si>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</si>
  <si>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</si>
  <si>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</si>
  <si>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</si>
  <si>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</si>
  <si>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</si>
  <si>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</si>
  <si>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</si>
  <si>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</si>
  <si>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</si>
  <si>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</si>
  <si>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</si>
  <si>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</si>
  <si>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</si>
  <si>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</si>
  <si>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</si>
  <si>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</si>
  <si>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</si>
  <si>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</si>
  <si>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</si>
  <si>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</si>
  <si>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</si>
  <si>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</si>
  <si>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</si>
  <si>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</si>
  <si>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</si>
  <si>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</si>
  <si>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</si>
  <si>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</si>
  <si>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</si>
  <si>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</si>
  <si>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</si>
  <si>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</si>
  <si>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</si>
  <si>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</si>
  <si>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</si>
  <si>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</si>
  <si>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</si>
  <si>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</si>
  <si>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</si>
  <si>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</si>
  <si>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</si>
  <si>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</si>
  <si>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</si>
  <si>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</si>
  <si>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</si>
  <si>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</si>
  <si>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</si>
  <si>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</si>
  <si>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</si>
  <si>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</si>
  <si>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</si>
  <si>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</si>
  <si>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</si>
  <si>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</si>
  <si>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</si>
  <si>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</si>
  <si>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</si>
  <si>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</si>
  <si>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</si>
  <si>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</si>
  <si>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</si>
  <si>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</si>
  <si>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</si>
  <si>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</si>
  <si>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</si>
  <si>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</si>
  <si>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</si>
  <si>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</si>
  <si>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</si>
  <si>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</si>
  <si>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</si>
  <si>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</si>
  <si>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</si>
  <si>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</si>
  <si>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</si>
  <si>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</si>
  <si>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</si>
  <si>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</si>
  <si>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</si>
  <si>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</si>
  <si>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</si>
  <si>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</si>
  <si>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</si>
  <si>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</si>
  <si>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</si>
  <si>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</si>
  <si>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</si>
  <si>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</si>
  <si>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</si>
  <si>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</si>
  <si>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</si>
  <si>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</si>
  <si>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</si>
  <si>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</si>
  <si>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</si>
  <si>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</si>
  <si>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</si>
  <si>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</si>
  <si>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</si>
  <si>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</si>
  <si>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</si>
  <si>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</si>
  <si>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</si>
  <si>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</si>
  <si>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</si>
  <si>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</si>
  <si>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</si>
  <si>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</si>
  <si>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</si>
  <si>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</si>
  <si>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</si>
  <si>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</si>
  <si>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</si>
  <si>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</si>
  <si>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</si>
  <si>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</si>
  <si>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</si>
  <si>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</si>
  <si>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</si>
  <si>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</si>
  <si>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</si>
  <si>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</si>
  <si>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</si>
  <si>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</si>
  <si>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</si>
  <si>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</si>
  <si>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</si>
  <si>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</si>
  <si>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</si>
  <si>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</si>
  <si>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</si>
  <si>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</si>
  <si>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</si>
  <si>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</si>
  <si>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</si>
  <si>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</si>
  <si>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</si>
  <si>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</si>
  <si>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</si>
  <si>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</si>
  <si>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</si>
  <si>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</si>
  <si>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</si>
  <si>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</si>
  <si>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</si>
  <si>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</si>
  <si>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</si>
  <si>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</si>
  <si>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</si>
  <si>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</si>
  <si>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</si>
  <si>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</si>
  <si>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</si>
  <si>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</si>
  <si>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</si>
  <si>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</si>
  <si>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</si>
  <si>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</si>
  <si>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</si>
  <si>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</si>
  <si>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</si>
  <si>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</si>
  <si>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</si>
  <si>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</si>
  <si>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</si>
  <si>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</si>
  <si>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</si>
  <si>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</si>
  <si>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</si>
  <si>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</si>
  <si>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</si>
  <si>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</si>
  <si>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</si>
  <si>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</si>
  <si>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</si>
  <si>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</si>
  <si>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</si>
  <si>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</si>
  <si>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</si>
  <si>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</si>
  <si>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</si>
  <si>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</si>
  <si>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</si>
  <si>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</si>
  <si>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</si>
  <si>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</si>
  <si>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</si>
  <si>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</si>
  <si>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</si>
  <si>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</si>
  <si>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</si>
  <si>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</si>
  <si>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</si>
  <si>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</si>
  <si>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</si>
  <si>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</si>
  <si>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</si>
  <si>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</si>
  <si>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</si>
  <si>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</si>
  <si>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</si>
  <si>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</si>
  <si>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</si>
  <si>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</si>
  <si>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</si>
  <si>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</si>
  <si>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</si>
  <si>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</si>
  <si>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</si>
  <si>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</si>
  <si>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</si>
  <si>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</si>
  <si>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</si>
  <si>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</si>
  <si>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</si>
  <si>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</si>
  <si>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</si>
  <si>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</si>
  <si>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</si>
  <si>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</si>
  <si>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</si>
  <si>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</si>
  <si>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</si>
  <si>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</si>
  <si>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</si>
  <si>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</si>
  <si>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</si>
  <si>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</si>
  <si>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</si>
  <si>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</si>
  <si>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</si>
  <si>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</si>
  <si>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</si>
  <si>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</si>
  <si>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</si>
  <si>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</si>
  <si>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</si>
  <si>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</si>
  <si>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</si>
  <si>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</si>
  <si>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</si>
  <si>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</si>
  <si>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</si>
  <si>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</si>
  <si>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</si>
  <si>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</si>
  <si>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</si>
  <si>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</si>
  <si>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</si>
  <si>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</si>
  <si>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</si>
  <si>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</si>
  <si>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</si>
  <si>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</si>
  <si>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</si>
  <si>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</si>
  <si>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</si>
  <si>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</si>
  <si>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</si>
  <si>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</si>
  <si>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</si>
  <si>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</si>
  <si>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</si>
  <si>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</si>
  <si>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</si>
  <si>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</si>
  <si>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</si>
  <si>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</si>
  <si>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</si>
  <si>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</si>
  <si>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</si>
  <si>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</si>
  <si>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</si>
  <si>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</si>
  <si>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</si>
  <si>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</si>
  <si>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</si>
  <si>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</si>
  <si>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</si>
  <si>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</si>
  <si>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</si>
  <si>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</si>
  <si>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</si>
  <si>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</si>
  <si>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</si>
  <si>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</si>
  <si>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</si>
  <si>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</si>
  <si>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</si>
  <si>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</si>
  <si>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</si>
  <si>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</si>
  <si>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</si>
  <si>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</si>
  <si>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</si>
  <si>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</si>
  <si>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</si>
  <si>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</si>
  <si>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</si>
  <si>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</si>
  <si>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</si>
  <si>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</si>
  <si>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</si>
  <si>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</si>
  <si>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</si>
  <si>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</si>
  <si>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</si>
  <si>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</si>
  <si>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</si>
  <si>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</si>
  <si>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</si>
  <si>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</si>
  <si>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</si>
  <si>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</si>
  <si>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</si>
  <si>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</si>
  <si>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</si>
  <si>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</si>
  <si>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</si>
  <si>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</si>
  <si>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</si>
  <si>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</si>
  <si>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</si>
  <si>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</si>
  <si>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</si>
  <si>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</si>
  <si>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</si>
  <si>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</si>
  <si>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</si>
  <si>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</si>
  <si>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</si>
  <si>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</si>
  <si>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</si>
  <si>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</si>
  <si>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</si>
  <si>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</si>
  <si>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</si>
  <si>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</si>
  <si>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</si>
  <si>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</si>
  <si>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</si>
  <si>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</si>
  <si>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</si>
  <si>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</si>
  <si>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</si>
  <si>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</si>
  <si>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</si>
  <si>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</si>
  <si>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</si>
  <si>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</si>
  <si>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</si>
  <si>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</si>
  <si>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</si>
  <si>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</si>
  <si>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</si>
  <si>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</si>
  <si>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</si>
  <si>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</si>
  <si>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</si>
  <si>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</si>
  <si>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</si>
  <si>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</si>
  <si>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</si>
  <si>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</si>
  <si>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</si>
  <si>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</si>
  <si>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</si>
  <si>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</si>
  <si>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</si>
  <si>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</si>
  <si>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</si>
  <si>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</si>
  <si>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</si>
  <si>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</si>
  <si>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</si>
  <si>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</si>
  <si>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</si>
  <si>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</si>
  <si>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</si>
  <si>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</si>
  <si>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</si>
  <si>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</si>
  <si>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</si>
  <si>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</si>
  <si>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</si>
  <si>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</si>
  <si>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</si>
  <si>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</si>
  <si>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</si>
  <si>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</si>
  <si>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</si>
  <si>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</si>
  <si>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</si>
  <si>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</si>
  <si>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</si>
  <si>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</si>
  <si>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</si>
  <si>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</si>
  <si>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</si>
  <si>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</si>
  <si>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</si>
  <si>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</si>
  <si>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</si>
  <si>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</si>
  <si>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</si>
  <si>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</si>
  <si>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</si>
  <si>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</si>
  <si>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</si>
  <si>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</si>
  <si>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</si>
  <si>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</si>
  <si>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</si>
  <si>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</si>
  <si>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</si>
  <si>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</si>
  <si>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</si>
  <si>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</si>
  <si>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</si>
  <si>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</si>
  <si>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</si>
  <si>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</si>
  <si>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</si>
  <si>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</si>
  <si>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</si>
  <si>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</si>
  <si>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</si>
  <si>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</si>
  <si>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</si>
  <si>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</si>
  <si>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</si>
  <si>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</si>
  <si>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</si>
  <si>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</si>
  <si>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</si>
  <si>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</si>
  <si>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</si>
  <si>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</si>
  <si>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</si>
  <si>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</si>
  <si>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</si>
  <si>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</si>
  <si>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</si>
  <si>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</si>
  <si>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</si>
  <si>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</si>
  <si>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</si>
  <si>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</si>
  <si>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</si>
  <si>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</si>
  <si>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</si>
  <si>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</si>
  <si>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</si>
  <si>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</si>
  <si>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</si>
  <si>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</si>
  <si>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</si>
  <si>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</si>
  <si>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</si>
  <si>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</si>
  <si>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</si>
  <si>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</si>
  <si>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</si>
  <si>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</si>
  <si>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</si>
  <si>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</si>
  <si>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</si>
  <si>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</si>
  <si>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</si>
  <si>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</si>
  <si>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</si>
  <si>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</si>
  <si>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</si>
  <si>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</si>
  <si>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</si>
  <si>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</si>
  <si>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</si>
  <si>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</si>
  <si>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</si>
  <si>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</si>
  <si>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</si>
  <si>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</si>
  <si>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</si>
  <si>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</si>
  <si>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</si>
  <si>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</si>
  <si>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</si>
  <si>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</si>
  <si>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</si>
  <si>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</si>
  <si>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</si>
  <si>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</si>
  <si>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</si>
  <si>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</si>
  <si>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</si>
  <si>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</si>
  <si>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</si>
  <si>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</si>
  <si>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</si>
  <si>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</si>
  <si>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</si>
  <si>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</si>
  <si>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</si>
  <si>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</si>
  <si>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</si>
  <si>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</si>
  <si>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</si>
  <si>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</si>
  <si>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</si>
  <si>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</si>
  <si>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</si>
  <si>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</si>
  <si>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</si>
  <si>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</si>
  <si>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</si>
  <si>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</si>
  <si>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</si>
  <si>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</si>
  <si>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</si>
  <si>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</si>
  <si>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</si>
  <si>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</si>
  <si>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</si>
  <si>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</si>
  <si>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</si>
  <si>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</si>
  <si>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</si>
  <si>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</si>
  <si>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</si>
  <si>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</si>
  <si>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</si>
  <si>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</si>
  <si>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</si>
  <si>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</si>
  <si>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</si>
  <si>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</si>
  <si>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</si>
  <si>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</si>
  <si>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</si>
  <si>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</si>
  <si>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</si>
  <si>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</si>
  <si>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</si>
  <si>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</si>
  <si>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</si>
  <si>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</si>
  <si>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</si>
  <si>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</si>
  <si>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</si>
  <si>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</si>
  <si>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</si>
  <si>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</si>
  <si>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</si>
  <si>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</si>
  <si>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</si>
  <si>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</si>
  <si>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</si>
  <si>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</si>
  <si>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</si>
  <si>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</si>
  <si>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</si>
  <si>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</si>
  <si>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</si>
  <si>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</si>
  <si>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</si>
  <si>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</si>
  <si>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</si>
  <si>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</si>
  <si>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</si>
  <si>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</si>
  <si>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</si>
  <si>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</si>
  <si>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</si>
  <si>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</si>
  <si>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</si>
  <si>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</si>
  <si>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</si>
  <si>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</si>
  <si>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</si>
  <si>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</si>
  <si>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</si>
  <si>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</si>
  <si>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</si>
  <si>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</si>
  <si>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</si>
  <si>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</si>
  <si>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</si>
  <si>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</si>
  <si>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</si>
  <si>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</si>
  <si>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</si>
  <si>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</si>
  <si>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</si>
  <si>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</si>
  <si>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</si>
  <si>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</si>
  <si>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</si>
  <si>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</si>
  <si>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</si>
  <si>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</si>
  <si>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</si>
  <si>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</si>
  <si>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</si>
  <si>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</si>
  <si>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</si>
  <si>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</si>
  <si>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</si>
  <si>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</si>
  <si>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</si>
  <si>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</si>
  <si>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</si>
  <si>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</si>
  <si>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</si>
  <si>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</si>
  <si>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</si>
  <si>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</si>
  <si>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</si>
  <si>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</si>
  <si>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</si>
  <si>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</si>
  <si>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</si>
  <si>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</si>
  <si>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</si>
  <si>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</si>
  <si>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</si>
  <si>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</si>
  <si>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</si>
  <si>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</si>
  <si>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</si>
  <si>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</si>
  <si>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</si>
  <si>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</si>
  <si>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</si>
  <si>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</si>
  <si>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</si>
  <si>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</si>
  <si>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</si>
  <si>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</si>
  <si>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</si>
  <si>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</si>
  <si>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</si>
  <si>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</si>
  <si>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</si>
  <si>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</si>
  <si>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</si>
  <si>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</si>
  <si>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</si>
  <si>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</si>
  <si>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</si>
  <si>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</si>
  <si>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</si>
  <si>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</si>
  <si>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</si>
  <si>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</si>
  <si>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</si>
  <si>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</si>
  <si>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</si>
  <si>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</si>
  <si>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</si>
  <si>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</si>
  <si>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</si>
  <si>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</si>
  <si>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</si>
  <si>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</si>
  <si>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</si>
  <si>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</si>
  <si>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</si>
  <si>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</si>
  <si>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</si>
  <si>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</si>
  <si>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</si>
  <si>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</si>
  <si>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</si>
  <si>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</si>
  <si>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</si>
  <si>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</si>
  <si>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</si>
  <si>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</si>
  <si>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</si>
  <si>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</si>
  <si>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</si>
  <si>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</si>
  <si>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</si>
  <si>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</si>
  <si>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</si>
  <si>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</si>
  <si>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</si>
  <si>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</si>
  <si>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</si>
  <si>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</si>
  <si>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</si>
  <si>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</si>
  <si>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</si>
  <si>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</si>
  <si>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</si>
  <si>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</si>
  <si>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</si>
  <si>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</si>
  <si>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</si>
  <si>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</si>
  <si>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</si>
  <si>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</si>
  <si>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</si>
  <si>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</si>
  <si>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</si>
  <si>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</si>
  <si>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</si>
  <si>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</si>
  <si>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</si>
  <si>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</si>
  <si>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</si>
  <si>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</si>
  <si>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</si>
  <si>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</si>
  <si>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</si>
  <si>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</si>
  <si>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</si>
  <si>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</si>
  <si>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</si>
  <si>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</si>
  <si>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</si>
  <si>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</si>
  <si>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</si>
  <si>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</si>
  <si>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</si>
  <si>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</si>
  <si>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</si>
  <si>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</si>
  <si>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</si>
  <si>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</si>
  <si>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</si>
  <si>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</si>
  <si>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</si>
  <si>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</si>
  <si>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</si>
  <si>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</si>
  <si>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</si>
  <si>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</si>
  <si>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</si>
  <si>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</si>
  <si>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</si>
  <si>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</si>
  <si>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</si>
  <si>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</si>
  <si>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</si>
  <si>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</si>
  <si>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</si>
  <si>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</si>
  <si>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</si>
  <si>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</si>
  <si>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</si>
  <si>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</si>
  <si>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</si>
  <si>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</si>
  <si>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</si>
  <si>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</si>
  <si>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</si>
  <si>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</si>
  <si>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</si>
  <si>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</si>
  <si>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</si>
  <si>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</si>
  <si>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</si>
  <si>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</si>
  <si>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</si>
  <si>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</si>
  <si>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</si>
  <si>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</si>
  <si>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</si>
  <si>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</si>
  <si>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</si>
  <si>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</si>
  <si>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</si>
  <si>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</si>
  <si>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</si>
  <si>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</si>
  <si>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</si>
  <si>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</si>
  <si>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</si>
  <si>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</si>
  <si>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</si>
  <si>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</si>
  <si>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</si>
  <si>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</si>
  <si>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</si>
  <si>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</si>
  <si>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</si>
  <si>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</si>
  <si>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</si>
  <si>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</si>
  <si>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</si>
  <si>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</si>
  <si>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</si>
  <si>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</si>
  <si>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</si>
  <si>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</si>
  <si>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</si>
  <si>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</si>
  <si>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</si>
  <si>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</si>
  <si>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</si>
  <si>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</si>
  <si>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</si>
  <si>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</si>
  <si>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</si>
  <si>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</si>
  <si>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</si>
  <si>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</si>
  <si>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</si>
  <si>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</si>
  <si>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</si>
  <si>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</si>
  <si>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</si>
  <si>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</si>
  <si>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</si>
  <si>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</si>
  <si>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</si>
  <si>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</si>
  <si>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</si>
  <si>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</si>
  <si>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</si>
  <si>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</si>
  <si>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</si>
  <si>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</si>
  <si>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</si>
  <si>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</si>
  <si>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</si>
  <si>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</si>
  <si>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</si>
  <si>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</si>
  <si>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</si>
  <si>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</si>
  <si>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</si>
  <si>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</si>
  <si>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</si>
  <si>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</si>
  <si>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</si>
  <si>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</si>
  <si>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</si>
  <si>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</si>
  <si>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</si>
  <si>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</si>
  <si>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</si>
  <si>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</si>
  <si>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</si>
  <si>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</si>
  <si>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</si>
  <si>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</si>
  <si>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</si>
  <si>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</si>
  <si>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</si>
  <si>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</si>
  <si>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</si>
  <si>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</si>
  <si>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</si>
  <si>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</si>
  <si>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</si>
  <si>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</si>
  <si>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</si>
  <si>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</si>
  <si>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</si>
  <si>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</si>
  <si>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</si>
  <si>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</si>
  <si>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</si>
  <si>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</si>
  <si>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</si>
  <si>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</si>
  <si>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</si>
  <si>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</si>
  <si>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</si>
  <si>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</si>
  <si>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</si>
  <si>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</si>
  <si>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</si>
  <si>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</si>
  <si>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</si>
  <si>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</si>
  <si>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</si>
  <si>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</si>
  <si>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</si>
  <si>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</si>
  <si>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</si>
  <si>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</si>
  <si>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</si>
  <si>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</si>
  <si>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</si>
  <si>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</si>
  <si>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</si>
  <si>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</si>
  <si>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</si>
  <si>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</si>
  <si>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</si>
  <si>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</si>
  <si>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</si>
  <si>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</si>
  <si>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</si>
  <si>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</si>
  <si>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</si>
  <si>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</si>
  <si>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</si>
  <si>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</si>
  <si>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</si>
  <si>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</si>
  <si>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</si>
  <si>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</si>
  <si>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</si>
  <si>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</si>
  <si>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</si>
  <si>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</si>
  <si>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</si>
  <si>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</si>
  <si>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</si>
  <si>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</si>
  <si>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</si>
  <si>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</si>
  <si>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</si>
  <si>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</si>
  <si>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</si>
  <si>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</si>
  <si>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</si>
  <si>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</si>
  <si>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</si>
  <si>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</si>
  <si>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</si>
  <si>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</si>
  <si>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</si>
  <si>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</si>
  <si>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</si>
  <si>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</si>
  <si>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</si>
  <si>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</si>
  <si>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</si>
  <si>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</si>
  <si>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</si>
  <si>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</si>
  <si>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</si>
  <si>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</si>
  <si>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</si>
  <si>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</si>
  <si>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</si>
  <si>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</si>
  <si>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</si>
  <si>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</si>
  <si>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</si>
  <si>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</si>
  <si>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</si>
  <si>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</si>
  <si>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</si>
  <si>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</si>
  <si>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</si>
  <si>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</si>
  <si>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</si>
  <si>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</si>
  <si>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</si>
  <si>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</si>
  <si>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</si>
  <si>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</si>
  <si>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</si>
  <si>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</si>
  <si>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</si>
  <si>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</si>
  <si>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</si>
  <si>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</si>
  <si>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</si>
  <si>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</si>
  <si>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</si>
  <si>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</si>
  <si>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</si>
  <si>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</si>
  <si>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</si>
  <si>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</si>
  <si>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</si>
  <si>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</si>
  <si>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</si>
  <si>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</si>
  <si>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</si>
  <si>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</si>
  <si>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</si>
  <si>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</si>
  <si>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</si>
  <si>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</si>
  <si>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</si>
  <si>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</si>
  <si>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</si>
  <si>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</si>
  <si>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</si>
  <si>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</si>
  <si>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</si>
  <si>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</si>
  <si>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</si>
  <si>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</si>
  <si>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</si>
  <si>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</si>
  <si>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</si>
  <si>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</si>
  <si>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</si>
  <si>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</si>
  <si>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</si>
  <si>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</si>
  <si>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</si>
  <si>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</si>
  <si>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</si>
  <si>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</si>
  <si>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</si>
  <si>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</si>
  <si>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</si>
  <si>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</si>
  <si>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</si>
  <si>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</si>
  <si>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</si>
  <si>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</si>
  <si>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</si>
  <si>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</si>
  <si>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</si>
  <si>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</si>
  <si>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</si>
  <si>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</si>
  <si>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</si>
  <si>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</si>
  <si>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</si>
  <si>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</si>
  <si>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</si>
  <si>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</si>
  <si>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</si>
  <si>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</si>
  <si>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</si>
  <si>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</si>
  <si>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</si>
  <si>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</si>
  <si>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</si>
  <si>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</si>
  <si>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</si>
  <si>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</si>
  <si>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</si>
  <si>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</si>
  <si>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</si>
  <si>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</si>
  <si>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</si>
  <si>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</si>
  <si>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</si>
  <si>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</si>
  <si>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</si>
  <si>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</si>
  <si>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</si>
  <si>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</si>
  <si>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</si>
  <si>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</si>
  <si>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</si>
  <si>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</si>
  <si>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</si>
  <si>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</si>
  <si>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</si>
  <si>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</si>
  <si>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</si>
  <si>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</si>
  <si>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</si>
  <si>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</si>
  <si>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</si>
  <si>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</si>
  <si>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</si>
  <si>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</si>
  <si>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</si>
  <si>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</si>
  <si>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</si>
  <si>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</si>
  <si>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</si>
  <si>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</si>
  <si>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</si>
  <si>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</si>
  <si>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</si>
  <si>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</si>
  <si>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</si>
  <si>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</si>
  <si>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</si>
  <si>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</si>
  <si>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</si>
  <si>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</si>
  <si>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</si>
  <si>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</si>
  <si>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</si>
  <si>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</si>
  <si>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</si>
  <si>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</si>
  <si>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</si>
  <si>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</si>
  <si>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</si>
  <si>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</si>
  <si>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</si>
  <si>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</si>
  <si>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</si>
  <si>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</si>
  <si>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</si>
  <si>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</si>
  <si>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</si>
  <si>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</si>
  <si>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</si>
  <si>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</si>
  <si>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</si>
  <si>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</si>
  <si>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</si>
  <si>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</si>
  <si>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</si>
  <si>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</si>
  <si>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</si>
  <si>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</si>
  <si>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</si>
  <si>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</si>
  <si>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</si>
  <si>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</si>
  <si>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</si>
  <si>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</si>
  <si>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</si>
  <si>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</si>
  <si>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</si>
  <si>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</si>
  <si>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</si>
  <si>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</si>
  <si>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</si>
  <si>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</si>
  <si>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</si>
  <si>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</si>
  <si>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</si>
  <si>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</si>
  <si>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</si>
  <si>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</si>
  <si>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</si>
  <si>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</si>
  <si>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</si>
  <si>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</si>
  <si>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</si>
  <si>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</si>
  <si>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</si>
  <si>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</si>
  <si>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</si>
  <si>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</si>
  <si>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</si>
  <si>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</si>
  <si>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</si>
  <si>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</si>
  <si>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</si>
  <si>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</si>
  <si>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</si>
  <si>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</si>
  <si>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</si>
  <si>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</si>
  <si>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</si>
  <si>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</si>
  <si>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</si>
  <si>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</si>
  <si>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</si>
  <si>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</si>
  <si>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</si>
  <si>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</si>
  <si>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</si>
  <si>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</si>
  <si>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</si>
  <si>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</si>
  <si>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</si>
  <si>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</si>
  <si>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</si>
  <si>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</si>
  <si>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</si>
  <si>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</si>
  <si>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</si>
  <si>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</si>
  <si>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</si>
  <si>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</si>
  <si>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</si>
  <si>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</si>
  <si>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</si>
  <si>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</si>
  <si>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</si>
  <si>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</si>
  <si>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</si>
  <si>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</si>
  <si>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</si>
  <si>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</si>
  <si>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</si>
  <si>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</si>
  <si>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</si>
  <si>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</si>
  <si>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</si>
  <si>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</si>
  <si>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</si>
  <si>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</si>
  <si>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</si>
  <si>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</si>
  <si>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</si>
  <si>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</si>
  <si>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</si>
  <si>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</si>
  <si>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</si>
  <si>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</si>
  <si>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</si>
  <si>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</si>
  <si>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</si>
  <si>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</si>
  <si>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</si>
  <si>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</si>
  <si>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</si>
  <si>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</si>
  <si>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</si>
  <si>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</si>
  <si>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</si>
  <si>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</si>
  <si>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</si>
  <si>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</si>
  <si>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</si>
  <si>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</si>
  <si>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</si>
  <si>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</si>
  <si>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</si>
  <si>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</si>
  <si>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</si>
  <si>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</si>
  <si>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</si>
  <si>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</si>
  <si>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</si>
  <si>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</si>
  <si>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</si>
  <si>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</si>
  <si>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</si>
  <si>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</si>
  <si>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</si>
  <si>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</si>
  <si>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</si>
  <si>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</si>
  <si>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</si>
  <si>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</si>
  <si>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</si>
  <si>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</si>
  <si>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</si>
  <si>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</si>
  <si>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</si>
  <si>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</si>
  <si>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</si>
  <si>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</si>
  <si>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</si>
  <si>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</si>
  <si>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</si>
  <si>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</si>
  <si>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</si>
  <si>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</si>
  <si>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</si>
  <si>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</si>
  <si>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</si>
  <si>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</si>
  <si>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</si>
  <si>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</si>
  <si>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</si>
  <si>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</si>
  <si>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</si>
  <si>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</si>
  <si>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</si>
  <si>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</si>
  <si>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</si>
  <si>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</si>
  <si>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</si>
  <si>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</si>
  <si>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</si>
  <si>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</si>
  <si>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</si>
  <si>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</si>
  <si>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</si>
  <si>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</si>
  <si>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</si>
  <si>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</si>
  <si>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</si>
  <si>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</si>
  <si>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</si>
  <si>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</si>
  <si>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</si>
  <si>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</si>
  <si>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</si>
  <si>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</si>
  <si>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</si>
  <si>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</si>
  <si>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</si>
  <si>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</si>
  <si>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</si>
  <si>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</si>
  <si>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</si>
  <si>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</si>
  <si>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</si>
  <si>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</si>
  <si>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</si>
  <si>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</si>
  <si>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</si>
  <si>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</si>
  <si>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</si>
  <si>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</si>
  <si>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</si>
  <si>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</si>
  <si>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</si>
  <si>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</si>
  <si>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</si>
  <si>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</si>
  <si>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</si>
  <si>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</si>
  <si>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</si>
  <si>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</si>
  <si>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</si>
  <si>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</si>
  <si>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</si>
  <si>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</si>
  <si>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</si>
  <si>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</si>
  <si>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</si>
  <si>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</si>
  <si>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</si>
  <si>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</si>
  <si>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</si>
  <si>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</si>
  <si>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</si>
  <si>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</si>
  <si>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</si>
  <si>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</si>
  <si>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</si>
  <si>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</si>
  <si>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</si>
  <si>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</si>
  <si>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</si>
  <si>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</si>
  <si>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</si>
  <si>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</si>
  <si>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</si>
  <si>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</si>
  <si>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</si>
  <si>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</si>
  <si>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</si>
  <si>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</si>
  <si>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</si>
  <si>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</si>
  <si>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</si>
  <si>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</si>
  <si>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</si>
  <si>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</si>
  <si>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</si>
  <si>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</si>
  <si>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</si>
  <si>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</si>
  <si>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</si>
  <si>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</si>
  <si>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</si>
  <si>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</si>
  <si>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</si>
  <si>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</si>
  <si>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</si>
  <si>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</si>
  <si>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</si>
  <si>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</si>
  <si>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</si>
  <si>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</si>
  <si>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</si>
  <si>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</si>
  <si>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</si>
  <si>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</si>
  <si>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</si>
  <si>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</si>
  <si>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</si>
  <si>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</si>
  <si>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</si>
  <si>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</si>
  <si>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</si>
  <si>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</si>
  <si>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</si>
  <si>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</si>
  <si>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</si>
  <si>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</si>
  <si>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</si>
  <si>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</si>
  <si>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</si>
  <si>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</si>
  <si>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</si>
  <si>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</si>
  <si>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</si>
  <si>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</si>
  <si>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</si>
  <si>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</si>
  <si>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</si>
  <si>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</si>
  <si>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</si>
  <si>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</si>
  <si>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</si>
  <si>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</si>
  <si>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</si>
  <si>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</si>
  <si>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</si>
  <si>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</si>
  <si>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</si>
  <si>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</si>
  <si>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</si>
  <si>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</si>
  <si>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</si>
  <si>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</si>
  <si>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</si>
  <si>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</si>
  <si>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</si>
  <si>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</si>
  <si>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</si>
  <si>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</si>
  <si>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</si>
  <si>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</si>
  <si>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</si>
  <si>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</si>
  <si>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</si>
  <si>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</si>
  <si>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</si>
  <si>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</si>
  <si>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</si>
  <si>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</si>
  <si>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</si>
  <si>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</si>
  <si>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</si>
  <si>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</si>
  <si>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</si>
  <si>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</si>
  <si>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</si>
  <si>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</si>
  <si>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</si>
  <si>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</si>
  <si>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</si>
  <si>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</si>
  <si>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</si>
  <si>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</si>
  <si>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</si>
  <si>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</si>
  <si>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</si>
  <si>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</si>
  <si>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</si>
  <si>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</si>
  <si>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</si>
  <si>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</si>
  <si>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</si>
  <si>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</si>
  <si>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</si>
  <si>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</si>
  <si>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</si>
  <si>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</si>
  <si>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</si>
  <si>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</si>
  <si>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</si>
  <si>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</si>
  <si>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</si>
  <si>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</si>
  <si>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</si>
  <si>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</si>
  <si>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</si>
  <si>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</si>
  <si>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</si>
  <si>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</si>
  <si>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</si>
  <si>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</si>
  <si>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</si>
  <si>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</si>
  <si>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</si>
  <si>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</si>
  <si>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</si>
  <si>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</si>
  <si>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</si>
  <si>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</si>
  <si>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</si>
  <si>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</si>
  <si>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</si>
  <si>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</si>
  <si>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</si>
  <si>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</si>
  <si>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</si>
  <si>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</si>
  <si>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</si>
  <si>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</si>
  <si>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</si>
  <si>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</si>
  <si>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</si>
  <si>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</si>
  <si>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</si>
  <si>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</si>
  <si>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</si>
  <si>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</si>
  <si>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</si>
  <si>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</si>
  <si>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</si>
  <si>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</si>
  <si>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</si>
  <si>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</si>
  <si>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</si>
  <si>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</si>
  <si>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</si>
  <si>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</si>
  <si>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</si>
  <si>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</si>
  <si>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</si>
  <si>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</si>
  <si>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</si>
  <si>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</si>
  <si>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</si>
  <si>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</si>
  <si>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</si>
  <si>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</si>
  <si>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</si>
  <si>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</si>
  <si>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</si>
  <si>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</si>
  <si>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</si>
  <si>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</si>
  <si>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</si>
  <si>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</si>
  <si>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</si>
  <si>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</si>
  <si>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</si>
  <si>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</si>
  <si>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</si>
  <si>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</si>
  <si>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</si>
  <si>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</si>
  <si>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</si>
  <si>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</si>
  <si>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</si>
  <si>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</si>
  <si>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</si>
  <si>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</si>
  <si>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</si>
  <si>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</si>
  <si>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</si>
  <si>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</si>
  <si>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</si>
  <si>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</si>
  <si>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</si>
  <si>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</si>
  <si>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</si>
  <si>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</si>
  <si>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</si>
  <si>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</si>
  <si>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</si>
  <si>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</si>
  <si>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</si>
  <si>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</si>
  <si>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</si>
  <si>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</si>
  <si>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</si>
  <si>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</si>
  <si>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</si>
  <si>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</si>
  <si>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</si>
  <si>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</si>
  <si>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</si>
  <si>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</si>
  <si>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</si>
  <si>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</si>
  <si>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</si>
  <si>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</si>
  <si>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</si>
  <si>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</si>
  <si>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</si>
  <si>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</si>
  <si>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</si>
  <si>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</si>
  <si>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</si>
  <si>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</si>
  <si>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</si>
  <si>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</si>
  <si>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</si>
  <si>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</si>
  <si>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</si>
  <si>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</si>
  <si>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</si>
  <si>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</si>
  <si>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</si>
  <si>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</si>
  <si>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</si>
  <si>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</si>
  <si>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</si>
  <si>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</si>
  <si>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</si>
  <si>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</si>
  <si>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</si>
  <si>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</si>
  <si>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</si>
  <si>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</si>
  <si>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</si>
  <si>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</si>
  <si>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</si>
  <si>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</si>
  <si>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</si>
  <si>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</si>
  <si>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</si>
  <si>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</si>
  <si>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</si>
  <si>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</si>
  <si>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</si>
  <si>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</si>
  <si>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</si>
  <si>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</si>
  <si>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</si>
  <si>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</si>
  <si>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</si>
  <si>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</si>
  <si>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</si>
  <si>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</si>
  <si>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</si>
  <si>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</si>
  <si>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</si>
  <si>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</si>
  <si>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</si>
  <si>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</si>
  <si>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</si>
  <si>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</si>
  <si>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</si>
  <si>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</si>
  <si>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</si>
  <si>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</si>
  <si>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</si>
  <si>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</si>
  <si>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</si>
  <si>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</si>
  <si>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</si>
  <si>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</si>
  <si>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</si>
  <si>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</si>
  <si>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</si>
  <si>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</si>
  <si>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</si>
  <si>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</si>
  <si>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</si>
  <si>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</si>
  <si>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</si>
  <si>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</si>
  <si>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</si>
  <si>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</si>
  <si>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</si>
  <si>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</si>
  <si>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</si>
  <si>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</si>
  <si>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</si>
  <si>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</si>
  <si>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</si>
  <si>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</si>
  <si>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</si>
  <si>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</si>
  <si>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</si>
  <si>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</si>
  <si>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</si>
  <si>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</si>
  <si>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</si>
  <si>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</si>
  <si>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</si>
  <si>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</si>
  <si>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</si>
  <si>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</si>
  <si>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</si>
  <si>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</si>
  <si>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</si>
  <si>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</si>
  <si>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</si>
  <si>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</si>
  <si>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</si>
  <si>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</si>
  <si>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</si>
  <si>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</si>
  <si>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</si>
  <si>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</si>
  <si>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</si>
  <si>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</si>
  <si>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</si>
  <si>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</si>
  <si>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</si>
  <si>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</si>
  <si>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</si>
  <si>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</si>
  <si>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</si>
  <si>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</si>
  <si>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</si>
  <si>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</si>
  <si>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</si>
  <si>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</si>
  <si>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</si>
  <si>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</si>
  <si>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</si>
  <si>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</si>
  <si>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</si>
  <si>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</si>
  <si>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</si>
  <si>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</si>
  <si>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</si>
  <si>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</si>
  <si>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</si>
  <si>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</si>
  <si>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</si>
  <si>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</si>
  <si>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</si>
  <si>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</si>
  <si>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</si>
  <si>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</si>
  <si>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</si>
  <si>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</si>
  <si>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</si>
  <si>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</si>
  <si>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</si>
  <si>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</si>
  <si>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</si>
  <si>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</si>
  <si>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</si>
  <si>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</si>
  <si>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</si>
  <si>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</si>
  <si>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</si>
  <si>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</si>
  <si>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</si>
  <si>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</si>
  <si>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</si>
  <si>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</si>
  <si>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</si>
  <si>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</si>
  <si>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</si>
  <si>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</si>
  <si>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</si>
  <si>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</si>
  <si>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</si>
  <si>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</si>
  <si>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</si>
  <si>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</si>
  <si>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</si>
  <si>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</si>
  <si>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</si>
  <si>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</si>
  <si>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</si>
  <si>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</si>
  <si>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</si>
  <si>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</si>
  <si>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</si>
  <si>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</si>
  <si>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</si>
  <si>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</si>
  <si>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</si>
  <si>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</si>
  <si>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</si>
  <si>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</si>
  <si>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</si>
  <si>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</si>
  <si>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</si>
  <si>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</si>
  <si>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</si>
  <si>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</si>
  <si>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</si>
  <si>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</si>
  <si>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</si>
  <si>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</si>
  <si>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</si>
  <si>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</si>
  <si>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</si>
  <si>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</si>
  <si>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</si>
  <si>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</si>
  <si>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</si>
  <si>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</si>
  <si>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</si>
  <si>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</si>
  <si>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</si>
  <si>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</si>
  <si>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</si>
  <si>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</si>
  <si>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</si>
  <si>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</si>
  <si>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</si>
  <si>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</si>
  <si>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</si>
  <si>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</si>
  <si>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</si>
  <si>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</si>
  <si>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</si>
  <si>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</si>
  <si>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</si>
  <si>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</si>
  <si>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</si>
  <si>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</si>
  <si>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</si>
  <si>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</si>
  <si>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</si>
  <si>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</si>
  <si>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</si>
  <si>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</si>
  <si>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</si>
  <si>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</si>
  <si>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</si>
  <si>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</si>
  <si>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</si>
  <si>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</si>
  <si>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</si>
  <si>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</si>
  <si>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</si>
  <si>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</si>
  <si>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</si>
  <si>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</si>
  <si>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</si>
  <si>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</si>
  <si>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</si>
  <si>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</si>
  <si>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</si>
  <si>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</si>
  <si>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</si>
  <si>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</si>
  <si>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</si>
  <si>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</si>
  <si>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</si>
  <si>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</si>
  <si>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</si>
  <si>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</si>
  <si>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</si>
  <si>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</si>
  <si>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</si>
  <si>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</si>
  <si>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</si>
  <si>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</si>
  <si>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</si>
  <si>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</si>
  <si>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</si>
  <si>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</si>
  <si>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</si>
  <si>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</si>
  <si>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</si>
  <si>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</si>
  <si>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</si>
  <si>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</si>
  <si>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</si>
  <si>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</si>
  <si>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</si>
  <si>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</si>
  <si>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</si>
  <si>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</si>
  <si>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</si>
  <si>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</si>
  <si>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</si>
  <si>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</si>
  <si>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</si>
  <si>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</si>
  <si>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</si>
  <si>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</si>
  <si>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</si>
  <si>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</si>
  <si>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</si>
  <si>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</si>
  <si>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</si>
  <si>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</si>
  <si>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</si>
  <si>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</si>
  <si>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</si>
  <si>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</si>
  <si>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</si>
  <si>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</si>
  <si>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</si>
  <si>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</si>
  <si>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</si>
  <si>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</si>
  <si>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</si>
  <si>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</si>
  <si>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</si>
  <si>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</si>
  <si>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</si>
  <si>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</si>
  <si>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</si>
  <si>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</si>
  <si>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</si>
  <si>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</si>
  <si>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</si>
  <si>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</si>
  <si>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</si>
  <si>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</si>
  <si>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</si>
  <si>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</si>
  <si>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 J. Schlosser &amp; Company, L.L.C.</t>
  </si>
  <si>
    <t>White, Hamilton, and Gallatin</t>
  </si>
  <si>
    <t>Kevin Tepen</t>
  </si>
  <si>
    <t>233 EastCenter Drive</t>
  </si>
  <si>
    <t>409 East Third Street</t>
  </si>
  <si>
    <t>Alton</t>
  </si>
  <si>
    <t>IL</t>
  </si>
  <si>
    <t>Norris City</t>
  </si>
  <si>
    <t>(618) 465-7717</t>
  </si>
  <si>
    <t>(618) 465-7710</t>
  </si>
  <si>
    <t>066-003590</t>
  </si>
  <si>
    <t>ktepen@cjsco.com</t>
  </si>
  <si>
    <t>Matthew J. Vollman</t>
  </si>
  <si>
    <t>mvollman@ncoeschools.org</t>
  </si>
  <si>
    <t>(618) 378-3222</t>
  </si>
  <si>
    <t>(618) 378-3286</t>
  </si>
  <si>
    <t>General Obligation Bonds Series 2015A</t>
  </si>
  <si>
    <t>Bus Lease Purchase Agreement 2015</t>
  </si>
  <si>
    <t>Bus Loan Agreement 2019</t>
  </si>
  <si>
    <t>Bus Lease</t>
  </si>
  <si>
    <t>Bus Loan</t>
  </si>
  <si>
    <t>None</t>
  </si>
  <si>
    <t>Wabash and Ohio Valley Special Education District</t>
  </si>
  <si>
    <t>Wabash and Ohio Valley Regional Vocational System</t>
  </si>
  <si>
    <t>Unmodified</t>
  </si>
  <si>
    <t>To maintain a sound internal control system.</t>
  </si>
  <si>
    <t>Due to the size of the District and a limited number of employees, the accounting department of the District does not have a complete separation of duties.</t>
  </si>
  <si>
    <t>The District should continue to develop policies that provide some controls over the accounting records.</t>
  </si>
  <si>
    <t>2019-001</t>
  </si>
  <si>
    <t>Total Federal Expenditures for 7/1/18-6/30/19</t>
  </si>
  <si>
    <t>9.  Management's response</t>
  </si>
  <si>
    <t>5. Context</t>
  </si>
  <si>
    <t>1.  FINDING NUMBER:</t>
  </si>
  <si>
    <t>The District acknowledges that some weaknesses in internal control do exist. The District feels that the Board of Education and the Suprintendent provide additional oversight and are able to identify any material misstatements to the financial statements due to internal control deficiencies. Due to the size of the accounting office and the District as a whole, the District does not feel that the benefits of hiring additional personnel to provide a complete segregation of duties would offset the additional costs. The District is aware of the importance of internal controls and attempts to employ control policies where feasible under the current personnel configuration.</t>
  </si>
  <si>
    <t>Current Status</t>
  </si>
  <si>
    <t>Internal control deficiencies related to segregation of duties existed in the prior year with the District having the same overall response as to the cost/benefit considerations.</t>
  </si>
  <si>
    <t>Due to the size of the District and the limited number of employees, the accounting department of the District does not have complete segregation of duties.</t>
  </si>
  <si>
    <t>SUMMARY SCHEDULE OF PRIOR AUDIT FINDINGS</t>
  </si>
  <si>
    <t>Norris City-Omaha-Enfield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</si>
</sst>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9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3" fillId="0" borderId="141" xfId="17" applyFont="1" applyBorder="1" applyAlignment="1">
      <alignment horizontal="center" vertical="top"/>
    </xf>
    <xf numFmtId="0" fontId="123" fillId="0" borderId="142"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2" fillId="23" borderId="156" xfId="17" applyFont="1" applyFill="1" applyBorder="1" applyAlignment="1">
      <alignment horizontal="center" vertical="center" wrapText="1"/>
    </xf>
    <xf numFmtId="38" fontId="122"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4" fillId="20" borderId="157" xfId="17" applyFont="1" applyFill="1" applyBorder="1" applyAlignment="1" applyProtection="1">
      <alignment horizontal="left" vertical="top" wrapText="1"/>
    </xf>
    <xf numFmtId="49" fontId="124" fillId="20" borderId="157" xfId="17" applyNumberFormat="1" applyFont="1" applyFill="1" applyBorder="1" applyAlignment="1" applyProtection="1">
      <alignment horizontal="center" vertical="top"/>
    </xf>
    <xf numFmtId="0" fontId="124" fillId="20" borderId="157" xfId="17" applyFont="1" applyFill="1" applyBorder="1" applyAlignment="1" applyProtection="1">
      <alignment vertical="top"/>
    </xf>
    <xf numFmtId="38" fontId="124" fillId="20" borderId="157" xfId="17" applyNumberFormat="1" applyFont="1" applyFill="1" applyBorder="1" applyAlignment="1" applyProtection="1">
      <alignment horizontal="right" vertical="top"/>
    </xf>
    <xf numFmtId="38" fontId="124"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29"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1"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1"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38" fontId="1" fillId="0" borderId="157" xfId="17" applyNumberFormat="1" applyFont="1" applyBorder="1" applyAlignment="1" applyProtection="1">
      <alignment horizontal="right" vertical="top"/>
      <protection locked="0"/>
    </xf>
    <xf numFmtId="179" fontId="55" fillId="0" borderId="0" xfId="3" applyNumberFormat="1" applyFont="1" applyBorder="1" applyAlignment="1" applyProtection="1">
      <alignment vertical="top"/>
      <protection locked="0"/>
    </xf>
    <xf numFmtId="0" fontId="55" fillId="0" borderId="0" xfId="3" applyFont="1" applyBorder="1" applyAlignment="1" applyProtection="1">
      <alignment horizontal="justify" vertical="top"/>
      <protection locked="0"/>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7"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3" borderId="140" xfId="17" applyFont="1" applyFill="1" applyBorder="1" applyAlignment="1">
      <alignment horizontal="center" vertical="center"/>
    </xf>
    <xf numFmtId="0" fontId="123" fillId="23" borderId="141" xfId="17" applyFont="1" applyFill="1" applyBorder="1" applyAlignment="1">
      <alignment horizontal="center" vertical="center"/>
    </xf>
    <xf numFmtId="0" fontId="123" fillId="23" borderId="142" xfId="17" applyFont="1" applyFill="1" applyBorder="1" applyAlignment="1">
      <alignment horizontal="center" vertical="center"/>
    </xf>
    <xf numFmtId="0" fontId="123" fillId="23" borderId="98" xfId="17" applyFont="1" applyFill="1" applyBorder="1" applyAlignment="1">
      <alignment horizontal="center" vertical="center"/>
    </xf>
    <xf numFmtId="0" fontId="123" fillId="23" borderId="78" xfId="17" applyFont="1" applyFill="1" applyBorder="1" applyAlignment="1">
      <alignment horizontal="center" vertical="center"/>
    </xf>
    <xf numFmtId="0" fontId="123" fillId="23"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justify" vertical="top" wrapText="1"/>
      <protection locked="0"/>
    </xf>
    <xf numFmtId="0" fontId="55" fillId="0" borderId="0" xfId="3" applyFont="1" applyAlignment="1" applyProtection="1">
      <alignment horizontal="justify"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0" fontId="55" fillId="0" borderId="0" xfId="3" applyFont="1" applyAlignment="1" applyProtection="1">
      <alignment horizontal="left" vertical="top" wrapText="1"/>
      <protection locked="0"/>
    </xf>
    <xf numFmtId="8" fontId="55" fillId="0" borderId="0" xfId="3" applyNumberFormat="1" applyFont="1" applyAlignment="1" applyProtection="1">
      <alignment horizontal="left" vertical="top" wrapText="1"/>
      <protection locked="0"/>
    </xf>
    <xf numFmtId="0" fontId="55" fillId="0" borderId="0" xfId="3" applyFont="1" applyBorder="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0">
    <tabColor indexed="39"/>
  </sheetPr>
  <dimension ref="A1:L82"/>
  <sheetViews>
    <sheetView showGridLines="0" defaultGridColor="0" colorId="8" zoomScale="110" zoomScaleNormal="110" workbookViewId="0">
      <selection activeCell="D78" sqref="D7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1942" t="s">
        <v>665</v>
      </c>
      <c r="B3" s="1943"/>
      <c r="C3" s="1943"/>
      <c r="D3" s="1944"/>
    </row>
    <row r="4" spans="1:4" x14ac:dyDescent="0.2">
      <c r="A4" s="1152" t="s">
        <v>1692</v>
      </c>
      <c r="B4" s="1153"/>
      <c r="C4" s="1154"/>
      <c r="D4" s="1155"/>
    </row>
    <row r="5" spans="1:4" ht="21" customHeight="1" x14ac:dyDescent="0.2">
      <c r="A5" s="1148"/>
      <c r="B5" s="1149">
        <v>1</v>
      </c>
      <c r="C5" s="1150" t="s">
        <v>1829</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1953" t="s">
        <v>1504</v>
      </c>
      <c r="D7" s="1954"/>
    </row>
    <row r="8" spans="1:4" s="668" customFormat="1" ht="12.75" x14ac:dyDescent="0.2">
      <c r="A8" s="1138"/>
      <c r="B8" s="1093"/>
      <c r="C8" s="1096" t="s">
        <v>1503</v>
      </c>
      <c r="D8" s="1097"/>
    </row>
    <row r="9" spans="1:4" s="668" customFormat="1" ht="14.25" customHeight="1" x14ac:dyDescent="0.2">
      <c r="A9" s="1138"/>
      <c r="B9" s="1093">
        <f>B7+1</f>
        <v>4</v>
      </c>
      <c r="C9" s="1094" t="s">
        <v>1906</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1945" t="s">
        <v>1008</v>
      </c>
      <c r="B15" s="1946"/>
      <c r="C15" s="1946"/>
      <c r="D15" s="1947"/>
    </row>
    <row r="16" spans="1:4" s="668" customFormat="1" ht="24" customHeight="1" x14ac:dyDescent="0.2">
      <c r="A16" s="1948" t="s">
        <v>663</v>
      </c>
      <c r="B16" s="1949"/>
      <c r="C16" s="1949"/>
      <c r="D16" s="195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1957" t="s">
        <v>314</v>
      </c>
      <c r="D21" s="1958"/>
    </row>
    <row r="22" spans="1:10" ht="12.75" x14ac:dyDescent="0.2">
      <c r="A22" s="1139"/>
      <c r="B22" s="1140">
        <v>2</v>
      </c>
      <c r="C22" s="1955" t="s">
        <v>1524</v>
      </c>
      <c r="D22" s="195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1959" t="s">
        <v>536</v>
      </c>
      <c r="D43" s="196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1951" t="s">
        <v>784</v>
      </c>
      <c r="D56" s="195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1907</v>
      </c>
      <c r="D66" s="1125"/>
    </row>
    <row r="67" spans="1:4" x14ac:dyDescent="0.2">
      <c r="A67" s="1119"/>
      <c r="B67" s="1140"/>
      <c r="C67" s="1147" t="s">
        <v>1021</v>
      </c>
      <c r="D67" s="1125"/>
    </row>
    <row r="68" spans="1:4" x14ac:dyDescent="0.2">
      <c r="A68" s="1100"/>
      <c r="B68" s="1110"/>
      <c r="C68" s="1102" t="s">
        <v>1908</v>
      </c>
      <c r="D68" s="1124" t="str">
        <f>IF('Short-Term Long-Term Debt 24'!F49=SUM(,'Acct Summary 7-8'!C33:K33),"OK","ERROR!")</f>
        <v>OK</v>
      </c>
    </row>
    <row r="69" spans="1:4" x14ac:dyDescent="0.2">
      <c r="A69" s="1100"/>
      <c r="B69" s="1110"/>
      <c r="C69" s="1102" t="s">
        <v>1909</v>
      </c>
      <c r="D69" s="1124" t="str">
        <f>IF('Expenditures 15-22'!H170&lt;&gt;'Short-Term Long-Term Debt 24'!H49,"ERROR!","OK")</f>
        <v>OK</v>
      </c>
    </row>
    <row r="70" spans="1:4" x14ac:dyDescent="0.2">
      <c r="A70" s="1098"/>
      <c r="B70" s="1120">
        <f>B66+1</f>
        <v>9</v>
      </c>
      <c r="C70" s="1951" t="s">
        <v>1696</v>
      </c>
      <c r="D70" s="195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1910</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1911</v>
      </c>
      <c r="D78" s="1124" t="str">
        <f>IF(ISNUMBER('Acct Summary 7-8'!C9),"OK","ENTRY IS REQUIRED!")</f>
        <v>OK</v>
      </c>
    </row>
    <row r="79" spans="1:4" x14ac:dyDescent="0.2">
      <c r="A79" s="1119"/>
      <c r="B79" s="1120">
        <f>B74+1+1</f>
        <v>12</v>
      </c>
      <c r="C79" s="1130" t="s">
        <v>1896</v>
      </c>
      <c r="D79" s="1131" t="str">
        <f>IF(OR(COVER!$B$6="X",'PCTC-OEPP 27-28'!F78&gt;0),"OK","PLEASE ENTER 9 MO ADA.")</f>
        <v>OK</v>
      </c>
    </row>
    <row r="80" spans="1:4" x14ac:dyDescent="0.2">
      <c r="A80" s="1098"/>
      <c r="B80" s="1120">
        <v>13</v>
      </c>
      <c r="C80" s="1130" t="s">
        <v>1912</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114" activePane="bottomLeft" state="frozen"/>
      <selection pane="bottomLeft" activeCell="F301" sqref="F30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4" t="s">
        <v>1796</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82" t="s">
        <v>297</v>
      </c>
      <c r="B3" s="218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1512525</v>
      </c>
      <c r="D5" s="466">
        <v>467891</v>
      </c>
      <c r="E5" s="466">
        <v>90642</v>
      </c>
      <c r="F5" s="466">
        <v>184665</v>
      </c>
      <c r="G5" s="466"/>
      <c r="H5" s="466"/>
      <c r="I5" s="467"/>
      <c r="J5" s="467"/>
      <c r="K5" s="1671">
        <f>SUM(C5:J5)</f>
        <v>2255723</v>
      </c>
      <c r="L5" s="466">
        <v>2224718</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120500</v>
      </c>
      <c r="D7" s="467">
        <v>36110</v>
      </c>
      <c r="E7" s="467">
        <v>6336</v>
      </c>
      <c r="F7" s="467">
        <f>-9448+1875+26945</f>
        <v>19372</v>
      </c>
      <c r="G7" s="467">
        <v>9448</v>
      </c>
      <c r="H7" s="467"/>
      <c r="I7" s="467"/>
      <c r="J7" s="467"/>
      <c r="K7" s="1671">
        <f t="shared" ref="K7:K32" si="0">SUM(C7:J7)</f>
        <v>191766</v>
      </c>
      <c r="L7" s="466">
        <v>190623</v>
      </c>
    </row>
    <row r="8" spans="1:14" x14ac:dyDescent="0.2">
      <c r="A8" s="1504" t="s">
        <v>164</v>
      </c>
      <c r="B8" s="614">
        <v>1200</v>
      </c>
      <c r="C8" s="466">
        <v>403454</v>
      </c>
      <c r="D8" s="466">
        <v>46258</v>
      </c>
      <c r="E8" s="466">
        <v>1534</v>
      </c>
      <c r="F8" s="466">
        <v>4037</v>
      </c>
      <c r="G8" s="466"/>
      <c r="H8" s="466"/>
      <c r="I8" s="467"/>
      <c r="J8" s="467"/>
      <c r="K8" s="1671">
        <f t="shared" si="0"/>
        <v>455283</v>
      </c>
      <c r="L8" s="466">
        <v>457264</v>
      </c>
    </row>
    <row r="9" spans="1:14" x14ac:dyDescent="0.2">
      <c r="A9" s="1504" t="s">
        <v>721</v>
      </c>
      <c r="B9" s="614" t="s">
        <v>968</v>
      </c>
      <c r="C9" s="467">
        <v>5575</v>
      </c>
      <c r="D9" s="467">
        <v>1113</v>
      </c>
      <c r="E9" s="467"/>
      <c r="F9" s="467"/>
      <c r="G9" s="467"/>
      <c r="H9" s="467"/>
      <c r="I9" s="467"/>
      <c r="J9" s="467"/>
      <c r="K9" s="1671">
        <f t="shared" si="0"/>
        <v>6688</v>
      </c>
      <c r="L9" s="466">
        <v>6688</v>
      </c>
    </row>
    <row r="10" spans="1:14" x14ac:dyDescent="0.2">
      <c r="A10" s="1504" t="s">
        <v>722</v>
      </c>
      <c r="B10" s="614">
        <v>1250</v>
      </c>
      <c r="C10" s="466">
        <v>114627</v>
      </c>
      <c r="D10" s="466">
        <v>32593</v>
      </c>
      <c r="E10" s="466">
        <v>5265</v>
      </c>
      <c r="F10" s="466">
        <v>22902</v>
      </c>
      <c r="G10" s="466"/>
      <c r="H10" s="466"/>
      <c r="I10" s="467"/>
      <c r="J10" s="467"/>
      <c r="K10" s="1671">
        <f t="shared" si="0"/>
        <v>175387</v>
      </c>
      <c r="L10" s="466">
        <v>214191</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117642</v>
      </c>
      <c r="D13" s="466">
        <v>34350</v>
      </c>
      <c r="E13" s="466">
        <v>4825</v>
      </c>
      <c r="F13" s="466">
        <v>12216</v>
      </c>
      <c r="G13" s="466"/>
      <c r="H13" s="466"/>
      <c r="I13" s="467"/>
      <c r="J13" s="467"/>
      <c r="K13" s="1671">
        <f t="shared" si="0"/>
        <v>169033</v>
      </c>
      <c r="L13" s="466">
        <v>165610</v>
      </c>
    </row>
    <row r="14" spans="1:14" x14ac:dyDescent="0.2">
      <c r="A14" s="1504" t="s">
        <v>963</v>
      </c>
      <c r="B14" s="614">
        <v>1500</v>
      </c>
      <c r="C14" s="466">
        <v>57220</v>
      </c>
      <c r="D14" s="466">
        <v>6206</v>
      </c>
      <c r="E14" s="466">
        <v>14571</v>
      </c>
      <c r="F14" s="466">
        <v>19863</v>
      </c>
      <c r="G14" s="466"/>
      <c r="H14" s="466"/>
      <c r="I14" s="467"/>
      <c r="J14" s="467"/>
      <c r="K14" s="1671">
        <f t="shared" si="0"/>
        <v>97860</v>
      </c>
      <c r="L14" s="466">
        <v>102315</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v>8043</v>
      </c>
      <c r="I19" s="467"/>
      <c r="J19" s="467"/>
      <c r="K19" s="1671">
        <f t="shared" si="0"/>
        <v>8043</v>
      </c>
      <c r="L19" s="466">
        <v>8043</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2331543</v>
      </c>
      <c r="D33" s="1670">
        <f t="shared" ref="D33:L33" si="1">SUM(D5:D32)</f>
        <v>624521</v>
      </c>
      <c r="E33" s="1670">
        <f t="shared" si="1"/>
        <v>123173</v>
      </c>
      <c r="F33" s="1670">
        <f t="shared" si="1"/>
        <v>263055</v>
      </c>
      <c r="G33" s="1670">
        <f t="shared" si="1"/>
        <v>9448</v>
      </c>
      <c r="H33" s="1670">
        <f t="shared" si="1"/>
        <v>8043</v>
      </c>
      <c r="I33" s="1670">
        <f t="shared" si="1"/>
        <v>0</v>
      </c>
      <c r="J33" s="1670">
        <f t="shared" si="1"/>
        <v>0</v>
      </c>
      <c r="K33" s="1670">
        <f t="shared" si="1"/>
        <v>3359783</v>
      </c>
      <c r="L33" s="1670">
        <f t="shared" si="1"/>
        <v>3369452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47365</v>
      </c>
      <c r="D36" s="481">
        <v>12979</v>
      </c>
      <c r="E36" s="481">
        <v>437</v>
      </c>
      <c r="F36" s="481"/>
      <c r="G36" s="481"/>
      <c r="H36" s="481"/>
      <c r="I36" s="467"/>
      <c r="J36" s="467"/>
      <c r="K36" s="1671">
        <f t="shared" ref="K36:K41" si="2">SUM(C36:J36)</f>
        <v>60781</v>
      </c>
      <c r="L36" s="466">
        <v>60696</v>
      </c>
    </row>
    <row r="37" spans="1:14" x14ac:dyDescent="0.2">
      <c r="A37" s="1504" t="s">
        <v>1090</v>
      </c>
      <c r="B37" s="614">
        <v>2120</v>
      </c>
      <c r="C37" s="466">
        <v>43631</v>
      </c>
      <c r="D37" s="466">
        <v>12525</v>
      </c>
      <c r="E37" s="466">
        <v>299</v>
      </c>
      <c r="F37" s="466"/>
      <c r="G37" s="466"/>
      <c r="H37" s="466"/>
      <c r="I37" s="467"/>
      <c r="J37" s="467"/>
      <c r="K37" s="1671">
        <f t="shared" si="2"/>
        <v>56455</v>
      </c>
      <c r="L37" s="466">
        <v>56458</v>
      </c>
    </row>
    <row r="38" spans="1:14" x14ac:dyDescent="0.2">
      <c r="A38" s="1504" t="s">
        <v>198</v>
      </c>
      <c r="B38" s="614">
        <v>2130</v>
      </c>
      <c r="C38" s="466">
        <v>37147</v>
      </c>
      <c r="D38" s="466">
        <v>504</v>
      </c>
      <c r="E38" s="466">
        <v>357</v>
      </c>
      <c r="F38" s="466">
        <v>2150</v>
      </c>
      <c r="G38" s="466"/>
      <c r="H38" s="466"/>
      <c r="I38" s="467"/>
      <c r="J38" s="467"/>
      <c r="K38" s="1671">
        <f t="shared" si="2"/>
        <v>40158</v>
      </c>
      <c r="L38" s="466">
        <v>40239</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44200</v>
      </c>
      <c r="D40" s="466">
        <v>5964</v>
      </c>
      <c r="E40" s="466">
        <v>378</v>
      </c>
      <c r="F40" s="466">
        <v>1077</v>
      </c>
      <c r="G40" s="466"/>
      <c r="H40" s="466"/>
      <c r="I40" s="467"/>
      <c r="J40" s="467"/>
      <c r="K40" s="1671">
        <f t="shared" si="2"/>
        <v>51619</v>
      </c>
      <c r="L40" s="466">
        <v>51613</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172343</v>
      </c>
      <c r="D42" s="1670">
        <f t="shared" ref="D42:L42" si="3">SUM(D36:D41)</f>
        <v>31972</v>
      </c>
      <c r="E42" s="1670">
        <f t="shared" si="3"/>
        <v>1471</v>
      </c>
      <c r="F42" s="1670">
        <f t="shared" si="3"/>
        <v>3227</v>
      </c>
      <c r="G42" s="1670">
        <f t="shared" si="3"/>
        <v>0</v>
      </c>
      <c r="H42" s="1670">
        <f t="shared" si="3"/>
        <v>0</v>
      </c>
      <c r="I42" s="1670">
        <f t="shared" si="3"/>
        <v>0</v>
      </c>
      <c r="J42" s="1670">
        <f t="shared" si="3"/>
        <v>0</v>
      </c>
      <c r="K42" s="1670">
        <f t="shared" si="3"/>
        <v>209013</v>
      </c>
      <c r="L42" s="1670">
        <f t="shared" si="3"/>
        <v>209006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v>1350</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0</v>
      </c>
      <c r="F47" s="1670">
        <f t="shared" si="4"/>
        <v>0</v>
      </c>
      <c r="G47" s="1670">
        <f t="shared" si="4"/>
        <v>0</v>
      </c>
      <c r="H47" s="1670">
        <f t="shared" si="4"/>
        <v>0</v>
      </c>
      <c r="I47" s="1670">
        <f t="shared" si="4"/>
        <v>0</v>
      </c>
      <c r="J47" s="1670">
        <f t="shared" si="4"/>
        <v>0</v>
      </c>
      <c r="K47" s="1670">
        <f t="shared" si="4"/>
        <v>0</v>
      </c>
      <c r="L47" s="1670">
        <f>SUM(L44:L46)</f>
        <v>1350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v>19792</v>
      </c>
      <c r="E49" s="481">
        <v>60946</v>
      </c>
      <c r="F49" s="481">
        <v>814</v>
      </c>
      <c r="G49" s="481"/>
      <c r="H49" s="481">
        <v>3279</v>
      </c>
      <c r="I49" s="467"/>
      <c r="J49" s="467"/>
      <c r="K49" s="1672">
        <f>SUM(C49:J49)</f>
        <v>84831</v>
      </c>
      <c r="L49" s="481">
        <v>84831</v>
      </c>
    </row>
    <row r="50" spans="1:14" x14ac:dyDescent="0.2">
      <c r="A50" s="1504" t="s">
        <v>818</v>
      </c>
      <c r="B50" s="614">
        <v>2320</v>
      </c>
      <c r="C50" s="466">
        <v>87354</v>
      </c>
      <c r="D50" s="466">
        <v>17809</v>
      </c>
      <c r="E50" s="466">
        <v>14580</v>
      </c>
      <c r="F50" s="466">
        <v>1007</v>
      </c>
      <c r="G50" s="466"/>
      <c r="H50" s="466">
        <v>659</v>
      </c>
      <c r="I50" s="467"/>
      <c r="J50" s="467"/>
      <c r="K50" s="1672">
        <f>SUM(C50:J50)</f>
        <v>121409</v>
      </c>
      <c r="L50" s="466">
        <v>121044</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87354</v>
      </c>
      <c r="D53" s="1670">
        <f t="shared" ref="D53:L53" si="5">SUM(D49:D52)</f>
        <v>37601</v>
      </c>
      <c r="E53" s="1670">
        <f t="shared" si="5"/>
        <v>75526</v>
      </c>
      <c r="F53" s="1670">
        <f t="shared" si="5"/>
        <v>1821</v>
      </c>
      <c r="G53" s="1670">
        <f t="shared" si="5"/>
        <v>0</v>
      </c>
      <c r="H53" s="1670">
        <f t="shared" si="5"/>
        <v>3938</v>
      </c>
      <c r="I53" s="1670">
        <f t="shared" si="5"/>
        <v>0</v>
      </c>
      <c r="J53" s="1670">
        <f t="shared" si="5"/>
        <v>0</v>
      </c>
      <c r="K53" s="1670">
        <f t="shared" si="5"/>
        <v>206240</v>
      </c>
      <c r="L53" s="1670">
        <f t="shared" si="5"/>
        <v>205875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245709</v>
      </c>
      <c r="D55" s="481">
        <v>63078</v>
      </c>
      <c r="E55" s="481">
        <v>3512</v>
      </c>
      <c r="F55" s="481"/>
      <c r="G55" s="481"/>
      <c r="H55" s="481">
        <v>290</v>
      </c>
      <c r="I55" s="467"/>
      <c r="J55" s="467"/>
      <c r="K55" s="1672">
        <f>SUM(C55:J55)</f>
        <v>312589</v>
      </c>
      <c r="L55" s="481">
        <v>313093</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245709</v>
      </c>
      <c r="D57" s="1674">
        <f t="shared" ref="D57:K57" si="6">SUM(D55:D56)</f>
        <v>63078</v>
      </c>
      <c r="E57" s="1674">
        <f t="shared" si="6"/>
        <v>3512</v>
      </c>
      <c r="F57" s="1674">
        <f t="shared" si="6"/>
        <v>0</v>
      </c>
      <c r="G57" s="1674">
        <f t="shared" si="6"/>
        <v>0</v>
      </c>
      <c r="H57" s="1674">
        <f t="shared" si="6"/>
        <v>290</v>
      </c>
      <c r="I57" s="1674">
        <f t="shared" si="6"/>
        <v>0</v>
      </c>
      <c r="J57" s="1674">
        <f t="shared" si="6"/>
        <v>0</v>
      </c>
      <c r="K57" s="1674">
        <f t="shared" si="6"/>
        <v>312589</v>
      </c>
      <c r="L57" s="1670">
        <f>SUM(L55:L56)</f>
        <v>313093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69725</v>
      </c>
      <c r="D60" s="466">
        <v>14233</v>
      </c>
      <c r="E60" s="466">
        <v>10150</v>
      </c>
      <c r="F60" s="466">
        <v>3484</v>
      </c>
      <c r="G60" s="466"/>
      <c r="H60" s="466"/>
      <c r="I60" s="467"/>
      <c r="J60" s="467"/>
      <c r="K60" s="1672">
        <f t="shared" si="7"/>
        <v>97592</v>
      </c>
      <c r="L60" s="466">
        <v>97658</v>
      </c>
      <c r="M60" s="609"/>
      <c r="N60" s="609"/>
    </row>
    <row r="61" spans="1:14" s="343" customFormat="1" x14ac:dyDescent="0.2">
      <c r="A61" s="1504" t="s">
        <v>197</v>
      </c>
      <c r="B61" s="614">
        <v>2540</v>
      </c>
      <c r="C61" s="466">
        <v>188768</v>
      </c>
      <c r="D61" s="466">
        <v>34911</v>
      </c>
      <c r="E61" s="466">
        <f>43236-5150</f>
        <v>38086</v>
      </c>
      <c r="F61" s="466">
        <f>74343-5912</f>
        <v>68431</v>
      </c>
      <c r="G61" s="466">
        <f>5150+5912</f>
        <v>11062</v>
      </c>
      <c r="H61" s="466"/>
      <c r="I61" s="467"/>
      <c r="J61" s="467"/>
      <c r="K61" s="1672">
        <f t="shared" si="7"/>
        <v>341258</v>
      </c>
      <c r="L61" s="466">
        <v>340454</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89790</v>
      </c>
      <c r="D63" s="466">
        <v>26202</v>
      </c>
      <c r="E63" s="466">
        <v>17384</v>
      </c>
      <c r="F63" s="466">
        <v>208254</v>
      </c>
      <c r="G63" s="466"/>
      <c r="H63" s="466"/>
      <c r="I63" s="467"/>
      <c r="J63" s="467"/>
      <c r="K63" s="1672">
        <f t="shared" si="7"/>
        <v>341630</v>
      </c>
      <c r="L63" s="466">
        <v>341976</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348283</v>
      </c>
      <c r="D65" s="1670">
        <f t="shared" ref="D65:L65" si="8">SUM(D59:D64)</f>
        <v>75346</v>
      </c>
      <c r="E65" s="1670">
        <f t="shared" si="8"/>
        <v>65620</v>
      </c>
      <c r="F65" s="1670">
        <f t="shared" si="8"/>
        <v>280169</v>
      </c>
      <c r="G65" s="1670">
        <f t="shared" si="8"/>
        <v>11062</v>
      </c>
      <c r="H65" s="1670">
        <f t="shared" si="8"/>
        <v>0</v>
      </c>
      <c r="I65" s="1670">
        <f t="shared" si="8"/>
        <v>0</v>
      </c>
      <c r="J65" s="1670">
        <f t="shared" si="8"/>
        <v>0</v>
      </c>
      <c r="K65" s="1670">
        <f t="shared" si="8"/>
        <v>780480</v>
      </c>
      <c r="L65" s="1670">
        <f t="shared" si="8"/>
        <v>780088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v>40070</v>
      </c>
      <c r="D71" s="466">
        <v>7230</v>
      </c>
      <c r="E71" s="466">
        <v>134</v>
      </c>
      <c r="F71" s="466"/>
      <c r="G71" s="466"/>
      <c r="H71" s="466"/>
      <c r="I71" s="467"/>
      <c r="J71" s="467"/>
      <c r="K71" s="1672">
        <f>SUM(C71:J71)</f>
        <v>47434</v>
      </c>
      <c r="L71" s="466">
        <v>47468</v>
      </c>
      <c r="M71" s="609"/>
      <c r="N71" s="609"/>
    </row>
    <row r="72" spans="1:14" s="343" customFormat="1" ht="12.75" customHeight="1" thickBot="1" x14ac:dyDescent="0.25">
      <c r="A72" s="1668" t="s">
        <v>37</v>
      </c>
      <c r="B72" s="1675" t="s">
        <v>36</v>
      </c>
      <c r="C72" s="1670">
        <f>SUM(C67:C71)</f>
        <v>40070</v>
      </c>
      <c r="D72" s="1670">
        <f t="shared" ref="D72:K72" si="9">SUM(D67:D71)</f>
        <v>7230</v>
      </c>
      <c r="E72" s="1670">
        <f t="shared" si="9"/>
        <v>134</v>
      </c>
      <c r="F72" s="1670">
        <f t="shared" si="9"/>
        <v>0</v>
      </c>
      <c r="G72" s="1670">
        <f t="shared" si="9"/>
        <v>0</v>
      </c>
      <c r="H72" s="1670">
        <f t="shared" si="9"/>
        <v>0</v>
      </c>
      <c r="I72" s="1670">
        <f t="shared" si="9"/>
        <v>0</v>
      </c>
      <c r="J72" s="1670">
        <f t="shared" si="9"/>
        <v>0</v>
      </c>
      <c r="K72" s="1670">
        <f t="shared" si="9"/>
        <v>47434</v>
      </c>
      <c r="L72" s="1670">
        <f>SUM(L67:L71)</f>
        <v>47468</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3984</v>
      </c>
      <c r="M73" s="609"/>
      <c r="N73" s="609"/>
    </row>
    <row r="74" spans="1:14" ht="12.75" customHeight="1" thickTop="1" thickBot="1" x14ac:dyDescent="0.25">
      <c r="A74" s="1668" t="s">
        <v>811</v>
      </c>
      <c r="B74" s="1676">
        <v>2000</v>
      </c>
      <c r="C74" s="1677">
        <f>SUM(C42,C47,C53,C57,C65,C72,C73)</f>
        <v>893759</v>
      </c>
      <c r="D74" s="1677">
        <f t="shared" ref="D74:K74" si="10">SUM(D42,D47,D53,D57,D65,D72,D73)</f>
        <v>215227</v>
      </c>
      <c r="E74" s="1677">
        <f t="shared" si="10"/>
        <v>146263</v>
      </c>
      <c r="F74" s="1677">
        <f t="shared" si="10"/>
        <v>285217</v>
      </c>
      <c r="G74" s="1677">
        <f t="shared" si="10"/>
        <v>11062</v>
      </c>
      <c r="H74" s="1677">
        <f t="shared" si="10"/>
        <v>4228</v>
      </c>
      <c r="I74" s="1677">
        <f t="shared" si="10"/>
        <v>0</v>
      </c>
      <c r="J74" s="1677">
        <f t="shared" si="10"/>
        <v>0</v>
      </c>
      <c r="K74" s="1677">
        <f t="shared" si="10"/>
        <v>1555756</v>
      </c>
      <c r="L74" s="1677">
        <f>SUM(L42,L47,L53,L57,L65,L72,L73)</f>
        <v>1560864</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8632</v>
      </c>
    </row>
    <row r="79" spans="1:14" x14ac:dyDescent="0.2">
      <c r="A79" s="1504" t="s">
        <v>304</v>
      </c>
      <c r="B79" s="614">
        <v>4120</v>
      </c>
      <c r="C79" s="616"/>
      <c r="D79" s="616"/>
      <c r="E79" s="466">
        <v>17708</v>
      </c>
      <c r="F79" s="616"/>
      <c r="G79" s="616"/>
      <c r="H79" s="466">
        <v>240970</v>
      </c>
      <c r="I79" s="477"/>
      <c r="J79" s="477"/>
      <c r="K79" s="1671">
        <f t="shared" si="11"/>
        <v>258678</v>
      </c>
      <c r="L79" s="466">
        <v>275911</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17708</v>
      </c>
      <c r="F84" s="616"/>
      <c r="G84" s="616"/>
      <c r="H84" s="1670">
        <f>SUM(H78:H83)</f>
        <v>240970</v>
      </c>
      <c r="I84" s="477"/>
      <c r="J84" s="477"/>
      <c r="K84" s="1670">
        <f>SUM(K78:K83)</f>
        <v>258678</v>
      </c>
      <c r="L84" s="1670">
        <f>SUM(L78:L83)</f>
        <v>284543</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17708</v>
      </c>
      <c r="F102" s="616"/>
      <c r="G102" s="616"/>
      <c r="H102" s="1677">
        <f>SUM(H84,H92,H100,H101)</f>
        <v>240970</v>
      </c>
      <c r="I102" s="477"/>
      <c r="J102" s="477"/>
      <c r="K102" s="1677">
        <f>SUM(K84,K92,K100,K101)</f>
        <v>258678</v>
      </c>
      <c r="L102" s="1677">
        <f>SUM(L84,L92,L100,L101)</f>
        <v>284543</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3225302</v>
      </c>
      <c r="D114" s="1670">
        <f t="shared" ref="D114:K114" si="13">SUM(D33,D74,D75,D102,D112,D113)</f>
        <v>839748</v>
      </c>
      <c r="E114" s="1670">
        <f t="shared" si="13"/>
        <v>287144</v>
      </c>
      <c r="F114" s="1670">
        <f t="shared" si="13"/>
        <v>548272</v>
      </c>
      <c r="G114" s="1670">
        <f t="shared" si="13"/>
        <v>20510</v>
      </c>
      <c r="H114" s="1670">
        <f>SUM(H33,H74,H75,H102,H112,H113)</f>
        <v>253241</v>
      </c>
      <c r="I114" s="1670">
        <f t="shared" si="13"/>
        <v>0</v>
      </c>
      <c r="J114" s="1670">
        <f t="shared" si="13"/>
        <v>0</v>
      </c>
      <c r="K114" s="1670">
        <f t="shared" si="13"/>
        <v>5174217</v>
      </c>
      <c r="L114" s="1670">
        <f>SUM(L33,L74,L75,L102,L112,L113)</f>
        <v>5214859</v>
      </c>
    </row>
    <row r="115" spans="1:14" ht="13.5" thickTop="1" x14ac:dyDescent="0.2">
      <c r="A115" s="2201" t="s">
        <v>996</v>
      </c>
      <c r="B115" s="2202"/>
      <c r="C115" s="618"/>
      <c r="D115" s="618"/>
      <c r="E115" s="618"/>
      <c r="F115" s="618"/>
      <c r="G115" s="618"/>
      <c r="H115" s="618"/>
      <c r="I115" s="618"/>
      <c r="J115" s="618"/>
      <c r="K115" s="1684">
        <f>'Revenues 9-14'!C268-'Expenditures 15-22'!K114</f>
        <v>308853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9" t="s">
        <v>296</v>
      </c>
      <c r="B117" s="218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2053</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v>74683</v>
      </c>
      <c r="F124" s="466">
        <v>159485</v>
      </c>
      <c r="G124" s="466"/>
      <c r="H124" s="466"/>
      <c r="I124" s="467"/>
      <c r="J124" s="467"/>
      <c r="K124" s="1670">
        <f>SUM(C124:J124)</f>
        <v>234168</v>
      </c>
      <c r="L124" s="466">
        <v>223928</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74683</v>
      </c>
      <c r="F127" s="1670">
        <f t="shared" si="14"/>
        <v>159485</v>
      </c>
      <c r="G127" s="1670">
        <f t="shared" si="14"/>
        <v>0</v>
      </c>
      <c r="H127" s="1670">
        <f t="shared" si="14"/>
        <v>0</v>
      </c>
      <c r="I127" s="1670">
        <f t="shared" si="14"/>
        <v>0</v>
      </c>
      <c r="J127" s="1670">
        <f t="shared" si="14"/>
        <v>0</v>
      </c>
      <c r="K127" s="1670">
        <f t="shared" si="14"/>
        <v>234168</v>
      </c>
      <c r="L127" s="1670">
        <f t="shared" si="14"/>
        <v>223928</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74683</v>
      </c>
      <c r="F129" s="1677">
        <f t="shared" si="15"/>
        <v>159485</v>
      </c>
      <c r="G129" s="1677">
        <f t="shared" si="15"/>
        <v>0</v>
      </c>
      <c r="H129" s="1677">
        <f t="shared" si="15"/>
        <v>0</v>
      </c>
      <c r="I129" s="1677">
        <f t="shared" si="15"/>
        <v>0</v>
      </c>
      <c r="J129" s="1677">
        <f t="shared" si="15"/>
        <v>0</v>
      </c>
      <c r="K129" s="1677">
        <f t="shared" si="15"/>
        <v>234168</v>
      </c>
      <c r="L129" s="1677">
        <f t="shared" si="15"/>
        <v>223928</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1838</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91" t="s">
        <v>620</v>
      </c>
      <c r="B151" s="2173"/>
      <c r="C151" s="1670">
        <f>SUM(C129,C130,C139,C149,C150)</f>
        <v>0</v>
      </c>
      <c r="D151" s="1670">
        <f t="shared" ref="D151:K151" si="16">SUM(D129,D130,D139,D149,D150)</f>
        <v>0</v>
      </c>
      <c r="E151" s="1670">
        <f t="shared" si="16"/>
        <v>74683</v>
      </c>
      <c r="F151" s="1670">
        <f t="shared" si="16"/>
        <v>159485</v>
      </c>
      <c r="G151" s="1670">
        <f t="shared" si="16"/>
        <v>0</v>
      </c>
      <c r="H151" s="1670">
        <f t="shared" si="16"/>
        <v>0</v>
      </c>
      <c r="I151" s="1670">
        <f t="shared" si="16"/>
        <v>0</v>
      </c>
      <c r="J151" s="1670">
        <f t="shared" si="16"/>
        <v>0</v>
      </c>
      <c r="K151" s="1670">
        <f t="shared" si="16"/>
        <v>234168</v>
      </c>
      <c r="L151" s="1670">
        <f>SUM(L129,L130,L139,L149,L150)</f>
        <v>223928</v>
      </c>
    </row>
    <row r="152" spans="1:14" ht="12.75" customHeight="1" thickTop="1" x14ac:dyDescent="0.2">
      <c r="A152" s="2194" t="s">
        <v>1178</v>
      </c>
      <c r="B152" s="2195"/>
      <c r="C152" s="618"/>
      <c r="D152" s="618"/>
      <c r="E152" s="618"/>
      <c r="F152" s="618"/>
      <c r="G152" s="618"/>
      <c r="H152" s="618"/>
      <c r="I152" s="618"/>
      <c r="J152" s="616"/>
      <c r="K152" s="1684">
        <f>'Revenues 9-14'!D268-'Expenditures 15-22'!K151</f>
        <v>6350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9" t="s">
        <v>621</v>
      </c>
      <c r="B154" s="218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1839</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1838</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1840</v>
      </c>
      <c r="C158" s="616"/>
      <c r="D158" s="616"/>
      <c r="E158" s="616"/>
      <c r="F158" s="616"/>
      <c r="G158" s="616"/>
      <c r="H158" s="467"/>
      <c r="I158" s="616"/>
      <c r="J158" s="616"/>
      <c r="K158" s="1671">
        <f>H158</f>
        <v>0</v>
      </c>
      <c r="L158" s="467"/>
      <c r="M158" s="619"/>
      <c r="N158" s="619"/>
    </row>
    <row r="159" spans="1:14" s="620" customFormat="1" ht="12" x14ac:dyDescent="0.2">
      <c r="A159" s="1826" t="s">
        <v>1841</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1842</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37653</v>
      </c>
      <c r="I169" s="616"/>
      <c r="J169" s="616"/>
      <c r="K169" s="1671">
        <f>SUM(C169:H169)</f>
        <v>37653</v>
      </c>
      <c r="L169" s="656">
        <f>31893+5760</f>
        <v>37653</v>
      </c>
    </row>
    <row r="170" spans="1:14" ht="33.75" customHeight="1" x14ac:dyDescent="0.2">
      <c r="A170" s="669" t="s">
        <v>1670</v>
      </c>
      <c r="B170" s="671" t="s">
        <v>31</v>
      </c>
      <c r="C170" s="616"/>
      <c r="D170" s="616"/>
      <c r="E170" s="616"/>
      <c r="F170" s="616"/>
      <c r="G170" s="616"/>
      <c r="H170" s="569">
        <v>316000</v>
      </c>
      <c r="I170" s="616"/>
      <c r="J170" s="616"/>
      <c r="K170" s="1671">
        <f>SUM(C170:J170)</f>
        <v>316000</v>
      </c>
      <c r="L170" s="569">
        <f>150000+166000</f>
        <v>316000</v>
      </c>
    </row>
    <row r="171" spans="1:14" ht="15.75" customHeight="1" x14ac:dyDescent="0.2">
      <c r="A171" s="621" t="s">
        <v>766</v>
      </c>
      <c r="B171" s="672" t="s">
        <v>84</v>
      </c>
      <c r="C171" s="616"/>
      <c r="D171" s="616"/>
      <c r="E171" s="466">
        <v>636</v>
      </c>
      <c r="F171" s="616"/>
      <c r="G171" s="616"/>
      <c r="H171" s="569"/>
      <c r="I171" s="477"/>
      <c r="J171" s="616"/>
      <c r="K171" s="1671">
        <f>SUM(C171:J171)</f>
        <v>636</v>
      </c>
      <c r="L171" s="569">
        <v>636</v>
      </c>
    </row>
    <row r="172" spans="1:14" ht="12.75" customHeight="1" thickBot="1" x14ac:dyDescent="0.25">
      <c r="A172" s="1668" t="s">
        <v>638</v>
      </c>
      <c r="B172" s="1669" t="s">
        <v>492</v>
      </c>
      <c r="C172" s="616"/>
      <c r="D172" s="616"/>
      <c r="E172" s="1677">
        <f>SUM(E168,E169,E170,E171)</f>
        <v>636</v>
      </c>
      <c r="F172" s="616"/>
      <c r="G172" s="616"/>
      <c r="H172" s="1677">
        <f>SUM(H168,H169,H170,H171)</f>
        <v>353653</v>
      </c>
      <c r="I172" s="638"/>
      <c r="J172" s="616"/>
      <c r="K172" s="1677">
        <f>SUM(K168,K169,K170,K171)</f>
        <v>354289</v>
      </c>
      <c r="L172" s="1677">
        <f>SUM(L168,L169,L170,L171)</f>
        <v>354289</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636</v>
      </c>
      <c r="F174" s="616"/>
      <c r="G174" s="616"/>
      <c r="H174" s="1677">
        <f>SUM(H160,H172,H173)</f>
        <v>353653</v>
      </c>
      <c r="I174" s="638"/>
      <c r="J174" s="616"/>
      <c r="K174" s="1677">
        <f>SUM(K160,K172,K173)</f>
        <v>354289</v>
      </c>
      <c r="L174" s="1677">
        <f>SUM(L160,L172,L173)</f>
        <v>354289</v>
      </c>
    </row>
    <row r="175" spans="1:14" ht="13.5" thickTop="1" x14ac:dyDescent="0.2">
      <c r="A175" s="2201" t="s">
        <v>996</v>
      </c>
      <c r="B175" s="2202"/>
      <c r="C175" s="616"/>
      <c r="D175" s="616"/>
      <c r="E175" s="616"/>
      <c r="F175" s="616"/>
      <c r="G175" s="616"/>
      <c r="H175" s="618"/>
      <c r="I175" s="616"/>
      <c r="J175" s="616"/>
      <c r="K175" s="1684">
        <f>'Revenues 9-14'!E268-'Expenditures 15-22'!K174</f>
        <v>5729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2053</v>
      </c>
      <c r="B180" s="614" t="s">
        <v>716</v>
      </c>
      <c r="C180" s="466"/>
      <c r="D180" s="466"/>
      <c r="E180" s="466"/>
      <c r="F180" s="466"/>
      <c r="G180" s="466"/>
      <c r="H180" s="466"/>
      <c r="I180" s="467"/>
      <c r="J180" s="467"/>
      <c r="K180" s="1671">
        <f>SUM(C180:J180)</f>
        <v>0</v>
      </c>
      <c r="L180" s="466">
        <v>6204</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f>6380+20990+226732+7786</f>
        <v>261888</v>
      </c>
      <c r="D182" s="466">
        <f>1511+97+25334+238+1172+291</f>
        <v>28643</v>
      </c>
      <c r="E182" s="466">
        <f>140+770+4647+970+19218+10086</f>
        <v>35831</v>
      </c>
      <c r="F182" s="466">
        <f>67113+63326-4200-3000-1071</f>
        <v>122168</v>
      </c>
      <c r="G182" s="466">
        <f>549710+4200+3000+1071</f>
        <v>557981</v>
      </c>
      <c r="H182" s="466"/>
      <c r="I182" s="467"/>
      <c r="J182" s="467"/>
      <c r="K182" s="1671">
        <f>SUM(C182:J182)</f>
        <v>1006511</v>
      </c>
      <c r="L182" s="466">
        <v>431607</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261888</v>
      </c>
      <c r="D184" s="1677">
        <f t="shared" ref="D184:J184" si="17">SUM(D180,D182,D183)</f>
        <v>28643</v>
      </c>
      <c r="E184" s="1677">
        <f t="shared" si="17"/>
        <v>35831</v>
      </c>
      <c r="F184" s="1677">
        <f t="shared" si="17"/>
        <v>122168</v>
      </c>
      <c r="G184" s="1677">
        <f t="shared" si="17"/>
        <v>557981</v>
      </c>
      <c r="H184" s="1677">
        <f t="shared" si="17"/>
        <v>0</v>
      </c>
      <c r="I184" s="1677">
        <f t="shared" si="17"/>
        <v>0</v>
      </c>
      <c r="J184" s="1677">
        <f t="shared" si="17"/>
        <v>0</v>
      </c>
      <c r="K184" s="1677">
        <f>SUM(K180,K182,K183)</f>
        <v>1006511</v>
      </c>
      <c r="L184" s="1677">
        <f>SUM(L180, L182:L183)</f>
        <v>437811</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261888</v>
      </c>
      <c r="D210" s="1670">
        <f>SUM(D184,D185)</f>
        <v>28643</v>
      </c>
      <c r="E210" s="1670">
        <f>SUM(E184,E185,E196)</f>
        <v>35831</v>
      </c>
      <c r="F210" s="1670">
        <f>SUM(F184,F185)</f>
        <v>122168</v>
      </c>
      <c r="G210" s="1670">
        <f>SUM(G184,G185)</f>
        <v>557981</v>
      </c>
      <c r="H210" s="1670">
        <f>SUM(H184,H185,H196,H208,H209)</f>
        <v>0</v>
      </c>
      <c r="I210" s="1670">
        <f>SUM(I184,I185)</f>
        <v>0</v>
      </c>
      <c r="J210" s="1670">
        <f>SUM(J184,J185)</f>
        <v>0</v>
      </c>
      <c r="K210" s="1671">
        <f>SUM(K184,K185,K196,K208,K209)</f>
        <v>1006511</v>
      </c>
      <c r="L210" s="1670">
        <f>SUM(L184,L185,L196,L208,L209)</f>
        <v>437811</v>
      </c>
    </row>
    <row r="211" spans="1:14" ht="13.5" thickTop="1" x14ac:dyDescent="0.2">
      <c r="A211" s="2201" t="s">
        <v>996</v>
      </c>
      <c r="B211" s="2202"/>
      <c r="C211" s="618"/>
      <c r="D211" s="618"/>
      <c r="E211" s="618"/>
      <c r="F211" s="618"/>
      <c r="G211" s="618"/>
      <c r="H211" s="618"/>
      <c r="I211" s="616"/>
      <c r="J211" s="616"/>
      <c r="K211" s="1684">
        <f>'Revenues 9-14'!F268-'Expenditures 15-22'!K210</f>
        <v>-541650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6" t="s">
        <v>965</v>
      </c>
      <c r="B213" s="219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34878</v>
      </c>
      <c r="E215" s="616"/>
      <c r="F215" s="616"/>
      <c r="G215" s="616"/>
      <c r="H215" s="616"/>
      <c r="I215" s="616"/>
      <c r="J215" s="616"/>
      <c r="K215" s="1671">
        <f>D215</f>
        <v>34878</v>
      </c>
      <c r="L215" s="466">
        <v>34950</v>
      </c>
    </row>
    <row r="216" spans="1:14" x14ac:dyDescent="0.2">
      <c r="A216" s="1504" t="s">
        <v>163</v>
      </c>
      <c r="B216" s="614" t="s">
        <v>967</v>
      </c>
      <c r="C216" s="616"/>
      <c r="D216" s="467">
        <v>7441</v>
      </c>
      <c r="E216" s="616"/>
      <c r="F216" s="616"/>
      <c r="G216" s="616"/>
      <c r="H216" s="616"/>
      <c r="I216" s="616"/>
      <c r="J216" s="616"/>
      <c r="K216" s="1671">
        <f t="shared" ref="K216:K228" si="19">D216</f>
        <v>7441</v>
      </c>
      <c r="L216" s="466">
        <v>7556</v>
      </c>
    </row>
    <row r="217" spans="1:14" x14ac:dyDescent="0.2">
      <c r="A217" s="1504" t="s">
        <v>164</v>
      </c>
      <c r="B217" s="614">
        <v>1200</v>
      </c>
      <c r="C217" s="616"/>
      <c r="D217" s="466">
        <v>53531</v>
      </c>
      <c r="E217" s="616"/>
      <c r="F217" s="616"/>
      <c r="G217" s="616"/>
      <c r="H217" s="616"/>
      <c r="I217" s="616"/>
      <c r="J217" s="616"/>
      <c r="K217" s="1671">
        <f t="shared" si="19"/>
        <v>53531</v>
      </c>
      <c r="L217" s="466">
        <v>54568</v>
      </c>
    </row>
    <row r="218" spans="1:14" x14ac:dyDescent="0.2">
      <c r="A218" s="1504" t="s">
        <v>278</v>
      </c>
      <c r="B218" s="614" t="s">
        <v>968</v>
      </c>
      <c r="C218" s="616"/>
      <c r="D218" s="467">
        <v>1453</v>
      </c>
      <c r="E218" s="616"/>
      <c r="F218" s="616"/>
      <c r="G218" s="616"/>
      <c r="H218" s="616"/>
      <c r="I218" s="616"/>
      <c r="J218" s="616"/>
      <c r="K218" s="1671">
        <f t="shared" si="19"/>
        <v>1453</v>
      </c>
      <c r="L218" s="466">
        <v>81</v>
      </c>
    </row>
    <row r="219" spans="1:14" x14ac:dyDescent="0.2">
      <c r="A219" s="1504" t="s">
        <v>279</v>
      </c>
      <c r="B219" s="614">
        <v>1250</v>
      </c>
      <c r="C219" s="616"/>
      <c r="D219" s="466">
        <v>8887</v>
      </c>
      <c r="E219" s="616"/>
      <c r="F219" s="616"/>
      <c r="G219" s="616"/>
      <c r="H219" s="616"/>
      <c r="I219" s="616"/>
      <c r="J219" s="616"/>
      <c r="K219" s="1671">
        <f t="shared" si="19"/>
        <v>8887</v>
      </c>
      <c r="L219" s="466">
        <v>9138</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4100</v>
      </c>
      <c r="E222" s="616"/>
      <c r="F222" s="616"/>
      <c r="G222" s="616"/>
      <c r="H222" s="616"/>
      <c r="I222" s="616"/>
      <c r="J222" s="616"/>
      <c r="K222" s="1671">
        <f t="shared" si="19"/>
        <v>4100</v>
      </c>
      <c r="L222" s="466">
        <v>4068</v>
      </c>
    </row>
    <row r="223" spans="1:14" x14ac:dyDescent="0.2">
      <c r="A223" s="1504" t="s">
        <v>963</v>
      </c>
      <c r="B223" s="614">
        <v>1500</v>
      </c>
      <c r="C223" s="616"/>
      <c r="D223" s="466">
        <v>1530</v>
      </c>
      <c r="E223" s="616"/>
      <c r="F223" s="616"/>
      <c r="G223" s="616"/>
      <c r="H223" s="616"/>
      <c r="I223" s="616"/>
      <c r="J223" s="616"/>
      <c r="K223" s="1671">
        <f t="shared" si="19"/>
        <v>1530</v>
      </c>
      <c r="L223" s="466">
        <v>1836</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111820</v>
      </c>
      <c r="E229" s="616"/>
      <c r="F229" s="616"/>
      <c r="G229" s="616"/>
      <c r="H229" s="616"/>
      <c r="I229" s="616"/>
      <c r="J229" s="616"/>
      <c r="K229" s="1670">
        <f>SUM(K215:K228)</f>
        <v>111820</v>
      </c>
      <c r="L229" s="1670">
        <f>SUM(L215:L228)</f>
        <v>112197</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687</v>
      </c>
      <c r="E232" s="616"/>
      <c r="F232" s="616"/>
      <c r="G232" s="616"/>
      <c r="H232" s="616"/>
      <c r="I232" s="616"/>
      <c r="J232" s="616"/>
      <c r="K232" s="1671">
        <f t="shared" ref="K232:K237" si="20">D232</f>
        <v>687</v>
      </c>
      <c r="L232" s="466">
        <v>687</v>
      </c>
    </row>
    <row r="233" spans="1:12" x14ac:dyDescent="0.2">
      <c r="A233" s="1504" t="s">
        <v>1090</v>
      </c>
      <c r="B233" s="614">
        <v>2120</v>
      </c>
      <c r="C233" s="616"/>
      <c r="D233" s="466">
        <v>633</v>
      </c>
      <c r="E233" s="616"/>
      <c r="F233" s="616"/>
      <c r="G233" s="616"/>
      <c r="H233" s="616"/>
      <c r="I233" s="616"/>
      <c r="J233" s="616"/>
      <c r="K233" s="1671">
        <f t="shared" si="20"/>
        <v>633</v>
      </c>
      <c r="L233" s="466">
        <v>633</v>
      </c>
    </row>
    <row r="234" spans="1:12" x14ac:dyDescent="0.2">
      <c r="A234" s="1504" t="s">
        <v>198</v>
      </c>
      <c r="B234" s="614">
        <v>2130</v>
      </c>
      <c r="C234" s="616"/>
      <c r="D234" s="466">
        <v>7485</v>
      </c>
      <c r="E234" s="616"/>
      <c r="F234" s="616"/>
      <c r="G234" s="616"/>
      <c r="H234" s="616"/>
      <c r="I234" s="616"/>
      <c r="J234" s="616"/>
      <c r="K234" s="1671">
        <f t="shared" si="20"/>
        <v>7485</v>
      </c>
      <c r="L234" s="466">
        <v>7491</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641</v>
      </c>
      <c r="E236" s="616"/>
      <c r="F236" s="616"/>
      <c r="G236" s="616"/>
      <c r="H236" s="616"/>
      <c r="I236" s="616"/>
      <c r="J236" s="616"/>
      <c r="K236" s="1671">
        <f t="shared" si="20"/>
        <v>641</v>
      </c>
      <c r="L236" s="466">
        <v>641</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9446</v>
      </c>
      <c r="E238" s="616"/>
      <c r="F238" s="616"/>
      <c r="G238" s="616"/>
      <c r="H238" s="616"/>
      <c r="I238" s="616"/>
      <c r="J238" s="616"/>
      <c r="K238" s="1670">
        <f>SUM(K232:K237)</f>
        <v>9446</v>
      </c>
      <c r="L238" s="1670">
        <f>SUM(L232:L237)</f>
        <v>9452</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1267</v>
      </c>
      <c r="E246" s="616"/>
      <c r="F246" s="616"/>
      <c r="G246" s="616"/>
      <c r="H246" s="616"/>
      <c r="I246" s="616"/>
      <c r="J246" s="616"/>
      <c r="K246" s="1672">
        <f t="shared" ref="K246:K256" si="21">D246</f>
        <v>1267</v>
      </c>
      <c r="L246" s="466">
        <v>1267</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1799</v>
      </c>
      <c r="B249" s="683" t="s">
        <v>282</v>
      </c>
      <c r="C249" s="616"/>
      <c r="D249" s="474"/>
      <c r="E249" s="616"/>
      <c r="F249" s="616"/>
      <c r="G249" s="616"/>
      <c r="H249" s="616"/>
      <c r="I249" s="616"/>
      <c r="J249" s="616"/>
      <c r="K249" s="1672">
        <f t="shared" si="21"/>
        <v>0</v>
      </c>
      <c r="L249" s="466"/>
    </row>
    <row r="250" spans="1:12" x14ac:dyDescent="0.2">
      <c r="A250" s="1505" t="s">
        <v>1800</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1267</v>
      </c>
      <c r="E257" s="616"/>
      <c r="F257" s="616"/>
      <c r="G257" s="616"/>
      <c r="H257" s="616"/>
      <c r="I257" s="616"/>
      <c r="J257" s="616"/>
      <c r="K257" s="1670">
        <f>SUM(K245:K256)</f>
        <v>1267</v>
      </c>
      <c r="L257" s="1670">
        <f>SUM(L245:L256)</f>
        <v>1267</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18748</v>
      </c>
      <c r="E259" s="616"/>
      <c r="F259" s="616"/>
      <c r="G259" s="616"/>
      <c r="H259" s="616"/>
      <c r="I259" s="616"/>
      <c r="J259" s="616"/>
      <c r="K259" s="1672">
        <f>D259</f>
        <v>18748</v>
      </c>
      <c r="L259" s="481">
        <v>18749</v>
      </c>
    </row>
    <row r="260" spans="1:14" s="597" customFormat="1" x14ac:dyDescent="0.2">
      <c r="A260" s="1522" t="s">
        <v>1798</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18748</v>
      </c>
      <c r="E261" s="616"/>
      <c r="F261" s="616"/>
      <c r="G261" s="616"/>
      <c r="H261" s="616"/>
      <c r="I261" s="616"/>
      <c r="J261" s="616"/>
      <c r="K261" s="1670">
        <f>SUM(K259:K260)</f>
        <v>18748</v>
      </c>
      <c r="L261" s="1670">
        <f>SUM(L259:L260)</f>
        <v>18749</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15412</v>
      </c>
      <c r="E264" s="616"/>
      <c r="F264" s="616"/>
      <c r="G264" s="616"/>
      <c r="H264" s="616"/>
      <c r="I264" s="616"/>
      <c r="J264" s="616"/>
      <c r="K264" s="1672">
        <f t="shared" ref="K264:K269" si="22">D264</f>
        <v>15412</v>
      </c>
      <c r="L264" s="466">
        <v>15413</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38847</v>
      </c>
      <c r="E266" s="616"/>
      <c r="F266" s="616"/>
      <c r="G266" s="616"/>
      <c r="H266" s="616"/>
      <c r="I266" s="616"/>
      <c r="J266" s="616"/>
      <c r="K266" s="1672">
        <f t="shared" si="22"/>
        <v>38847</v>
      </c>
      <c r="L266" s="466">
        <v>38761</v>
      </c>
    </row>
    <row r="267" spans="1:14" x14ac:dyDescent="0.2">
      <c r="A267" s="1504" t="s">
        <v>953</v>
      </c>
      <c r="B267" s="614">
        <v>2550</v>
      </c>
      <c r="C267" s="616"/>
      <c r="D267" s="466">
        <v>48249</v>
      </c>
      <c r="E267" s="616"/>
      <c r="F267" s="616"/>
      <c r="G267" s="616"/>
      <c r="H267" s="616"/>
      <c r="I267" s="616"/>
      <c r="J267" s="616"/>
      <c r="K267" s="1672">
        <f t="shared" si="22"/>
        <v>48249</v>
      </c>
      <c r="L267" s="466">
        <v>48326</v>
      </c>
    </row>
    <row r="268" spans="1:14" x14ac:dyDescent="0.2">
      <c r="A268" s="1504" t="s">
        <v>100</v>
      </c>
      <c r="B268" s="614">
        <v>2560</v>
      </c>
      <c r="C268" s="616"/>
      <c r="D268" s="466">
        <v>17451</v>
      </c>
      <c r="E268" s="616"/>
      <c r="F268" s="616"/>
      <c r="G268" s="616"/>
      <c r="H268" s="616"/>
      <c r="I268" s="616"/>
      <c r="J268" s="616"/>
      <c r="K268" s="1672">
        <f t="shared" si="22"/>
        <v>17451</v>
      </c>
      <c r="L268" s="466">
        <v>18801</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119959</v>
      </c>
      <c r="E270" s="616"/>
      <c r="F270" s="616"/>
      <c r="G270" s="616"/>
      <c r="H270" s="616"/>
      <c r="I270" s="616"/>
      <c r="J270" s="616"/>
      <c r="K270" s="1670">
        <f>SUM(K263:K269)</f>
        <v>119959</v>
      </c>
      <c r="L270" s="1670">
        <f>SUM(L263:L269)</f>
        <v>121301</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8874</v>
      </c>
      <c r="E276" s="616"/>
      <c r="F276" s="616"/>
      <c r="G276" s="616"/>
      <c r="H276" s="616"/>
      <c r="I276" s="616"/>
      <c r="J276" s="616"/>
      <c r="K276" s="1672">
        <f>D276</f>
        <v>8874</v>
      </c>
      <c r="L276" s="466">
        <v>8873</v>
      </c>
    </row>
    <row r="277" spans="1:12" ht="12.75" customHeight="1" thickBot="1" x14ac:dyDescent="0.25">
      <c r="A277" s="1691" t="s">
        <v>37</v>
      </c>
      <c r="B277" s="1669" t="s">
        <v>36</v>
      </c>
      <c r="C277" s="616"/>
      <c r="D277" s="1670">
        <f>SUM(D272:D276)</f>
        <v>8874</v>
      </c>
      <c r="E277" s="616"/>
      <c r="F277" s="616"/>
      <c r="G277" s="616"/>
      <c r="H277" s="616"/>
      <c r="I277" s="616"/>
      <c r="J277" s="616"/>
      <c r="K277" s="1670">
        <f>SUM(K272:K276)</f>
        <v>8874</v>
      </c>
      <c r="L277" s="1670">
        <f>SUM(L272:L276)</f>
        <v>8873</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158294</v>
      </c>
      <c r="E279" s="616"/>
      <c r="F279" s="616"/>
      <c r="G279" s="616"/>
      <c r="H279" s="616"/>
      <c r="I279" s="616"/>
      <c r="J279" s="616"/>
      <c r="K279" s="1677">
        <f>SUM(K238,K243,K257,K261,K270,K277,K278)</f>
        <v>158294</v>
      </c>
      <c r="L279" s="1677">
        <f>SUM(L238,L243,L257,L261,L270,L277,L278)</f>
        <v>159642</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1838</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92" t="s">
        <v>505</v>
      </c>
      <c r="B295" s="2193"/>
      <c r="C295" s="616"/>
      <c r="D295" s="1670">
        <f>SUM(D229,D279,D280,D285)</f>
        <v>270114</v>
      </c>
      <c r="E295" s="616"/>
      <c r="F295" s="616"/>
      <c r="G295" s="616"/>
      <c r="H295" s="1670">
        <f>H293</f>
        <v>0</v>
      </c>
      <c r="I295" s="616"/>
      <c r="J295" s="616"/>
      <c r="K295" s="1670">
        <f>SUM(K229,K279,K280,K285,K293,K294)</f>
        <v>270114</v>
      </c>
      <c r="L295" s="1670">
        <f>SUM(L229,L279,L280,L285,L293,L294)</f>
        <v>271839</v>
      </c>
    </row>
    <row r="296" spans="1:14" ht="13.5" thickTop="1" x14ac:dyDescent="0.2">
      <c r="A296" s="2201" t="s">
        <v>996</v>
      </c>
      <c r="B296" s="2202"/>
      <c r="C296" s="616"/>
      <c r="D296" s="618"/>
      <c r="E296" s="616"/>
      <c r="F296" s="616"/>
      <c r="G296" s="616"/>
      <c r="H296" s="687"/>
      <c r="I296" s="616"/>
      <c r="J296" s="616"/>
      <c r="K296" s="1684">
        <f>'Revenues 9-14'!G268-'Expenditures 15-22'!K295</f>
        <v>51427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4" t="s">
        <v>143</v>
      </c>
      <c r="B298" s="217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f>119894+114711-190368</f>
        <v>44237</v>
      </c>
      <c r="F301" s="466">
        <v>9397</v>
      </c>
      <c r="G301" s="466">
        <f>10250+36858+28592+875+3477+749+4472+12287+970+14070+19504+1819+2033+1926+15459+1753+14468+1276+19530-2</f>
        <v>190366</v>
      </c>
      <c r="H301" s="466"/>
      <c r="I301" s="467"/>
      <c r="J301" s="467"/>
      <c r="K301" s="1671">
        <f>SUM(C301:J301)</f>
        <v>244000</v>
      </c>
      <c r="L301" s="467">
        <v>244001</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44237</v>
      </c>
      <c r="F303" s="1677">
        <f t="shared" si="23"/>
        <v>9397</v>
      </c>
      <c r="G303" s="1677">
        <f t="shared" si="23"/>
        <v>190366</v>
      </c>
      <c r="H303" s="1677">
        <f t="shared" si="23"/>
        <v>0</v>
      </c>
      <c r="I303" s="1677">
        <f t="shared" si="23"/>
        <v>0</v>
      </c>
      <c r="J303" s="1677">
        <f t="shared" si="23"/>
        <v>0</v>
      </c>
      <c r="K303" s="1677">
        <f t="shared" si="23"/>
        <v>244000</v>
      </c>
      <c r="L303" s="1677">
        <f t="shared" si="23"/>
        <v>244001</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1843</v>
      </c>
      <c r="B306" s="690" t="s">
        <v>1838</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89" t="s">
        <v>277</v>
      </c>
      <c r="B312" s="2190"/>
      <c r="C312" s="1670">
        <f>SUM(C303)</f>
        <v>0</v>
      </c>
      <c r="D312" s="1670">
        <f>SUM(D303)</f>
        <v>0</v>
      </c>
      <c r="E312" s="1670">
        <f>SUM(E303,E310)</f>
        <v>44237</v>
      </c>
      <c r="F312" s="1670">
        <f>SUM(F303)</f>
        <v>9397</v>
      </c>
      <c r="G312" s="1670">
        <f>SUM(G303)</f>
        <v>190366</v>
      </c>
      <c r="H312" s="1670">
        <f>SUM(H303,H310)</f>
        <v>0</v>
      </c>
      <c r="I312" s="1670">
        <f>SUM(I303)</f>
        <v>0</v>
      </c>
      <c r="J312" s="1670">
        <f>SUM(J303)</f>
        <v>0</v>
      </c>
      <c r="K312" s="1670">
        <f>SUM(K303,K310,K311)</f>
        <v>244000</v>
      </c>
      <c r="L312" s="1670">
        <f>SUM(L303,L310,L311)</f>
        <v>244001</v>
      </c>
      <c r="M312" s="665"/>
      <c r="N312" s="665"/>
    </row>
    <row r="313" spans="1:14" ht="13.5" thickTop="1" x14ac:dyDescent="0.2">
      <c r="A313" s="2185" t="s">
        <v>996</v>
      </c>
      <c r="B313" s="2186"/>
      <c r="C313" s="626"/>
      <c r="D313" s="626"/>
      <c r="E313" s="626"/>
      <c r="F313" s="626"/>
      <c r="G313" s="626"/>
      <c r="H313" s="626"/>
      <c r="I313" s="626"/>
      <c r="J313" s="626"/>
      <c r="K313" s="1685">
        <f>'Revenues 9-14'!H268-'Expenditures 15-22'!K312</f>
        <v>-77544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8" t="s">
        <v>149</v>
      </c>
      <c r="B315" s="219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0" t="s">
        <v>898</v>
      </c>
      <c r="B317" s="219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1799</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f>92100-19218-64724-189</f>
        <v>7969</v>
      </c>
      <c r="E325" s="467"/>
      <c r="F325" s="467"/>
      <c r="G325" s="467"/>
      <c r="H325" s="467"/>
      <c r="I325" s="467"/>
      <c r="J325" s="467"/>
      <c r="K325" s="1671">
        <f t="shared" si="24"/>
        <v>7969</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f>63+63+63</f>
        <v>189</v>
      </c>
      <c r="E327" s="467"/>
      <c r="F327" s="467"/>
      <c r="G327" s="467"/>
      <c r="H327" s="467"/>
      <c r="I327" s="467"/>
      <c r="J327" s="467"/>
      <c r="K327" s="1671">
        <f t="shared" si="24"/>
        <v>189</v>
      </c>
      <c r="L327" s="467"/>
      <c r="M327" s="665"/>
      <c r="N327" s="665"/>
    </row>
    <row r="328" spans="1:14" s="674" customFormat="1" x14ac:dyDescent="0.2">
      <c r="A328" s="1520" t="s">
        <v>472</v>
      </c>
      <c r="B328" s="690" t="s">
        <v>1132</v>
      </c>
      <c r="C328" s="474"/>
      <c r="D328" s="474">
        <f>7832+56892</f>
        <v>64724</v>
      </c>
      <c r="E328" s="474"/>
      <c r="F328" s="474"/>
      <c r="G328" s="474"/>
      <c r="H328" s="474"/>
      <c r="I328" s="474"/>
      <c r="J328" s="474"/>
      <c r="K328" s="1699">
        <f>SUM(C328:J328)</f>
        <v>64724</v>
      </c>
      <c r="L328" s="474">
        <v>92099</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72882</v>
      </c>
      <c r="E330" s="1670">
        <f t="shared" si="25"/>
        <v>0</v>
      </c>
      <c r="F330" s="1670">
        <f t="shared" si="25"/>
        <v>0</v>
      </c>
      <c r="G330" s="1670">
        <f t="shared" si="25"/>
        <v>0</v>
      </c>
      <c r="H330" s="1670">
        <f t="shared" si="25"/>
        <v>0</v>
      </c>
      <c r="I330" s="1670">
        <f t="shared" si="25"/>
        <v>0</v>
      </c>
      <c r="J330" s="1670">
        <f t="shared" si="25"/>
        <v>0</v>
      </c>
      <c r="K330" s="1670">
        <f>SUM(K319:K329)</f>
        <v>72882</v>
      </c>
      <c r="L330" s="1670">
        <f>SUM(L319:L329)</f>
        <v>92099</v>
      </c>
      <c r="M330" s="665"/>
      <c r="N330" s="665"/>
    </row>
    <row r="331" spans="1:14" s="674" customFormat="1" ht="12.75" customHeight="1" thickTop="1" x14ac:dyDescent="0.2">
      <c r="A331" s="1831" t="s">
        <v>1844</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1838</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1840</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1845</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72882</v>
      </c>
      <c r="E342" s="1670">
        <f>SUM(E330)</f>
        <v>0</v>
      </c>
      <c r="F342" s="1670">
        <f>SUM(F330)</f>
        <v>0</v>
      </c>
      <c r="G342" s="1670">
        <f>SUM(G330)</f>
        <v>0</v>
      </c>
      <c r="H342" s="1670">
        <f>SUM(H330,H334,H340)</f>
        <v>0</v>
      </c>
      <c r="I342" s="1670">
        <f>SUM(I330)</f>
        <v>0</v>
      </c>
      <c r="J342" s="1670">
        <f>SUM(J330)</f>
        <v>0</v>
      </c>
      <c r="K342" s="1670">
        <f>SUM(K330,K334,K340)</f>
        <v>72882</v>
      </c>
      <c r="L342" s="1677">
        <f>SUM(L330,L340,L341)</f>
        <v>92099</v>
      </c>
    </row>
    <row r="343" spans="1:14" ht="12.75" customHeight="1" thickTop="1" x14ac:dyDescent="0.2">
      <c r="A343" s="2187" t="s">
        <v>996</v>
      </c>
      <c r="B343" s="2188"/>
      <c r="C343" s="616"/>
      <c r="D343" s="616"/>
      <c r="E343" s="616"/>
      <c r="F343" s="616"/>
      <c r="G343" s="616"/>
      <c r="H343" s="616"/>
      <c r="I343" s="616"/>
      <c r="J343" s="616"/>
      <c r="K343" s="1684">
        <f>'Revenues 9-14'!J268-'Expenditures 15-22'!K342</f>
        <v>25183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7" t="s">
        <v>966</v>
      </c>
      <c r="B345" s="217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v>27262</v>
      </c>
      <c r="H349" s="466"/>
      <c r="I349" s="467"/>
      <c r="J349" s="467"/>
      <c r="K349" s="1671">
        <f>SUM(C349:J349)</f>
        <v>27262</v>
      </c>
      <c r="L349" s="466">
        <v>27262</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27262</v>
      </c>
      <c r="H350" s="1670">
        <f t="shared" si="26"/>
        <v>0</v>
      </c>
      <c r="I350" s="1670">
        <f t="shared" si="26"/>
        <v>0</v>
      </c>
      <c r="J350" s="1670">
        <f t="shared" si="26"/>
        <v>0</v>
      </c>
      <c r="K350" s="1670">
        <f t="shared" si="26"/>
        <v>27262</v>
      </c>
      <c r="L350" s="1670">
        <f t="shared" si="26"/>
        <v>27262</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27262</v>
      </c>
      <c r="H352" s="1670">
        <f t="shared" si="27"/>
        <v>0</v>
      </c>
      <c r="I352" s="1670">
        <f t="shared" si="27"/>
        <v>0</v>
      </c>
      <c r="J352" s="1670">
        <f t="shared" si="27"/>
        <v>0</v>
      </c>
      <c r="K352" s="1670">
        <f t="shared" si="27"/>
        <v>27262</v>
      </c>
      <c r="L352" s="1670">
        <f t="shared" si="27"/>
        <v>27262</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1846</v>
      </c>
      <c r="B354" s="683" t="s">
        <v>1838</v>
      </c>
      <c r="C354" s="616"/>
      <c r="D354" s="616"/>
      <c r="E354" s="616"/>
      <c r="F354" s="616"/>
      <c r="G354" s="616"/>
      <c r="H354" s="474"/>
      <c r="I354" s="701"/>
      <c r="J354" s="616"/>
      <c r="K354" s="1699">
        <f>H354</f>
        <v>0</v>
      </c>
      <c r="L354" s="471"/>
    </row>
    <row r="355" spans="1:14" ht="12.75" customHeight="1" x14ac:dyDescent="0.2">
      <c r="A355" s="1513" t="s">
        <v>1847</v>
      </c>
      <c r="B355" s="690" t="s">
        <v>1840</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27262</v>
      </c>
      <c r="H367" s="1670">
        <f t="shared" si="28"/>
        <v>0</v>
      </c>
      <c r="I367" s="1670">
        <f t="shared" si="28"/>
        <v>0</v>
      </c>
      <c r="J367" s="1670">
        <f t="shared" si="28"/>
        <v>0</v>
      </c>
      <c r="K367" s="1670">
        <f t="shared" si="28"/>
        <v>27262</v>
      </c>
      <c r="L367" s="1670">
        <f t="shared" si="28"/>
        <v>27262</v>
      </c>
    </row>
    <row r="368" spans="1:14" ht="13.5" thickTop="1" x14ac:dyDescent="0.2">
      <c r="A368" s="2201" t="s">
        <v>996</v>
      </c>
      <c r="B368" s="2202"/>
      <c r="C368" s="654"/>
      <c r="D368" s="654"/>
      <c r="E368" s="626"/>
      <c r="F368" s="626"/>
      <c r="G368" s="626"/>
      <c r="H368" s="626"/>
      <c r="I368" s="626"/>
      <c r="J368" s="623"/>
      <c r="K368" s="1671">
        <f>'Revenues 9-14'!K268-'Expenditures 15-22'!K367</f>
        <v>-7303</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E14" sqref="E1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203" t="s">
        <v>1796</v>
      </c>
      <c r="B2" s="1528" t="s">
        <v>1944</v>
      </c>
      <c r="C2" s="714" t="s">
        <v>1945</v>
      </c>
      <c r="D2" s="714" t="s">
        <v>1946</v>
      </c>
      <c r="E2" s="714" t="s">
        <v>1947</v>
      </c>
      <c r="F2" s="714" t="s">
        <v>1948</v>
      </c>
    </row>
    <row r="3" spans="1:6" ht="12" customHeight="1" x14ac:dyDescent="0.2">
      <c r="A3" s="2204"/>
      <c r="B3" s="1525"/>
      <c r="C3" s="1526"/>
      <c r="D3" s="1527" t="s">
        <v>256</v>
      </c>
      <c r="E3" s="1526"/>
      <c r="F3" s="1527" t="s">
        <v>257</v>
      </c>
    </row>
    <row r="4" spans="1:6" ht="13.7" customHeight="1" x14ac:dyDescent="0.2">
      <c r="A4" s="715" t="s">
        <v>1155</v>
      </c>
      <c r="B4" s="1749">
        <f>'Revenues 9-14'!C5</f>
        <v>900084</v>
      </c>
      <c r="C4" s="1524"/>
      <c r="D4" s="1752">
        <f>B4-C4</f>
        <v>900084</v>
      </c>
      <c r="E4" s="1524">
        <v>889588</v>
      </c>
      <c r="F4" s="1752">
        <f>E4-C4</f>
        <v>889588</v>
      </c>
    </row>
    <row r="5" spans="1:6" ht="13.7" customHeight="1" x14ac:dyDescent="0.2">
      <c r="A5" s="715" t="s">
        <v>870</v>
      </c>
      <c r="B5" s="1750">
        <f>'Revenues 9-14'!D5</f>
        <v>184485</v>
      </c>
      <c r="C5" s="585"/>
      <c r="D5" s="1753">
        <f t="shared" ref="D5:D18" si="0">B5-C5</f>
        <v>184485</v>
      </c>
      <c r="E5" s="585">
        <v>203551</v>
      </c>
      <c r="F5" s="1753">
        <f>E5-C5</f>
        <v>203551</v>
      </c>
    </row>
    <row r="6" spans="1:6" ht="13.7" customHeight="1" x14ac:dyDescent="0.2">
      <c r="A6" s="715" t="s">
        <v>411</v>
      </c>
      <c r="B6" s="1750">
        <f>'Revenues 9-14'!E5</f>
        <v>180463</v>
      </c>
      <c r="C6" s="585"/>
      <c r="D6" s="1753">
        <f t="shared" si="0"/>
        <v>180463</v>
      </c>
      <c r="E6" s="585">
        <v>180938</v>
      </c>
      <c r="F6" s="1753">
        <f t="shared" ref="F6:F18" si="1">E6-C6</f>
        <v>180938</v>
      </c>
    </row>
    <row r="7" spans="1:6" ht="13.7" customHeight="1" x14ac:dyDescent="0.2">
      <c r="A7" s="715" t="s">
        <v>155</v>
      </c>
      <c r="B7" s="1750">
        <f>'Revenues 9-14'!F5</f>
        <v>103127</v>
      </c>
      <c r="C7" s="585"/>
      <c r="D7" s="1753">
        <f t="shared" si="0"/>
        <v>103127</v>
      </c>
      <c r="E7" s="585">
        <v>104776</v>
      </c>
      <c r="F7" s="1753">
        <f t="shared" si="1"/>
        <v>104776</v>
      </c>
    </row>
    <row r="8" spans="1:6" ht="13.7" customHeight="1" x14ac:dyDescent="0.2">
      <c r="A8" s="715" t="s">
        <v>1179</v>
      </c>
      <c r="B8" s="1750">
        <f>'Revenues 9-14'!G5</f>
        <v>159552</v>
      </c>
      <c r="C8" s="585"/>
      <c r="D8" s="1753">
        <f t="shared" si="0"/>
        <v>159552</v>
      </c>
      <c r="E8" s="585">
        <v>163092</v>
      </c>
      <c r="F8" s="1753">
        <f t="shared" si="1"/>
        <v>163092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11687</v>
      </c>
      <c r="C10" s="585"/>
      <c r="D10" s="1753">
        <f t="shared" si="0"/>
        <v>11687</v>
      </c>
      <c r="E10" s="585">
        <v>25699</v>
      </c>
      <c r="F10" s="1753">
        <f t="shared" si="1"/>
        <v>25699</v>
      </c>
    </row>
    <row r="11" spans="1:6" x14ac:dyDescent="0.2">
      <c r="A11" s="715" t="s">
        <v>409</v>
      </c>
      <c r="B11" s="1750">
        <f>'Revenues 9-14'!J5</f>
        <v>98008</v>
      </c>
      <c r="C11" s="585"/>
      <c r="D11" s="1753">
        <f t="shared" si="0"/>
        <v>98008</v>
      </c>
      <c r="E11" s="585">
        <v>128500</v>
      </c>
      <c r="F11" s="1753">
        <f t="shared" si="1"/>
        <v>128500</v>
      </c>
    </row>
    <row r="12" spans="1:6" ht="13.7" customHeight="1" x14ac:dyDescent="0.2">
      <c r="A12" s="715" t="s">
        <v>157</v>
      </c>
      <c r="B12" s="1750">
        <f>'Revenues 9-14'!K5</f>
        <v>19947</v>
      </c>
      <c r="C12" s="585"/>
      <c r="D12" s="1753">
        <f t="shared" si="0"/>
        <v>19947</v>
      </c>
      <c r="E12" s="585">
        <v>25699</v>
      </c>
      <c r="F12" s="1753">
        <f t="shared" si="1"/>
        <v>25699</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20619</v>
      </c>
      <c r="C14" s="585"/>
      <c r="D14" s="1753">
        <f t="shared" si="0"/>
        <v>20619</v>
      </c>
      <c r="E14" s="585">
        <v>20760</v>
      </c>
      <c r="F14" s="1753">
        <f t="shared" si="1"/>
        <v>20760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124653</v>
      </c>
      <c r="C16" s="585"/>
      <c r="D16" s="1753">
        <f t="shared" si="0"/>
        <v>124653</v>
      </c>
      <c r="E16" s="585">
        <v>123556</v>
      </c>
      <c r="F16" s="1753">
        <f t="shared" si="1"/>
        <v>123556</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1802625</v>
      </c>
      <c r="C19" s="1751">
        <f>SUM(C4:C18)</f>
        <v>0</v>
      </c>
      <c r="D19" s="1751">
        <f>SUM(D4:D18)</f>
        <v>1802625</v>
      </c>
      <c r="E19" s="1751">
        <f>SUM(E4:E18)</f>
        <v>1866159</v>
      </c>
      <c r="F19" s="1751">
        <f>SUM(F4:F18)</f>
        <v>1866159</v>
      </c>
    </row>
    <row r="20" spans="1:6" ht="13.5" thickTop="1" x14ac:dyDescent="0.2">
      <c r="B20" s="713"/>
      <c r="F20" s="716"/>
    </row>
    <row r="21" spans="1:6" x14ac:dyDescent="0.2">
      <c r="A21" s="717" t="s">
        <v>1802</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activeCell="J42" sqref="J4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629</v>
      </c>
      <c r="B1" s="2210"/>
      <c r="C1" s="721"/>
    </row>
    <row r="2" spans="1:7" ht="33.75" x14ac:dyDescent="0.2">
      <c r="A2" s="2218" t="s">
        <v>1796</v>
      </c>
      <c r="B2" s="2219"/>
      <c r="C2" s="1884" t="s">
        <v>1949</v>
      </c>
      <c r="D2" s="723" t="s">
        <v>1950</v>
      </c>
      <c r="E2" s="723" t="s">
        <v>1951</v>
      </c>
      <c r="F2" s="1884" t="s">
        <v>1952</v>
      </c>
    </row>
    <row r="3" spans="1:7" ht="15.75" customHeight="1" x14ac:dyDescent="0.2">
      <c r="A3" s="2222" t="s">
        <v>1114</v>
      </c>
      <c r="B3" s="2223"/>
      <c r="C3" s="2211"/>
      <c r="D3" s="2212"/>
      <c r="E3" s="2212"/>
      <c r="F3" s="2213"/>
    </row>
    <row r="4" spans="1:7" ht="12.75" customHeight="1" thickBot="1" x14ac:dyDescent="0.25">
      <c r="A4" s="2220" t="s">
        <v>630</v>
      </c>
      <c r="B4" s="2221"/>
      <c r="C4" s="581"/>
      <c r="D4" s="581"/>
      <c r="E4" s="581"/>
      <c r="F4" s="1755">
        <f>SUM(C4+D4)-E4</f>
        <v>0</v>
      </c>
    </row>
    <row r="5" spans="1:7" ht="15.75" customHeight="1" thickTop="1" x14ac:dyDescent="0.2">
      <c r="A5" s="2205" t="s">
        <v>1110</v>
      </c>
      <c r="B5" s="2206"/>
      <c r="C5" s="2214"/>
      <c r="D5" s="2215"/>
      <c r="E5" s="2215"/>
      <c r="F5" s="221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7" t="s">
        <v>631</v>
      </c>
      <c r="B15" s="2208"/>
      <c r="C15" s="1755">
        <f>SUM(C6:C14)</f>
        <v>0</v>
      </c>
      <c r="D15" s="1755">
        <f>SUM(D6:D14)</f>
        <v>0</v>
      </c>
      <c r="E15" s="1755">
        <f>SUM(E6:E14)</f>
        <v>0</v>
      </c>
      <c r="F15" s="1755">
        <f>SUM(F6:F14)</f>
        <v>0</v>
      </c>
      <c r="G15" s="552"/>
    </row>
    <row r="16" spans="1:7" s="202" customFormat="1" ht="15.75" customHeight="1" thickTop="1" x14ac:dyDescent="0.2">
      <c r="A16" s="2217" t="s">
        <v>1111</v>
      </c>
      <c r="B16" s="2206"/>
      <c r="C16" s="2214"/>
      <c r="D16" s="2215"/>
      <c r="E16" s="2215"/>
      <c r="F16" s="2216"/>
    </row>
    <row r="17" spans="1:11" ht="12.75" customHeight="1" thickBot="1" x14ac:dyDescent="0.25">
      <c r="A17" s="2230" t="s">
        <v>64</v>
      </c>
      <c r="B17" s="2231"/>
      <c r="C17" s="726"/>
      <c r="D17" s="585"/>
      <c r="E17" s="726"/>
      <c r="F17" s="1755">
        <f>SUM(C17+D17)-E17</f>
        <v>0</v>
      </c>
    </row>
    <row r="18" spans="1:11" ht="12.75" customHeight="1" thickTop="1" thickBot="1" x14ac:dyDescent="0.25">
      <c r="A18" s="2230" t="s">
        <v>6</v>
      </c>
      <c r="B18" s="2231"/>
      <c r="C18" s="726"/>
      <c r="D18" s="585"/>
      <c r="E18" s="726"/>
      <c r="F18" s="1755">
        <f>SUM(C18+D18)-E18</f>
        <v>0</v>
      </c>
    </row>
    <row r="19" spans="1:11" ht="12.75" customHeight="1" thickTop="1" thickBot="1" x14ac:dyDescent="0.25">
      <c r="A19" s="2230" t="s">
        <v>388</v>
      </c>
      <c r="B19" s="2231"/>
      <c r="C19" s="726"/>
      <c r="D19" s="585"/>
      <c r="E19" s="726"/>
      <c r="F19" s="1755">
        <f>SUM(C19+D19)-E19</f>
        <v>0</v>
      </c>
    </row>
    <row r="20" spans="1:11" ht="12.75" customHeight="1" thickTop="1" thickBot="1" x14ac:dyDescent="0.25">
      <c r="A20" s="2230" t="s">
        <v>448</v>
      </c>
      <c r="B20" s="2231"/>
      <c r="C20" s="726"/>
      <c r="D20" s="585"/>
      <c r="E20" s="726"/>
      <c r="F20" s="1755">
        <f>SUM(C20+D20)-E20</f>
        <v>0</v>
      </c>
    </row>
    <row r="21" spans="1:11" ht="14.25" thickTop="1" thickBot="1" x14ac:dyDescent="0.25">
      <c r="A21" s="2207" t="s">
        <v>632</v>
      </c>
      <c r="B21" s="2208"/>
      <c r="C21" s="1755">
        <f>SUM(C17:C20)</f>
        <v>0</v>
      </c>
      <c r="D21" s="1755">
        <f>SUM(D17:D20)</f>
        <v>0</v>
      </c>
      <c r="E21" s="1755">
        <f>SUM(E17:E20)</f>
        <v>0</v>
      </c>
      <c r="F21" s="1755">
        <f>SUM(F17:F20)</f>
        <v>0</v>
      </c>
      <c r="G21" s="552"/>
    </row>
    <row r="22" spans="1:11" ht="15.75" customHeight="1" thickTop="1" x14ac:dyDescent="0.2">
      <c r="A22" s="2232" t="s">
        <v>1112</v>
      </c>
      <c r="B22" s="2206"/>
      <c r="C22" s="2214"/>
      <c r="D22" s="2215"/>
      <c r="E22" s="2215"/>
      <c r="F22" s="2216"/>
    </row>
    <row r="23" spans="1:11" ht="13.5" thickBot="1" x14ac:dyDescent="0.25">
      <c r="A23" s="2220" t="s">
        <v>633</v>
      </c>
      <c r="B23" s="2221"/>
      <c r="C23" s="581"/>
      <c r="D23" s="581"/>
      <c r="E23" s="581"/>
      <c r="F23" s="1755">
        <f>SUM(C23+D23)-E23</f>
        <v>0</v>
      </c>
      <c r="G23" s="552"/>
    </row>
    <row r="24" spans="1:11" ht="15.75" customHeight="1" thickTop="1" x14ac:dyDescent="0.2">
      <c r="A24" s="2232" t="s">
        <v>1113</v>
      </c>
      <c r="B24" s="2206"/>
      <c r="C24" s="2214"/>
      <c r="D24" s="2215"/>
      <c r="E24" s="2215"/>
      <c r="F24" s="2216"/>
    </row>
    <row r="25" spans="1:11" ht="13.5" thickBot="1" x14ac:dyDescent="0.25">
      <c r="A25" s="2220" t="s">
        <v>634</v>
      </c>
      <c r="B25" s="2221"/>
      <c r="C25" s="581"/>
      <c r="D25" s="581"/>
      <c r="E25" s="581"/>
      <c r="F25" s="1755">
        <f>SUM(C25+D25)-E25</f>
        <v>0</v>
      </c>
      <c r="G25" s="552"/>
    </row>
    <row r="26" spans="1:11" ht="15.75" customHeight="1" thickTop="1" x14ac:dyDescent="0.2">
      <c r="A26" s="2205" t="s">
        <v>657</v>
      </c>
      <c r="B26" s="2206"/>
      <c r="C26" s="727"/>
      <c r="D26" s="727"/>
      <c r="E26" s="727"/>
      <c r="F26" s="728"/>
    </row>
    <row r="27" spans="1:11" ht="13.5" thickBot="1" x14ac:dyDescent="0.25">
      <c r="A27" s="2207" t="s">
        <v>1070</v>
      </c>
      <c r="B27" s="2208"/>
      <c r="C27" s="585"/>
      <c r="D27" s="585"/>
      <c r="E27" s="585"/>
      <c r="F27" s="1755">
        <f>SUM(C27+D27)-E27</f>
        <v>0</v>
      </c>
      <c r="G27" s="552"/>
    </row>
    <row r="28" spans="1:11" ht="7.5" customHeight="1" thickTop="1" x14ac:dyDescent="0.2">
      <c r="A28" s="593"/>
    </row>
    <row r="29" spans="1:11" ht="23.25" customHeight="1" x14ac:dyDescent="0.2">
      <c r="A29" s="2233" t="s">
        <v>582</v>
      </c>
      <c r="B29" s="2210"/>
      <c r="C29" s="729"/>
      <c r="D29" s="729"/>
      <c r="E29" s="729"/>
      <c r="F29" s="729"/>
      <c r="G29" s="729"/>
      <c r="H29" s="729"/>
      <c r="I29" s="729"/>
      <c r="J29" s="729"/>
    </row>
    <row r="30" spans="1:11" ht="33.75" x14ac:dyDescent="0.2">
      <c r="A30" s="1529" t="s">
        <v>1071</v>
      </c>
      <c r="B30" s="730" t="s">
        <v>1124</v>
      </c>
      <c r="C30" s="1885" t="s">
        <v>583</v>
      </c>
      <c r="D30" s="1885" t="s">
        <v>1673</v>
      </c>
      <c r="E30" s="1885" t="s">
        <v>1953</v>
      </c>
      <c r="F30" s="1885" t="s">
        <v>1954</v>
      </c>
      <c r="G30" s="1885" t="s">
        <v>1904</v>
      </c>
      <c r="H30" s="1885" t="s">
        <v>1955</v>
      </c>
      <c r="I30" s="1885" t="s">
        <v>1956</v>
      </c>
      <c r="J30" s="1886" t="s">
        <v>2</v>
      </c>
      <c r="K30" s="731"/>
    </row>
    <row r="31" spans="1:11" ht="12" customHeight="1" x14ac:dyDescent="0.2">
      <c r="A31" s="732" t="s">
        <v>2074</v>
      </c>
      <c r="B31" s="733">
        <v>42249</v>
      </c>
      <c r="C31" s="734">
        <v>498000</v>
      </c>
      <c r="D31" s="735">
        <v>1</v>
      </c>
      <c r="E31" s="734">
        <v>288000</v>
      </c>
      <c r="F31" s="734"/>
      <c r="G31" s="734"/>
      <c r="H31" s="734">
        <v>166000</v>
      </c>
      <c r="I31" s="1756">
        <f>((E31+F31)-H31)+G31</f>
        <v>122000</v>
      </c>
      <c r="J31" s="734">
        <v>122000</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t="s">
        <v>2074</v>
      </c>
      <c r="B33" s="733">
        <v>42249</v>
      </c>
      <c r="C33" s="734">
        <v>1390000</v>
      </c>
      <c r="D33" s="735">
        <v>3</v>
      </c>
      <c r="E33" s="734">
        <v>1125000</v>
      </c>
      <c r="F33" s="734"/>
      <c r="G33" s="734"/>
      <c r="H33" s="734">
        <v>150000</v>
      </c>
      <c r="I33" s="1756">
        <f t="shared" ref="I33:I48" si="1">((E33+F33)-H33)+G33</f>
        <v>975000</v>
      </c>
      <c r="J33" s="734">
        <f>975000-27374</f>
        <v>947626</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t="s">
        <v>2075</v>
      </c>
      <c r="B35" s="733">
        <v>42359</v>
      </c>
      <c r="C35" s="738">
        <v>434865</v>
      </c>
      <c r="D35" s="735">
        <v>7</v>
      </c>
      <c r="E35" s="738">
        <v>223951</v>
      </c>
      <c r="F35" s="738"/>
      <c r="G35" s="738">
        <v>-223951</v>
      </c>
      <c r="H35" s="738"/>
      <c r="I35" s="1756">
        <f t="shared" si="1"/>
        <v>0</v>
      </c>
      <c r="J35" s="738">
        <v>0</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t="s">
        <v>2076</v>
      </c>
      <c r="B37" s="733">
        <v>43525</v>
      </c>
      <c r="C37" s="467">
        <v>156652</v>
      </c>
      <c r="D37" s="740">
        <v>8</v>
      </c>
      <c r="E37" s="467"/>
      <c r="F37" s="467">
        <v>156652</v>
      </c>
      <c r="G37" s="467"/>
      <c r="H37" s="467"/>
      <c r="I37" s="1756">
        <f t="shared" si="1"/>
        <v>156652</v>
      </c>
      <c r="J37" s="467">
        <v>156652</v>
      </c>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t="s">
        <v>2076</v>
      </c>
      <c r="B39" s="733">
        <v>43549</v>
      </c>
      <c r="C39" s="734">
        <v>393058</v>
      </c>
      <c r="D39" s="741">
        <v>8</v>
      </c>
      <c r="E39" s="742"/>
      <c r="F39" s="742">
        <v>393058</v>
      </c>
      <c r="G39" s="742"/>
      <c r="H39" s="742"/>
      <c r="I39" s="1756">
        <f t="shared" si="1"/>
        <v>393058</v>
      </c>
      <c r="J39" s="743">
        <v>393058</v>
      </c>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2872575</v>
      </c>
      <c r="D49" s="745"/>
      <c r="E49" s="1756">
        <f t="shared" ref="E49:J49" si="2">SUM(E31:E48)</f>
        <v>1636951</v>
      </c>
      <c r="F49" s="1756">
        <f t="shared" si="2"/>
        <v>549710</v>
      </c>
      <c r="G49" s="1756">
        <f t="shared" si="2"/>
        <v>-223951</v>
      </c>
      <c r="H49" s="1756">
        <f t="shared" si="2"/>
        <v>316000</v>
      </c>
      <c r="I49" s="1756">
        <f t="shared" si="2"/>
        <v>1646710</v>
      </c>
      <c r="J49" s="1756">
        <f t="shared" si="2"/>
        <v>1619336</v>
      </c>
      <c r="K49" s="737"/>
    </row>
    <row r="50" spans="1:11" ht="6" customHeight="1" x14ac:dyDescent="0.2">
      <c r="A50" s="746"/>
      <c r="B50" s="736"/>
      <c r="C50" s="736"/>
      <c r="D50" s="736"/>
      <c r="E50" s="736"/>
      <c r="F50" s="736"/>
      <c r="G50" s="736"/>
      <c r="H50" s="736"/>
      <c r="I50" s="736"/>
      <c r="J50" s="746"/>
    </row>
    <row r="51" spans="1:11" x14ac:dyDescent="0.2">
      <c r="A51" s="747" t="s">
        <v>1801</v>
      </c>
      <c r="B51" s="746"/>
      <c r="C51" s="737"/>
      <c r="D51" s="737"/>
      <c r="E51" s="737"/>
      <c r="F51" s="737"/>
      <c r="G51" s="737"/>
      <c r="H51" s="736"/>
      <c r="I51" s="736"/>
      <c r="J51" s="746"/>
    </row>
    <row r="52" spans="1:11" ht="11.25" customHeight="1" x14ac:dyDescent="0.2">
      <c r="A52" s="748" t="s">
        <v>912</v>
      </c>
      <c r="B52" s="2224" t="s">
        <v>584</v>
      </c>
      <c r="C52" s="2225"/>
      <c r="D52" s="2225"/>
      <c r="E52" s="749" t="s">
        <v>845</v>
      </c>
      <c r="F52" s="2226" t="s">
        <v>2077</v>
      </c>
      <c r="G52" s="2227"/>
      <c r="H52" s="736"/>
      <c r="I52" s="736"/>
      <c r="J52" s="746"/>
    </row>
    <row r="53" spans="1:11" ht="11.25" customHeight="1" x14ac:dyDescent="0.2">
      <c r="A53" s="750" t="s">
        <v>913</v>
      </c>
      <c r="B53" s="751" t="s">
        <v>951</v>
      </c>
      <c r="C53" s="746"/>
      <c r="D53" s="737"/>
      <c r="E53" s="749" t="s">
        <v>497</v>
      </c>
      <c r="F53" s="2228" t="s">
        <v>2078</v>
      </c>
      <c r="G53" s="2229"/>
      <c r="H53" s="736"/>
      <c r="I53" s="736"/>
      <c r="J53" s="746"/>
    </row>
    <row r="54" spans="1:11" ht="11.25" customHeight="1" x14ac:dyDescent="0.2">
      <c r="A54" s="752" t="s">
        <v>914</v>
      </c>
      <c r="B54" s="747" t="s">
        <v>952</v>
      </c>
      <c r="C54" s="746"/>
      <c r="D54" s="737"/>
      <c r="E54" s="749" t="s">
        <v>498</v>
      </c>
      <c r="F54" s="2228"/>
      <c r="G54" s="222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K14" sqref="K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856</v>
      </c>
      <c r="B1" s="2259"/>
      <c r="C1" s="2259"/>
      <c r="D1" s="2259"/>
      <c r="E1" s="2259"/>
      <c r="F1" s="2259"/>
      <c r="G1" s="2260"/>
      <c r="H1" s="1530"/>
      <c r="I1" s="760"/>
      <c r="J1" s="433"/>
    </row>
    <row r="2" spans="1:11" ht="26.25" x14ac:dyDescent="0.2">
      <c r="A2" s="2237" t="s">
        <v>1677</v>
      </c>
      <c r="B2" s="2238"/>
      <c r="C2" s="2238"/>
      <c r="D2" s="2238"/>
      <c r="E2" s="2239"/>
      <c r="F2" s="761" t="s">
        <v>904</v>
      </c>
      <c r="G2" s="762" t="s">
        <v>1674</v>
      </c>
      <c r="H2" s="762" t="s">
        <v>410</v>
      </c>
      <c r="I2" s="762" t="s">
        <v>1158</v>
      </c>
      <c r="J2" s="762" t="s">
        <v>1806</v>
      </c>
      <c r="K2" s="762" t="s">
        <v>138</v>
      </c>
    </row>
    <row r="3" spans="1:11" x14ac:dyDescent="0.2">
      <c r="A3" s="2240" t="s">
        <v>1957</v>
      </c>
      <c r="B3" s="2241"/>
      <c r="C3" s="2241"/>
      <c r="D3" s="2241"/>
      <c r="E3" s="2242"/>
      <c r="F3" s="763"/>
      <c r="G3" s="764"/>
      <c r="H3" s="764"/>
      <c r="I3" s="764"/>
      <c r="J3" s="765">
        <v>320099</v>
      </c>
      <c r="K3" s="765"/>
    </row>
    <row r="4" spans="1:11" x14ac:dyDescent="0.2">
      <c r="A4" s="2243" t="s">
        <v>369</v>
      </c>
      <c r="B4" s="2244"/>
      <c r="C4" s="2244"/>
      <c r="D4" s="2244"/>
      <c r="E4" s="2225"/>
      <c r="F4" s="766"/>
      <c r="G4" s="767"/>
      <c r="H4" s="768"/>
      <c r="I4" s="767"/>
      <c r="J4" s="769"/>
      <c r="K4" s="769"/>
    </row>
    <row r="5" spans="1:11" x14ac:dyDescent="0.2">
      <c r="A5" s="2261" t="s">
        <v>1069</v>
      </c>
      <c r="B5" s="2234"/>
      <c r="C5" s="2234"/>
      <c r="D5" s="2234"/>
      <c r="E5" s="2262"/>
      <c r="F5" s="770" t="s">
        <v>848</v>
      </c>
      <c r="G5" s="771"/>
      <c r="H5" s="764">
        <f>+'Tax Sched 23'!B14</f>
        <v>20619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f>+'Revenues 9-14'!C101</f>
        <v>325</v>
      </c>
    </row>
    <row r="8" spans="1:11" x14ac:dyDescent="0.2">
      <c r="A8" s="778" t="s">
        <v>345</v>
      </c>
      <c r="B8" s="779"/>
      <c r="C8" s="779"/>
      <c r="D8" s="779"/>
      <c r="E8" s="780"/>
      <c r="F8" s="770" t="s">
        <v>851</v>
      </c>
      <c r="G8" s="782"/>
      <c r="H8" s="782"/>
      <c r="I8" s="782"/>
      <c r="J8" s="765">
        <f>+'Revenues 9-14'!E103+'Revenues 9-14'!H103</f>
        <v>329063</v>
      </c>
      <c r="K8" s="769"/>
    </row>
    <row r="9" spans="1:11" x14ac:dyDescent="0.2">
      <c r="A9" s="778" t="s">
        <v>138</v>
      </c>
      <c r="B9" s="779"/>
      <c r="C9" s="779"/>
      <c r="D9" s="779"/>
      <c r="E9" s="780"/>
      <c r="F9" s="777" t="s">
        <v>853</v>
      </c>
      <c r="G9" s="782"/>
      <c r="H9" s="771"/>
      <c r="I9" s="771"/>
      <c r="J9" s="781"/>
      <c r="K9" s="765">
        <f>+'Revenues 9-14'!C148</f>
        <v>10538</v>
      </c>
    </row>
    <row r="10" spans="1:11" x14ac:dyDescent="0.2">
      <c r="A10" s="2261" t="s">
        <v>1807</v>
      </c>
      <c r="B10" s="2234"/>
      <c r="C10" s="2234"/>
      <c r="D10" s="2234"/>
      <c r="E10" s="2263"/>
      <c r="F10" s="783" t="s">
        <v>862</v>
      </c>
      <c r="G10" s="782"/>
      <c r="H10" s="784"/>
      <c r="I10" s="764"/>
      <c r="J10" s="765"/>
      <c r="K10" s="765"/>
    </row>
    <row r="11" spans="1:11" x14ac:dyDescent="0.2">
      <c r="A11" s="2261" t="s">
        <v>160</v>
      </c>
      <c r="B11" s="2234"/>
      <c r="C11" s="2234"/>
      <c r="D11" s="2234"/>
      <c r="E11" s="2262"/>
      <c r="F11" s="770" t="s">
        <v>852</v>
      </c>
      <c r="G11" s="771"/>
      <c r="H11" s="764"/>
      <c r="I11" s="764"/>
      <c r="J11" s="765"/>
      <c r="K11" s="773"/>
    </row>
    <row r="12" spans="1:11" ht="13.5" thickBot="1" x14ac:dyDescent="0.25">
      <c r="A12" s="2251" t="s">
        <v>905</v>
      </c>
      <c r="B12" s="2252"/>
      <c r="C12" s="2252"/>
      <c r="D12" s="2252"/>
      <c r="E12" s="2253"/>
      <c r="F12" s="1757"/>
      <c r="G12" s="1758">
        <f>SUM(G5:G11)</f>
        <v>0</v>
      </c>
      <c r="H12" s="1758">
        <f>SUM(H5:H11)</f>
        <v>20619</v>
      </c>
      <c r="I12" s="1758">
        <f>SUM(I5:I11)</f>
        <v>0</v>
      </c>
      <c r="J12" s="1758">
        <f>SUM(J5:J11)</f>
        <v>329063</v>
      </c>
      <c r="K12" s="1758">
        <f>SUM(K5:K11)</f>
        <v>10863</v>
      </c>
    </row>
    <row r="13" spans="1:11" ht="13.5" thickTop="1" x14ac:dyDescent="0.2">
      <c r="A13" s="2245" t="s">
        <v>370</v>
      </c>
      <c r="B13" s="2246"/>
      <c r="C13" s="2246"/>
      <c r="D13" s="2246"/>
      <c r="E13" s="2247"/>
      <c r="F13" s="785"/>
      <c r="G13" s="786"/>
      <c r="H13" s="787"/>
      <c r="I13" s="788"/>
      <c r="J13" s="788"/>
      <c r="K13" s="788"/>
    </row>
    <row r="14" spans="1:11" x14ac:dyDescent="0.2">
      <c r="A14" s="2267" t="s">
        <v>456</v>
      </c>
      <c r="B14" s="2267"/>
      <c r="C14" s="2267"/>
      <c r="D14" s="2267"/>
      <c r="E14" s="2268"/>
      <c r="F14" s="789" t="s">
        <v>854</v>
      </c>
      <c r="G14" s="782"/>
      <c r="H14" s="764">
        <v>20619</v>
      </c>
      <c r="I14" s="771"/>
      <c r="J14" s="773"/>
      <c r="K14" s="765">
        <v>10863</v>
      </c>
    </row>
    <row r="15" spans="1:11" x14ac:dyDescent="0.2">
      <c r="A15" s="2234" t="s">
        <v>4</v>
      </c>
      <c r="B15" s="2234"/>
      <c r="C15" s="2234"/>
      <c r="D15" s="2234"/>
      <c r="E15" s="2262"/>
      <c r="F15" s="789" t="s">
        <v>855</v>
      </c>
      <c r="G15" s="771"/>
      <c r="H15" s="764"/>
      <c r="I15" s="764"/>
      <c r="J15" s="765">
        <f>244000-16846-5000</f>
        <v>222154</v>
      </c>
      <c r="K15" s="765"/>
    </row>
    <row r="16" spans="1:11" x14ac:dyDescent="0.2">
      <c r="A16" s="2234" t="s">
        <v>298</v>
      </c>
      <c r="B16" s="2234"/>
      <c r="C16" s="2234"/>
      <c r="D16" s="2234"/>
      <c r="E16" s="2262"/>
      <c r="F16" s="789" t="s">
        <v>923</v>
      </c>
      <c r="G16" s="772"/>
      <c r="H16" s="767"/>
      <c r="I16" s="767"/>
      <c r="J16" s="769"/>
      <c r="K16" s="769"/>
    </row>
    <row r="17" spans="1:11" x14ac:dyDescent="0.2">
      <c r="A17" s="2256" t="s">
        <v>935</v>
      </c>
      <c r="B17" s="2256"/>
      <c r="C17" s="2256"/>
      <c r="D17" s="2256"/>
      <c r="E17" s="2257"/>
      <c r="F17" s="790"/>
      <c r="G17" s="791"/>
      <c r="H17" s="792"/>
      <c r="I17" s="792"/>
      <c r="J17" s="793"/>
      <c r="K17" s="794"/>
    </row>
    <row r="18" spans="1:11" x14ac:dyDescent="0.2">
      <c r="A18" s="2248" t="s">
        <v>368</v>
      </c>
      <c r="B18" s="2249"/>
      <c r="C18" s="2249"/>
      <c r="D18" s="2249"/>
      <c r="E18" s="2250"/>
      <c r="F18" s="789" t="s">
        <v>932</v>
      </c>
      <c r="G18" s="782"/>
      <c r="H18" s="782"/>
      <c r="I18" s="782"/>
      <c r="J18" s="765">
        <f>179453-150000</f>
        <v>29453</v>
      </c>
      <c r="K18" s="795"/>
    </row>
    <row r="19" spans="1:11" ht="21.75" customHeight="1" x14ac:dyDescent="0.2">
      <c r="A19" s="2269" t="s">
        <v>1803</v>
      </c>
      <c r="B19" s="2269"/>
      <c r="C19" s="2269"/>
      <c r="D19" s="2269"/>
      <c r="E19" s="2270"/>
      <c r="F19" s="789" t="s">
        <v>933</v>
      </c>
      <c r="G19" s="782"/>
      <c r="H19" s="782"/>
      <c r="I19" s="782"/>
      <c r="J19" s="765">
        <v>150000</v>
      </c>
      <c r="K19" s="795"/>
    </row>
    <row r="20" spans="1:11" x14ac:dyDescent="0.2">
      <c r="A20" s="2248" t="s">
        <v>1808</v>
      </c>
      <c r="B20" s="2249"/>
      <c r="C20" s="2249"/>
      <c r="D20" s="2249"/>
      <c r="E20" s="2250"/>
      <c r="F20" s="789" t="s">
        <v>934</v>
      </c>
      <c r="G20" s="782"/>
      <c r="H20" s="782"/>
      <c r="I20" s="782"/>
      <c r="J20" s="765"/>
      <c r="K20" s="795"/>
    </row>
    <row r="21" spans="1:11" ht="13.5" thickBot="1" x14ac:dyDescent="0.25">
      <c r="A21" s="2254" t="s">
        <v>638</v>
      </c>
      <c r="B21" s="2254"/>
      <c r="C21" s="2254"/>
      <c r="D21" s="2254"/>
      <c r="E21" s="2254"/>
      <c r="F21" s="1759"/>
      <c r="G21" s="792"/>
      <c r="H21" s="796"/>
      <c r="I21" s="796"/>
      <c r="J21" s="1760">
        <f>SUM(J18:J20)</f>
        <v>179453</v>
      </c>
      <c r="K21" s="793"/>
    </row>
    <row r="22" spans="1:11" ht="13.5" thickTop="1" x14ac:dyDescent="0.2">
      <c r="A22" s="2234" t="s">
        <v>1809</v>
      </c>
      <c r="B22" s="2234"/>
      <c r="C22" s="2234"/>
      <c r="D22" s="2234"/>
      <c r="E22" s="2262"/>
      <c r="F22" s="789" t="s">
        <v>862</v>
      </c>
      <c r="G22" s="782"/>
      <c r="H22" s="764"/>
      <c r="I22" s="764"/>
      <c r="J22" s="797"/>
      <c r="K22" s="765"/>
    </row>
    <row r="23" spans="1:11" ht="13.5" thickBot="1" x14ac:dyDescent="0.25">
      <c r="A23" s="2255" t="s">
        <v>906</v>
      </c>
      <c r="B23" s="2254"/>
      <c r="C23" s="2254"/>
      <c r="D23" s="2254"/>
      <c r="E23" s="2254"/>
      <c r="F23" s="1761"/>
      <c r="G23" s="1758">
        <f>SUM(G14:G16,G21,G22)</f>
        <v>0</v>
      </c>
      <c r="H23" s="1758">
        <f>SUM(H14:H16,H21,H22)</f>
        <v>20619</v>
      </c>
      <c r="I23" s="1758">
        <f>SUM(I14:I16,I21,I22)</f>
        <v>0</v>
      </c>
      <c r="J23" s="1758">
        <f>SUM(J14:J16,J21,J22)</f>
        <v>401607</v>
      </c>
      <c r="K23" s="1758">
        <f>SUM(K14:K16,K21,K22)</f>
        <v>10863</v>
      </c>
    </row>
    <row r="24" spans="1:11" ht="14.25" thickTop="1" thickBot="1" x14ac:dyDescent="0.25">
      <c r="A24" s="2255" t="s">
        <v>1958</v>
      </c>
      <c r="B24" s="2254"/>
      <c r="C24" s="2254"/>
      <c r="D24" s="2254"/>
      <c r="E24" s="2254"/>
      <c r="F24" s="1762"/>
      <c r="G24" s="1763">
        <f>SUM(G3,G12)-G23</f>
        <v>0</v>
      </c>
      <c r="H24" s="1763">
        <f>SUM(H3,H12)-H23</f>
        <v>0</v>
      </c>
      <c r="I24" s="1763">
        <f>SUM(I3,I12)-I23</f>
        <v>0</v>
      </c>
      <c r="J24" s="1763">
        <f>SUM(J3,J12)-J23</f>
        <v>247555</v>
      </c>
      <c r="K24" s="1763">
        <f>SUM(K3,K12)-K23</f>
        <v>0</v>
      </c>
    </row>
    <row r="25" spans="1:11" ht="13.5" thickTop="1" x14ac:dyDescent="0.2">
      <c r="A25" s="798" t="s">
        <v>420</v>
      </c>
      <c r="B25" s="799"/>
      <c r="C25" s="799"/>
      <c r="D25" s="799"/>
      <c r="E25" s="800"/>
      <c r="F25" s="801">
        <v>714</v>
      </c>
      <c r="G25" s="802"/>
      <c r="H25" s="802"/>
      <c r="I25" s="802"/>
      <c r="J25" s="797">
        <v>247555</v>
      </c>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1903</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2057</v>
      </c>
      <c r="E30" s="808" t="s">
        <v>768</v>
      </c>
      <c r="F30" s="202"/>
      <c r="G30" s="805"/>
    </row>
    <row r="31" spans="1:11" x14ac:dyDescent="0.2">
      <c r="A31" s="809"/>
      <c r="D31" s="237"/>
      <c r="E31" s="810" t="s">
        <v>769</v>
      </c>
      <c r="F31" s="811" t="s">
        <v>539</v>
      </c>
      <c r="G31" s="764"/>
      <c r="H31" s="2264"/>
      <c r="I31" s="2265"/>
      <c r="J31" s="2265"/>
      <c r="K31" s="2265"/>
    </row>
    <row r="32" spans="1:11" x14ac:dyDescent="0.2">
      <c r="A32" s="809"/>
      <c r="B32" s="237"/>
      <c r="C32" s="237"/>
      <c r="D32" s="237"/>
      <c r="E32" s="805"/>
      <c r="F32" s="811" t="s">
        <v>540</v>
      </c>
      <c r="G32" s="764"/>
      <c r="H32" s="2266"/>
      <c r="I32" s="2265"/>
      <c r="J32" s="2265"/>
      <c r="K32" s="2265"/>
    </row>
    <row r="33" spans="1:11" ht="1.5" customHeight="1" x14ac:dyDescent="0.2">
      <c r="A33" s="812" t="s">
        <v>1169</v>
      </c>
      <c r="B33" s="364"/>
      <c r="C33" s="364"/>
      <c r="D33" s="364"/>
      <c r="E33" s="364"/>
      <c r="F33" s="364"/>
      <c r="G33" s="813"/>
      <c r="H33" s="2266"/>
      <c r="I33" s="2265"/>
      <c r="J33" s="2265"/>
      <c r="K33" s="2265"/>
    </row>
    <row r="34" spans="1:11" x14ac:dyDescent="0.2">
      <c r="A34" s="814" t="s">
        <v>1810</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4" t="s">
        <v>541</v>
      </c>
      <c r="B41" s="2235"/>
      <c r="C41" s="2235"/>
      <c r="D41" s="2235"/>
      <c r="E41" s="2235"/>
      <c r="F41" s="223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1804</v>
      </c>
      <c r="B46" s="408" t="s">
        <v>1675</v>
      </c>
    </row>
    <row r="47" spans="1:11" s="823" customFormat="1" ht="12.75" customHeight="1" x14ac:dyDescent="0.2">
      <c r="A47" s="821"/>
      <c r="B47" s="822" t="s">
        <v>1676</v>
      </c>
      <c r="E47" s="822"/>
      <c r="K47" s="824"/>
    </row>
    <row r="48" spans="1:11" ht="12.75" customHeight="1" x14ac:dyDescent="0.2">
      <c r="A48" s="1532" t="s">
        <v>1805</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I3" sqref="I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1902</v>
      </c>
      <c r="B1" s="2274"/>
      <c r="C1" s="2275"/>
      <c r="D1" s="826"/>
      <c r="E1" s="827"/>
      <c r="F1" s="827"/>
      <c r="G1" s="828"/>
      <c r="H1" s="829"/>
      <c r="I1" s="830"/>
      <c r="J1" s="2271"/>
      <c r="K1" s="2272"/>
      <c r="L1" s="2272"/>
    </row>
    <row r="2" spans="1:14" ht="69.75" customHeight="1" x14ac:dyDescent="0.2">
      <c r="A2" s="831" t="s">
        <v>1678</v>
      </c>
      <c r="B2" s="832" t="s">
        <v>378</v>
      </c>
      <c r="C2" s="833" t="s">
        <v>1959</v>
      </c>
      <c r="D2" s="833" t="s">
        <v>1960</v>
      </c>
      <c r="E2" s="833" t="s">
        <v>1961</v>
      </c>
      <c r="F2" s="833" t="s">
        <v>1962</v>
      </c>
      <c r="G2" s="833" t="s">
        <v>605</v>
      </c>
      <c r="H2" s="833" t="s">
        <v>1963</v>
      </c>
      <c r="I2" s="833" t="s">
        <v>1964</v>
      </c>
      <c r="J2" s="833" t="s">
        <v>1965</v>
      </c>
      <c r="K2" s="833" t="s">
        <v>1966</v>
      </c>
      <c r="L2" s="833" t="s">
        <v>1967</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141338</v>
      </c>
      <c r="D5" s="841"/>
      <c r="E5" s="841"/>
      <c r="F5" s="1760">
        <f>(C5+D5)-E5</f>
        <v>141338</v>
      </c>
      <c r="G5" s="837"/>
      <c r="H5" s="842"/>
      <c r="I5" s="842"/>
      <c r="J5" s="842"/>
      <c r="K5" s="793"/>
      <c r="L5" s="1769">
        <f>F5-K5</f>
        <v>141338</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9601478</v>
      </c>
      <c r="D8" s="844">
        <f>38164+106846+77768</f>
        <v>222778</v>
      </c>
      <c r="E8" s="844"/>
      <c r="F8" s="1760">
        <f>(C8+D8)-E8</f>
        <v>9824256</v>
      </c>
      <c r="G8" s="843">
        <v>50</v>
      </c>
      <c r="H8" s="765">
        <v>4049791</v>
      </c>
      <c r="I8" s="765">
        <f>173862+231+1000</f>
        <v>175093</v>
      </c>
      <c r="J8" s="765"/>
      <c r="K8" s="1769">
        <f>(H8+I8)-J8</f>
        <v>4224884</v>
      </c>
      <c r="L8" s="1769">
        <f>F8-K8</f>
        <v>5599372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219366</v>
      </c>
      <c r="D10" s="846"/>
      <c r="E10" s="846"/>
      <c r="F10" s="1764">
        <f>(C10+D10)-E10</f>
        <v>219366</v>
      </c>
      <c r="G10" s="843">
        <v>20</v>
      </c>
      <c r="H10" s="847">
        <v>196436</v>
      </c>
      <c r="I10" s="847">
        <v>4724</v>
      </c>
      <c r="J10" s="847"/>
      <c r="K10" s="1769">
        <f>(H10+I10)-J10</f>
        <v>201160</v>
      </c>
      <c r="L10" s="1769">
        <f>F10-K10</f>
        <v>18206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97160</v>
      </c>
      <c r="D12" s="844">
        <v>15360</v>
      </c>
      <c r="E12" s="844"/>
      <c r="F12" s="1760">
        <f>(C12+D12)-E12</f>
        <v>112520</v>
      </c>
      <c r="G12" s="843">
        <v>10</v>
      </c>
      <c r="H12" s="765">
        <v>58342</v>
      </c>
      <c r="I12" s="765">
        <f>6113+3774</f>
        <v>9887</v>
      </c>
      <c r="J12" s="765"/>
      <c r="K12" s="1769">
        <f>(H12+I12)-J12</f>
        <v>68229</v>
      </c>
      <c r="L12" s="1769">
        <f>F12-K12</f>
        <v>44291</v>
      </c>
    </row>
    <row r="13" spans="1:14" ht="14.25" thickTop="1" thickBot="1" x14ac:dyDescent="0.25">
      <c r="A13" s="848" t="s">
        <v>1122</v>
      </c>
      <c r="B13" s="840">
        <v>252</v>
      </c>
      <c r="C13" s="844">
        <v>1172368</v>
      </c>
      <c r="D13" s="844">
        <v>497981</v>
      </c>
      <c r="E13" s="844">
        <v>242347</v>
      </c>
      <c r="F13" s="1760">
        <f>(C13+D13)-E13</f>
        <v>1428002</v>
      </c>
      <c r="G13" s="843">
        <v>5</v>
      </c>
      <c r="H13" s="765">
        <v>897802</v>
      </c>
      <c r="I13" s="765">
        <v>107776</v>
      </c>
      <c r="J13" s="765">
        <v>242347</v>
      </c>
      <c r="K13" s="1769">
        <f>(H13+I13)-J13</f>
        <v>763231</v>
      </c>
      <c r="L13" s="1769">
        <f>F13-K13</f>
        <v>664771</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11231710</v>
      </c>
      <c r="D16" s="1760">
        <f>SUM(D3,D5:D6,D8:D10,D12:D15)</f>
        <v>736119</v>
      </c>
      <c r="E16" s="1760">
        <f>SUM(E3,E5:E6,E8:E10,E12:E15)</f>
        <v>242347</v>
      </c>
      <c r="F16" s="1760">
        <f>SUM(F3,F5:F6,F8:F10,F12:F15)</f>
        <v>11725482</v>
      </c>
      <c r="G16" s="843"/>
      <c r="H16" s="1760">
        <f>SUM(H3,H6,H8:H10,H12:H14,)</f>
        <v>5202371</v>
      </c>
      <c r="I16" s="1760">
        <f>SUM(I3,I6,I8:I10,I12:I14,)</f>
        <v>297480</v>
      </c>
      <c r="J16" s="1760">
        <f>SUM(J3,J6,J8:J10,J12:J14,)</f>
        <v>242347</v>
      </c>
      <c r="K16" s="1760">
        <f>(H16+I16)-J16</f>
        <v>5257504</v>
      </c>
      <c r="L16" s="1760">
        <f>F16-K16</f>
        <v>6467978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297480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123" activePane="bottomLeft" state="frozen"/>
      <selection activeCell="A47" sqref="A47"/>
      <selection pane="bottomLeft" activeCell="F78" sqref="F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9" t="s">
        <v>1968</v>
      </c>
      <c r="B1" s="2280"/>
      <c r="C1" s="2280"/>
      <c r="D1" s="2280"/>
      <c r="E1" s="2280"/>
      <c r="F1" s="2281"/>
      <c r="G1" s="855"/>
    </row>
    <row r="2" spans="1:7" ht="15" customHeight="1" thickBot="1" x14ac:dyDescent="0.25">
      <c r="A2" s="2282" t="s">
        <v>477</v>
      </c>
      <c r="B2" s="2283"/>
      <c r="C2" s="2283"/>
      <c r="D2" s="2283"/>
      <c r="E2" s="2283"/>
      <c r="F2" s="228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5"/>
      <c r="B5" s="2286"/>
      <c r="C5" s="2286"/>
      <c r="D5" s="2286"/>
      <c r="E5" s="2286"/>
      <c r="F5" s="2286"/>
    </row>
    <row r="6" spans="1:7" ht="13.5" customHeight="1" thickBot="1" x14ac:dyDescent="0.25">
      <c r="A6" s="2276" t="s">
        <v>1104</v>
      </c>
      <c r="B6" s="2277"/>
      <c r="C6" s="2277"/>
      <c r="D6" s="2277"/>
      <c r="E6" s="2277"/>
      <c r="F6" s="227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5174217</v>
      </c>
      <c r="G8" s="865"/>
    </row>
    <row r="9" spans="1:7" x14ac:dyDescent="0.2">
      <c r="A9" s="869" t="s">
        <v>460</v>
      </c>
      <c r="B9" s="870" t="s">
        <v>1870</v>
      </c>
      <c r="C9" s="871"/>
      <c r="D9" s="869" t="s">
        <v>501</v>
      </c>
      <c r="E9" s="868"/>
      <c r="F9" s="1909">
        <f>'Expenditures 15-22'!K151</f>
        <v>234168</v>
      </c>
      <c r="G9" s="872"/>
    </row>
    <row r="10" spans="1:7" x14ac:dyDescent="0.2">
      <c r="A10" s="869" t="s">
        <v>499</v>
      </c>
      <c r="B10" s="870" t="s">
        <v>1871</v>
      </c>
      <c r="C10" s="871"/>
      <c r="D10" s="869" t="s">
        <v>501</v>
      </c>
      <c r="E10" s="868"/>
      <c r="F10" s="1909">
        <f>'Expenditures 15-22'!K174</f>
        <v>354289</v>
      </c>
      <c r="G10" s="872"/>
    </row>
    <row r="11" spans="1:7" x14ac:dyDescent="0.2">
      <c r="A11" s="869" t="s">
        <v>461</v>
      </c>
      <c r="B11" s="870" t="s">
        <v>1872</v>
      </c>
      <c r="C11" s="871"/>
      <c r="D11" s="869" t="s">
        <v>501</v>
      </c>
      <c r="E11" s="868"/>
      <c r="F11" s="1909">
        <f>'Expenditures 15-22'!K210</f>
        <v>1006511</v>
      </c>
      <c r="G11" s="872"/>
    </row>
    <row r="12" spans="1:7" x14ac:dyDescent="0.2">
      <c r="A12" s="869" t="s">
        <v>462</v>
      </c>
      <c r="B12" s="870" t="s">
        <v>1873</v>
      </c>
      <c r="C12" s="871"/>
      <c r="D12" s="869" t="s">
        <v>501</v>
      </c>
      <c r="E12" s="868"/>
      <c r="F12" s="1909">
        <f>'Expenditures 15-22'!K295</f>
        <v>270114</v>
      </c>
      <c r="G12" s="872"/>
    </row>
    <row r="13" spans="1:7" x14ac:dyDescent="0.2">
      <c r="A13" s="869" t="s">
        <v>106</v>
      </c>
      <c r="B13" s="870" t="s">
        <v>1874</v>
      </c>
      <c r="C13" s="871"/>
      <c r="D13" s="869" t="s">
        <v>501</v>
      </c>
      <c r="E13" s="868"/>
      <c r="F13" s="1909">
        <f>'Expenditures 15-22'!K342</f>
        <v>72882</v>
      </c>
      <c r="G13" s="873"/>
    </row>
    <row r="14" spans="1:7" ht="12" customHeight="1" thickBot="1" x14ac:dyDescent="0.25">
      <c r="A14" s="1770"/>
      <c r="B14" s="1771"/>
      <c r="C14" s="1772"/>
      <c r="D14" s="1773" t="s">
        <v>501</v>
      </c>
      <c r="E14" s="1774" t="s">
        <v>958</v>
      </c>
      <c r="F14" s="1775">
        <f>SUM(F8:F13)</f>
        <v>7112181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1992</v>
      </c>
      <c r="C30" s="880">
        <f>'Revenues 9-14'!B150</f>
        <v>3499</v>
      </c>
      <c r="D30" s="881" t="str">
        <f>'Revenues 9-14'!A150</f>
        <v>Adult Ed - Other (Describe &amp; Itemize)</v>
      </c>
      <c r="E30" s="868"/>
      <c r="F30" s="1914">
        <f>('Revenues 9-14'!D150+'Revenues 9-14'!F150)</f>
        <v>0</v>
      </c>
      <c r="G30" s="865"/>
    </row>
    <row r="31" spans="1:7" x14ac:dyDescent="0.2">
      <c r="A31" s="869" t="s">
        <v>1097</v>
      </c>
      <c r="B31" s="870" t="s">
        <v>1993</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1994</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1995</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182318</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6688</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258678</v>
      </c>
      <c r="G53" s="865"/>
    </row>
    <row r="54" spans="1:7" x14ac:dyDescent="0.2">
      <c r="A54" s="869" t="s">
        <v>459</v>
      </c>
      <c r="B54" s="869" t="s">
        <v>1476</v>
      </c>
      <c r="C54" s="889" t="s">
        <v>982</v>
      </c>
      <c r="D54" s="885" t="s">
        <v>1095</v>
      </c>
      <c r="E54" s="868"/>
      <c r="F54" s="1913">
        <f>'Expenditures 15-22'!G114</f>
        <v>20510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1875</v>
      </c>
      <c r="C57" s="889">
        <f>'Expenditures 15-22'!B139</f>
        <v>4000</v>
      </c>
      <c r="D57" s="887" t="str">
        <f>'Expenditures 15-22'!A139</f>
        <v>Total Payments to Other Govt Units</v>
      </c>
      <c r="E57" s="868"/>
      <c r="F57" s="1913">
        <f>'Expenditures 15-22'!K139</f>
        <v>0</v>
      </c>
      <c r="G57" s="865"/>
    </row>
    <row r="58" spans="1:7" x14ac:dyDescent="0.2">
      <c r="A58" s="869" t="s">
        <v>460</v>
      </c>
      <c r="B58" s="869" t="s">
        <v>1876</v>
      </c>
      <c r="C58" s="886" t="s">
        <v>982</v>
      </c>
      <c r="D58" s="885" t="s">
        <v>1095</v>
      </c>
      <c r="E58" s="868"/>
      <c r="F58" s="1915">
        <f>'Expenditures 15-22'!G151</f>
        <v>0</v>
      </c>
      <c r="G58" s="865"/>
    </row>
    <row r="59" spans="1:7" x14ac:dyDescent="0.2">
      <c r="A59" s="893" t="s">
        <v>460</v>
      </c>
      <c r="B59" s="856" t="s">
        <v>1877</v>
      </c>
      <c r="C59" s="894" t="s">
        <v>982</v>
      </c>
      <c r="D59" s="856" t="s">
        <v>291</v>
      </c>
      <c r="F59" s="1916">
        <f>'Expenditures 15-22'!I151</f>
        <v>0</v>
      </c>
      <c r="G59" s="865"/>
    </row>
    <row r="60" spans="1:7" x14ac:dyDescent="0.2">
      <c r="A60" s="893" t="s">
        <v>499</v>
      </c>
      <c r="B60" s="856" t="s">
        <v>1878</v>
      </c>
      <c r="C60" s="894">
        <v>4000</v>
      </c>
      <c r="D60" s="856" t="s">
        <v>312</v>
      </c>
      <c r="F60" s="1914">
        <f>'Expenditures 15-22'!K160</f>
        <v>0</v>
      </c>
      <c r="G60" s="865"/>
    </row>
    <row r="61" spans="1:7" x14ac:dyDescent="0.2">
      <c r="A61" s="895" t="s">
        <v>499</v>
      </c>
      <c r="B61" s="895" t="s">
        <v>1879</v>
      </c>
      <c r="C61" s="896" t="str">
        <f>'Expenditures 15-22'!B170</f>
        <v>5300</v>
      </c>
      <c r="D61" s="897" t="s">
        <v>311</v>
      </c>
      <c r="E61" s="879"/>
      <c r="F61" s="1913">
        <f>'Expenditures 15-22'!K170</f>
        <v>316000</v>
      </c>
      <c r="G61" s="865"/>
    </row>
    <row r="62" spans="1:7" x14ac:dyDescent="0.2">
      <c r="A62" s="869" t="s">
        <v>461</v>
      </c>
      <c r="B62" s="869" t="s">
        <v>1880</v>
      </c>
      <c r="C62" s="886">
        <f>'Expenditures 15-22'!B185</f>
        <v>3000</v>
      </c>
      <c r="D62" s="876" t="s">
        <v>449</v>
      </c>
      <c r="E62" s="868"/>
      <c r="F62" s="1913">
        <f>'Expenditures 15-22'!K185-SUM('Expenditures 15-22'!G185,'Expenditures 15-22'!I185)</f>
        <v>0</v>
      </c>
      <c r="G62" s="865"/>
    </row>
    <row r="63" spans="1:7" x14ac:dyDescent="0.2">
      <c r="A63" s="869" t="s">
        <v>461</v>
      </c>
      <c r="B63" s="869" t="s">
        <v>1881</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1882</v>
      </c>
      <c r="C64" s="896" t="str">
        <f>'Expenditures 15-22'!B206</f>
        <v>5300</v>
      </c>
      <c r="D64" s="892" t="s">
        <v>311</v>
      </c>
      <c r="E64" s="868"/>
      <c r="F64" s="1913">
        <f>'Expenditures 15-22'!K206</f>
        <v>0</v>
      </c>
      <c r="G64" s="865"/>
    </row>
    <row r="65" spans="1:8" x14ac:dyDescent="0.2">
      <c r="A65" s="869" t="s">
        <v>461</v>
      </c>
      <c r="B65" s="869" t="s">
        <v>1883</v>
      </c>
      <c r="C65" s="886" t="s">
        <v>982</v>
      </c>
      <c r="D65" s="885" t="s">
        <v>1095</v>
      </c>
      <c r="E65" s="868"/>
      <c r="F65" s="1913">
        <f>'Expenditures 15-22'!G210</f>
        <v>557981</v>
      </c>
      <c r="G65" s="865"/>
    </row>
    <row r="66" spans="1:8" x14ac:dyDescent="0.2">
      <c r="A66" s="869" t="s">
        <v>461</v>
      </c>
      <c r="B66" s="869" t="s">
        <v>1884</v>
      </c>
      <c r="C66" s="886" t="s">
        <v>982</v>
      </c>
      <c r="D66" s="885" t="s">
        <v>291</v>
      </c>
      <c r="E66" s="868"/>
      <c r="F66" s="1913">
        <f>'Expenditures 15-22'!I210</f>
        <v>0</v>
      </c>
      <c r="G66" s="865"/>
    </row>
    <row r="67" spans="1:8" x14ac:dyDescent="0.2">
      <c r="A67" s="869" t="s">
        <v>462</v>
      </c>
      <c r="B67" s="869" t="s">
        <v>1885</v>
      </c>
      <c r="C67" s="886" t="str">
        <f>'Expenditures 15-22'!B216</f>
        <v>1125</v>
      </c>
      <c r="D67" s="892" t="str">
        <f>'Expenditures 15-22'!A216</f>
        <v>Pre-K Programs</v>
      </c>
      <c r="E67" s="868"/>
      <c r="F67" s="1913">
        <f>'Expenditures 15-22'!K216</f>
        <v>7441</v>
      </c>
      <c r="G67" s="865"/>
    </row>
    <row r="68" spans="1:8" x14ac:dyDescent="0.2">
      <c r="A68" s="869" t="s">
        <v>462</v>
      </c>
      <c r="B68" s="869" t="s">
        <v>1479</v>
      </c>
      <c r="C68" s="886" t="str">
        <f>'Expenditures 15-22'!B218</f>
        <v>1225</v>
      </c>
      <c r="D68" s="892" t="str">
        <f>'Expenditures 15-22'!A218</f>
        <v>Special Education Programs - Pre-K</v>
      </c>
      <c r="E68" s="868"/>
      <c r="F68" s="1913">
        <f>'Expenditures 15-22'!K218</f>
        <v>1453</v>
      </c>
      <c r="G68" s="865"/>
    </row>
    <row r="69" spans="1:8" x14ac:dyDescent="0.2">
      <c r="A69" s="869" t="s">
        <v>462</v>
      </c>
      <c r="B69" s="869" t="s">
        <v>1886</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1887</v>
      </c>
      <c r="C70" s="886">
        <f>'Expenditures 15-22'!B221</f>
        <v>1300</v>
      </c>
      <c r="D70" s="887" t="str">
        <f>'Expenditures 15-22'!A221</f>
        <v>Adult/Continuing Education Programs</v>
      </c>
      <c r="E70" s="868"/>
      <c r="F70" s="1913">
        <f>'Expenditures 15-22'!K221</f>
        <v>0</v>
      </c>
      <c r="G70" s="865"/>
    </row>
    <row r="71" spans="1:8" x14ac:dyDescent="0.2">
      <c r="A71" s="869" t="s">
        <v>462</v>
      </c>
      <c r="B71" s="869" t="s">
        <v>1888</v>
      </c>
      <c r="C71" s="886">
        <f>'Expenditures 15-22'!B224</f>
        <v>1600</v>
      </c>
      <c r="D71" s="887" t="str">
        <f>'Expenditures 15-22'!A224</f>
        <v>Summer School Programs</v>
      </c>
      <c r="E71" s="868"/>
      <c r="F71" s="1913">
        <f>'Expenditures 15-22'!K224</f>
        <v>0</v>
      </c>
      <c r="G71" s="865"/>
    </row>
    <row r="72" spans="1:8" x14ac:dyDescent="0.2">
      <c r="A72" s="869" t="s">
        <v>462</v>
      </c>
      <c r="B72" s="869" t="s">
        <v>1889</v>
      </c>
      <c r="C72" s="886">
        <f>'Expenditures 15-22'!B280</f>
        <v>3000</v>
      </c>
      <c r="D72" s="876" t="s">
        <v>449</v>
      </c>
      <c r="E72" s="868"/>
      <c r="F72" s="1913">
        <f>'Expenditures 15-22'!K280</f>
        <v>0</v>
      </c>
      <c r="G72" s="865"/>
    </row>
    <row r="73" spans="1:8" x14ac:dyDescent="0.2">
      <c r="A73" s="869" t="s">
        <v>462</v>
      </c>
      <c r="B73" s="869" t="s">
        <v>1890</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1891</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1892</v>
      </c>
      <c r="E76" s="1774" t="s">
        <v>958</v>
      </c>
      <c r="F76" s="1778">
        <f>SUM(F18:F74)</f>
        <v>1351069</v>
      </c>
      <c r="G76" s="865"/>
    </row>
    <row r="77" spans="1:8" s="893" customFormat="1" ht="12" customHeight="1" thickTop="1" thickBot="1" x14ac:dyDescent="0.25">
      <c r="A77" s="1779"/>
      <c r="B77" s="1776"/>
      <c r="C77" s="1772"/>
      <c r="D77" s="1777" t="s">
        <v>1893</v>
      </c>
      <c r="E77" s="1774"/>
      <c r="F77" s="1780">
        <f>(F14-F76)</f>
        <v>5761112</v>
      </c>
      <c r="G77" s="869"/>
    </row>
    <row r="78" spans="1:8" s="893" customFormat="1" ht="12" customHeight="1" thickTop="1" x14ac:dyDescent="0.2">
      <c r="A78" s="1781"/>
      <c r="B78" s="1776"/>
      <c r="C78" s="1772"/>
      <c r="D78" s="1777" t="s">
        <v>2055</v>
      </c>
      <c r="E78" s="1774"/>
      <c r="F78" s="898">
        <v>664</v>
      </c>
      <c r="G78" s="899"/>
      <c r="H78" s="869"/>
    </row>
    <row r="79" spans="1:8" s="893" customFormat="1" ht="12" customHeight="1" thickBot="1" x14ac:dyDescent="0.25">
      <c r="A79" s="1782"/>
      <c r="B79" s="1776"/>
      <c r="C79" s="1772"/>
      <c r="D79" s="1777" t="s">
        <v>1894</v>
      </c>
      <c r="E79" s="1774" t="s">
        <v>958</v>
      </c>
      <c r="F79" s="1783">
        <f>IF(F78&gt;0,F77/F78," Complete Line 78")</f>
        <v>8676.3734939759033</v>
      </c>
      <c r="G79" s="869"/>
    </row>
    <row r="80" spans="1:8" s="893" customFormat="1" ht="8.25" customHeight="1" thickTop="1" x14ac:dyDescent="0.2">
      <c r="A80" s="900"/>
      <c r="B80" s="869"/>
      <c r="C80" s="871"/>
      <c r="D80" s="901"/>
      <c r="E80" s="868"/>
      <c r="F80" s="902"/>
      <c r="G80" s="869"/>
    </row>
    <row r="81" spans="1:7" s="893" customFormat="1" ht="12" thickBot="1" x14ac:dyDescent="0.25">
      <c r="A81" s="2276" t="s">
        <v>1105</v>
      </c>
      <c r="B81" s="2277"/>
      <c r="C81" s="2277"/>
      <c r="D81" s="2277"/>
      <c r="E81" s="2277"/>
      <c r="F81" s="227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117335</v>
      </c>
      <c r="G94" s="912"/>
    </row>
    <row r="95" spans="1:7" x14ac:dyDescent="0.2">
      <c r="A95" s="908" t="s">
        <v>140</v>
      </c>
      <c r="B95" s="908" t="s">
        <v>175</v>
      </c>
      <c r="C95" s="910">
        <v>1700</v>
      </c>
      <c r="D95" s="918" t="str">
        <f>'Revenues 9-14'!A82</f>
        <v>Total District/School Activity Income</v>
      </c>
      <c r="E95" s="906"/>
      <c r="F95" s="1789">
        <f>SUM('Revenues 9-14'!C82,'Revenues 9-14'!D82)</f>
        <v>31174</v>
      </c>
      <c r="G95" s="912"/>
    </row>
    <row r="96" spans="1:7" x14ac:dyDescent="0.2">
      <c r="A96" s="908" t="s">
        <v>459</v>
      </c>
      <c r="B96" s="908" t="s">
        <v>176</v>
      </c>
      <c r="C96" s="910">
        <f>'Revenues 9-14'!B84</f>
        <v>1811</v>
      </c>
      <c r="D96" s="911" t="str">
        <f>'Revenues 9-14'!A84</f>
        <v>Rentals - Regular Textbooks</v>
      </c>
      <c r="E96" s="906"/>
      <c r="F96" s="1789">
        <f>'Revenues 9-14'!C84</f>
        <v>13710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865</v>
      </c>
      <c r="G104" s="912"/>
    </row>
    <row r="105" spans="1:7" x14ac:dyDescent="0.2">
      <c r="A105" s="908" t="s">
        <v>503</v>
      </c>
      <c r="B105" s="908" t="s">
        <v>1996</v>
      </c>
      <c r="C105" s="913">
        <v>3100</v>
      </c>
      <c r="D105" s="919" t="str">
        <f>'Revenues 9-14'!A132</f>
        <v>Total Special Education</v>
      </c>
      <c r="E105" s="906"/>
      <c r="F105" s="1789">
        <f>SUM('Revenues 9-14'!C132:D132,'Revenues 9-14'!F132)</f>
        <v>2089</v>
      </c>
      <c r="G105" s="912"/>
    </row>
    <row r="106" spans="1:7" x14ac:dyDescent="0.2">
      <c r="A106" s="908" t="s">
        <v>673</v>
      </c>
      <c r="B106" s="908" t="s">
        <v>1997</v>
      </c>
      <c r="C106" s="920">
        <v>3200</v>
      </c>
      <c r="D106" s="911" t="str">
        <f>'Revenues 9-14'!A141</f>
        <v>Total Career and Technical Education</v>
      </c>
      <c r="E106" s="906"/>
      <c r="F106" s="1789">
        <f>SUM('Revenues 9-14'!C141,'Revenues 9-14'!D141,'Revenues 9-14'!G141)</f>
        <v>25393</v>
      </c>
      <c r="G106" s="912"/>
    </row>
    <row r="107" spans="1:7" x14ac:dyDescent="0.2">
      <c r="A107" s="921" t="s">
        <v>664</v>
      </c>
      <c r="B107" s="908" t="s">
        <v>1998</v>
      </c>
      <c r="C107" s="920">
        <v>3300</v>
      </c>
      <c r="D107" s="911" t="str">
        <f>'Revenues 9-14'!A145</f>
        <v>Total Bilingual Ed</v>
      </c>
      <c r="E107" s="906"/>
      <c r="F107" s="1789">
        <f>SUM('Revenues 9-14'!C145,'Revenues 9-14'!G145)</f>
        <v>0</v>
      </c>
      <c r="G107" s="912"/>
    </row>
    <row r="108" spans="1:7" x14ac:dyDescent="0.2">
      <c r="A108" s="908" t="s">
        <v>459</v>
      </c>
      <c r="B108" s="908" t="s">
        <v>1999</v>
      </c>
      <c r="C108" s="920">
        <f>'Revenues 9-14'!B146</f>
        <v>3360</v>
      </c>
      <c r="D108" s="911" t="str">
        <f>'Revenues 9-14'!A146</f>
        <v>State Free Lunch &amp; Breakfast</v>
      </c>
      <c r="E108" s="906"/>
      <c r="F108" s="1789">
        <f>'Revenues 9-14'!C146</f>
        <v>2933</v>
      </c>
      <c r="G108" s="912"/>
    </row>
    <row r="109" spans="1:7" x14ac:dyDescent="0.2">
      <c r="A109" s="908" t="s">
        <v>673</v>
      </c>
      <c r="B109" s="908" t="s">
        <v>2000</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2001</v>
      </c>
      <c r="C110" s="920">
        <f>'Revenues 9-14'!B148</f>
        <v>3370</v>
      </c>
      <c r="D110" s="911" t="str">
        <f>'Revenues 9-14'!A148</f>
        <v>Driver Education</v>
      </c>
      <c r="E110" s="906"/>
      <c r="F110" s="1789">
        <f>SUM('Revenues 9-14'!C148,'Revenues 9-14'!D148)</f>
        <v>10538</v>
      </c>
      <c r="G110" s="912"/>
    </row>
    <row r="111" spans="1:7" x14ac:dyDescent="0.2">
      <c r="A111" s="908" t="s">
        <v>668</v>
      </c>
      <c r="B111" s="908" t="s">
        <v>2002</v>
      </c>
      <c r="C111" s="922">
        <v>3500</v>
      </c>
      <c r="D111" s="911" t="str">
        <f>'Revenues 9-14'!A155</f>
        <v>Total Transportation</v>
      </c>
      <c r="E111" s="906"/>
      <c r="F111" s="1789">
        <f>SUM('Revenues 9-14'!C155,'Revenues 9-14'!D155,'Revenues 9-14'!F155,'Revenues 9-14'!G155)</f>
        <v>325130</v>
      </c>
      <c r="G111" s="912"/>
    </row>
    <row r="112" spans="1:7" x14ac:dyDescent="0.2">
      <c r="A112" s="908" t="s">
        <v>459</v>
      </c>
      <c r="B112" s="908" t="s">
        <v>2003</v>
      </c>
      <c r="C112" s="920">
        <f>'Revenues 9-14'!B156</f>
        <v>3610</v>
      </c>
      <c r="D112" s="911" t="str">
        <f>'Revenues 9-14'!A156</f>
        <v>Learning Improvement - Change Grants</v>
      </c>
      <c r="E112" s="906"/>
      <c r="F112" s="1789">
        <f>'Revenues 9-14'!C156</f>
        <v>0</v>
      </c>
      <c r="G112" s="912"/>
    </row>
    <row r="113" spans="1:7" x14ac:dyDescent="0.2">
      <c r="A113" s="908" t="s">
        <v>668</v>
      </c>
      <c r="B113" s="908" t="s">
        <v>2004</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2005</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2006</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2007</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2008</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2009</v>
      </c>
      <c r="C118" s="924">
        <f>'Revenues 9-14'!B163</f>
        <v>3780</v>
      </c>
      <c r="D118" s="925" t="str">
        <f>'Revenues 9-14'!A163</f>
        <v>Technology - Technology for Success</v>
      </c>
      <c r="E118" s="906"/>
      <c r="F118" s="1907">
        <f>SUM('Revenues 9-14'!C163:G163)</f>
        <v>0</v>
      </c>
      <c r="G118" s="912"/>
    </row>
    <row r="119" spans="1:7" x14ac:dyDescent="0.2">
      <c r="A119" s="923" t="s">
        <v>504</v>
      </c>
      <c r="B119" s="923" t="s">
        <v>2010</v>
      </c>
      <c r="C119" s="924">
        <f>'Revenues 9-14'!B164</f>
        <v>3815</v>
      </c>
      <c r="D119" s="925" t="str">
        <f>'Revenues 9-14'!A164</f>
        <v>State Charter Schools</v>
      </c>
      <c r="E119" s="906"/>
      <c r="F119" s="1907">
        <f>SUM('Revenues 9-14'!C164,'Revenues 9-14'!F164)</f>
        <v>0</v>
      </c>
      <c r="G119" s="912"/>
    </row>
    <row r="120" spans="1:7" x14ac:dyDescent="0.2">
      <c r="A120" s="927" t="s">
        <v>460</v>
      </c>
      <c r="B120" s="927" t="s">
        <v>2011</v>
      </c>
      <c r="C120" s="928">
        <f>'Revenues 9-14'!B167</f>
        <v>3925</v>
      </c>
      <c r="D120" s="929" t="str">
        <f>'Revenues 9-14'!A167</f>
        <v>School Infrastructure - Maintenance Projects</v>
      </c>
      <c r="E120" s="906"/>
      <c r="F120" s="1789">
        <f>'Revenues 9-14'!D167</f>
        <v>0</v>
      </c>
      <c r="G120" s="930"/>
    </row>
    <row r="121" spans="1:7" x14ac:dyDescent="0.2">
      <c r="A121" s="927" t="s">
        <v>500</v>
      </c>
      <c r="B121" s="927" t="s">
        <v>2012</v>
      </c>
      <c r="C121" s="928">
        <f>'Revenues 9-14'!B168</f>
        <v>3999</v>
      </c>
      <c r="D121" s="929" t="s">
        <v>543</v>
      </c>
      <c r="E121" s="931"/>
      <c r="F121" s="1789">
        <f>SUM('Revenues 9-14'!C168:G168,'Revenues 9-14'!J168)</f>
        <v>0</v>
      </c>
      <c r="G121" s="930"/>
    </row>
    <row r="122" spans="1:7" x14ac:dyDescent="0.2">
      <c r="A122" s="927" t="s">
        <v>459</v>
      </c>
      <c r="B122" s="927" t="s">
        <v>2013</v>
      </c>
      <c r="C122" s="932">
        <f>'Revenues 9-14'!B177</f>
        <v>4045</v>
      </c>
      <c r="D122" s="929" t="str">
        <f>'Revenues 9-14'!A177 &amp; " (Subtract)"</f>
        <v>Head Start (Subtract)</v>
      </c>
      <c r="E122" s="906"/>
      <c r="F122" s="1789">
        <f>SUM(-'Revenues 9-14'!C177)</f>
        <v>0</v>
      </c>
      <c r="G122" s="930"/>
    </row>
    <row r="123" spans="1:7" x14ac:dyDescent="0.2">
      <c r="A123" s="927" t="s">
        <v>668</v>
      </c>
      <c r="B123" s="927" t="s">
        <v>2014</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2015</v>
      </c>
      <c r="C124" s="932">
        <v>4100</v>
      </c>
      <c r="D124" s="933" t="str">
        <f>'Revenues 9-14'!A188</f>
        <v>Total Title V</v>
      </c>
      <c r="E124" s="906"/>
      <c r="F124" s="1789">
        <f>SUM('Revenues 9-14'!C188,'Revenues 9-14'!D188,'Revenues 9-14'!F188,'Revenues 9-14'!G188)</f>
        <v>0</v>
      </c>
      <c r="G124" s="930"/>
    </row>
    <row r="125" spans="1:7" x14ac:dyDescent="0.2">
      <c r="A125" s="927" t="s">
        <v>664</v>
      </c>
      <c r="B125" s="927" t="s">
        <v>2016</v>
      </c>
      <c r="C125" s="932">
        <v>4200</v>
      </c>
      <c r="D125" s="929" t="str">
        <f>'Revenues 9-14'!A198</f>
        <v>Total Food Service</v>
      </c>
      <c r="E125" s="906"/>
      <c r="F125" s="1789">
        <f>SUM('Revenues 9-14'!C198,'Revenues 9-14'!G198)</f>
        <v>157336</v>
      </c>
      <c r="G125" s="930"/>
    </row>
    <row r="126" spans="1:7" x14ac:dyDescent="0.2">
      <c r="A126" s="927" t="s">
        <v>668</v>
      </c>
      <c r="B126" s="927" t="s">
        <v>2017</v>
      </c>
      <c r="C126" s="932">
        <v>4300</v>
      </c>
      <c r="D126" s="933" t="str">
        <f>'Revenues 9-14'!A204</f>
        <v>Total Title I</v>
      </c>
      <c r="E126" s="906"/>
      <c r="F126" s="1789">
        <f>SUM('Revenues 9-14'!C204,'Revenues 9-14'!D204,'Revenues 9-14'!F204,'Revenues 9-14'!G204)</f>
        <v>159697</v>
      </c>
      <c r="G126" s="930"/>
    </row>
    <row r="127" spans="1:7" x14ac:dyDescent="0.2">
      <c r="A127" s="927" t="s">
        <v>668</v>
      </c>
      <c r="B127" s="927" t="s">
        <v>2018</v>
      </c>
      <c r="C127" s="932">
        <v>4400</v>
      </c>
      <c r="D127" s="933" t="str">
        <f>'Revenues 9-14'!A209</f>
        <v>Total Title IV</v>
      </c>
      <c r="E127" s="906"/>
      <c r="F127" s="1789">
        <f>SUM('Revenues 9-14'!C209,'Revenues 9-14'!D209,'Revenues 9-14'!F209,'Revenues 9-14'!G209)</f>
        <v>10000</v>
      </c>
      <c r="G127" s="930"/>
    </row>
    <row r="128" spans="1:7" x14ac:dyDescent="0.2">
      <c r="A128" s="927" t="s">
        <v>668</v>
      </c>
      <c r="B128" s="927" t="s">
        <v>2019</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2020</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2021</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2022</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2023</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2024</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2025</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2026</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2027</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2028</v>
      </c>
      <c r="C138" s="935" t="s">
        <v>212</v>
      </c>
      <c r="D138" s="936" t="str">
        <f>'Revenues 9-14'!A229</f>
        <v>ARRA - IDEA - Part B - Preschool</v>
      </c>
      <c r="E138" s="937"/>
      <c r="F138" s="1789">
        <v>0</v>
      </c>
      <c r="G138" s="905"/>
    </row>
    <row r="139" spans="1:7" s="867" customFormat="1" hidden="1" x14ac:dyDescent="0.2">
      <c r="A139" s="934" t="s">
        <v>206</v>
      </c>
      <c r="B139" s="934" t="s">
        <v>2029</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2030</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2031</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2032</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2033</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2034</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2035</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2036</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2037</v>
      </c>
      <c r="C157" s="940" t="s">
        <v>841</v>
      </c>
      <c r="D157" s="941" t="s">
        <v>777</v>
      </c>
      <c r="E157" s="942"/>
      <c r="F157" s="1789">
        <f>SUM(F133:F156)</f>
        <v>0</v>
      </c>
      <c r="G157" s="905"/>
    </row>
    <row r="158" spans="1:7" s="867" customFormat="1" x14ac:dyDescent="0.2">
      <c r="A158" s="938" t="s">
        <v>459</v>
      </c>
      <c r="B158" s="939" t="s">
        <v>2038</v>
      </c>
      <c r="C158" s="940" t="s">
        <v>1427</v>
      </c>
      <c r="D158" s="941" t="s">
        <v>1428</v>
      </c>
      <c r="E158" s="942"/>
      <c r="F158" s="1789">
        <f>SUM('Revenues 9-14'!C253)</f>
        <v>0</v>
      </c>
      <c r="G158" s="905"/>
    </row>
    <row r="159" spans="1:7" s="867" customFormat="1" x14ac:dyDescent="0.2">
      <c r="A159" s="938" t="s">
        <v>500</v>
      </c>
      <c r="B159" s="939" t="s">
        <v>2039</v>
      </c>
      <c r="C159" s="940" t="s">
        <v>1466</v>
      </c>
      <c r="D159" s="941" t="s">
        <v>1467</v>
      </c>
      <c r="E159" s="942"/>
      <c r="F159" s="1789">
        <f>SUM('Revenues 9-14'!C254:H254,'Revenues 9-14'!J254:K254)</f>
        <v>0</v>
      </c>
      <c r="G159" s="905"/>
    </row>
    <row r="160" spans="1:7" x14ac:dyDescent="0.2">
      <c r="A160" s="927" t="s">
        <v>5</v>
      </c>
      <c r="B160" s="927" t="s">
        <v>2040</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2041</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2042</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2043</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2044</v>
      </c>
      <c r="C164" s="932">
        <f>'Revenues 9-14'!B259</f>
        <v>4932</v>
      </c>
      <c r="D164" s="933" t="str">
        <f>'Revenues 9-14'!A259</f>
        <v>Title II - Teacher Quality</v>
      </c>
      <c r="E164" s="906"/>
      <c r="F164" s="1907">
        <f>SUM('Revenues 9-14'!C259,'Revenues 9-14'!D259,'Revenues 9-14'!F259,'Revenues 9-14'!G259)</f>
        <v>44422</v>
      </c>
      <c r="G164" s="930"/>
    </row>
    <row r="165" spans="1:7" x14ac:dyDescent="0.2">
      <c r="A165" s="927" t="s">
        <v>668</v>
      </c>
      <c r="B165" s="927" t="s">
        <v>2045</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1990</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1991</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2046</v>
      </c>
      <c r="C168" s="932">
        <f>'Revenues 9-14'!B263</f>
        <v>4991</v>
      </c>
      <c r="D168" s="933" t="str">
        <f>'Revenues 9-14'!A263</f>
        <v>Medicaid Matching Funds - Administrative Outreach</v>
      </c>
      <c r="E168" s="906"/>
      <c r="F168" s="1789">
        <f>SUM('Revenues 9-14'!C263:D263,'Revenues 9-14'!F263:G263)</f>
        <v>6729</v>
      </c>
      <c r="G168" s="947">
        <v>6320</v>
      </c>
    </row>
    <row r="169" spans="1:7" x14ac:dyDescent="0.2">
      <c r="A169" s="927" t="s">
        <v>668</v>
      </c>
      <c r="B169" s="927" t="s">
        <v>2047</v>
      </c>
      <c r="C169" s="932">
        <f>'Revenues 9-14'!B264</f>
        <v>4992</v>
      </c>
      <c r="D169" s="933" t="str">
        <f>'Revenues 9-14'!A264</f>
        <v>Medicaid Matching Funds - Fee-for-Service Program</v>
      </c>
      <c r="E169" s="906"/>
      <c r="F169" s="1789">
        <f>SUM('Revenues 9-14'!C264:D264,'Revenues 9-14'!F264:G264)</f>
        <v>44824</v>
      </c>
      <c r="G169" s="947"/>
    </row>
    <row r="170" spans="1:7" x14ac:dyDescent="0.2">
      <c r="A170" s="948" t="s">
        <v>668</v>
      </c>
      <c r="B170" s="944" t="s">
        <v>2048</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1913</v>
      </c>
      <c r="C171" s="1920">
        <v>3100</v>
      </c>
      <c r="D171" s="1921" t="s">
        <v>1915</v>
      </c>
      <c r="E171" s="906"/>
      <c r="F171" s="1906"/>
      <c r="G171" s="927"/>
    </row>
    <row r="172" spans="1:7" x14ac:dyDescent="0.2">
      <c r="A172" s="1918" t="s">
        <v>664</v>
      </c>
      <c r="B172" s="1919" t="s">
        <v>1913</v>
      </c>
      <c r="C172" s="1920">
        <v>3300</v>
      </c>
      <c r="D172" s="1921" t="s">
        <v>1916</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2049</v>
      </c>
      <c r="E174" s="1787" t="s">
        <v>958</v>
      </c>
      <c r="F174" s="1788">
        <f>SUM(F84:F132,F157:F172)</f>
        <v>952175</v>
      </c>
    </row>
    <row r="175" spans="1:7" ht="12" customHeight="1" x14ac:dyDescent="0.2">
      <c r="A175" s="1770"/>
      <c r="B175" s="1784"/>
      <c r="C175" s="1785"/>
      <c r="D175" s="1786" t="s">
        <v>2050</v>
      </c>
      <c r="E175" s="1787"/>
      <c r="F175" s="1789">
        <f>'PCTC-OEPP 27-28'!F77-F174</f>
        <v>4808937</v>
      </c>
    </row>
    <row r="176" spans="1:7" ht="12" customHeight="1" x14ac:dyDescent="0.2">
      <c r="A176" s="1770"/>
      <c r="B176" s="1784"/>
      <c r="C176" s="1785"/>
      <c r="D176" s="1786" t="s">
        <v>1811</v>
      </c>
      <c r="E176" s="1787"/>
      <c r="F176" s="1789">
        <f>'Cap Outlay Deprec 26'!I18</f>
        <v>297480</v>
      </c>
    </row>
    <row r="177" spans="1:7" ht="12" customHeight="1" x14ac:dyDescent="0.2">
      <c r="A177" s="1770"/>
      <c r="B177" s="1784"/>
      <c r="C177" s="1785"/>
      <c r="D177" s="1786" t="s">
        <v>2051</v>
      </c>
      <c r="E177" s="1787"/>
      <c r="F177" s="1789">
        <f>F175+F176</f>
        <v>5106417</v>
      </c>
    </row>
    <row r="178" spans="1:7" ht="12" customHeight="1" x14ac:dyDescent="0.2">
      <c r="A178" s="1770"/>
      <c r="B178" s="1790"/>
      <c r="C178" s="1785"/>
      <c r="D178" s="1786" t="str">
        <f>D78</f>
        <v>9 Month ADA from District Average Daily Attendance/Prior General State Aid Inquiry 2018-2019</v>
      </c>
      <c r="E178" s="1787"/>
      <c r="F178" s="1791">
        <f>'PCTC-OEPP 27-28'!F78</f>
        <v>664</v>
      </c>
      <c r="G178" s="930"/>
    </row>
    <row r="179" spans="1:7" ht="12" customHeight="1" thickBot="1" x14ac:dyDescent="0.25">
      <c r="A179" s="1770"/>
      <c r="B179" s="1790"/>
      <c r="C179" s="1785"/>
      <c r="D179" s="1786" t="s">
        <v>2052</v>
      </c>
      <c r="E179" s="1787" t="s">
        <v>1545</v>
      </c>
      <c r="F179" s="1792">
        <f>F177/F178</f>
        <v>7690.3870481927706</v>
      </c>
      <c r="G179" s="856">
        <v>6323</v>
      </c>
    </row>
    <row r="180" spans="1:7" ht="12" thickTop="1" x14ac:dyDescent="0.2">
      <c r="B180" s="930"/>
      <c r="C180" s="949"/>
      <c r="D180" s="930"/>
      <c r="E180" s="949"/>
      <c r="F180" s="930"/>
      <c r="G180" s="951">
        <v>6326</v>
      </c>
    </row>
    <row r="181" spans="1:7" ht="12.2" customHeight="1" x14ac:dyDescent="0.2">
      <c r="A181" s="930" t="s">
        <v>1914</v>
      </c>
      <c r="B181" s="930"/>
      <c r="C181" s="949"/>
      <c r="D181" s="930"/>
      <c r="E181" s="949"/>
      <c r="F181" s="930"/>
      <c r="G181" s="930"/>
    </row>
    <row r="182" spans="1:7" s="1922" customFormat="1" ht="12.2" customHeight="1" x14ac:dyDescent="0.2">
      <c r="A182" s="1922" t="s">
        <v>1987</v>
      </c>
      <c r="B182" s="1923"/>
      <c r="C182" s="1924"/>
      <c r="D182" s="1923"/>
      <c r="E182" s="1924"/>
      <c r="F182" s="1923"/>
      <c r="G182" s="1923"/>
    </row>
    <row r="183" spans="1:7" s="1922" customFormat="1" ht="12.2" customHeight="1" x14ac:dyDescent="0.2">
      <c r="A183" s="1925" t="s">
        <v>1989</v>
      </c>
      <c r="C183" s="1924"/>
      <c r="D183" s="1923"/>
      <c r="E183" s="1924"/>
      <c r="F183" s="1923"/>
      <c r="G183" s="1923"/>
    </row>
    <row r="184" spans="1:7" ht="12" customHeight="1" x14ac:dyDescent="0.2">
      <c r="C184" s="949"/>
      <c r="D184" s="930"/>
      <c r="E184" s="949"/>
      <c r="F184" s="930"/>
      <c r="G184" s="930"/>
    </row>
    <row r="185" spans="1:7" x14ac:dyDescent="0.2">
      <c r="A185" s="1926" t="s">
        <v>1918</v>
      </c>
      <c r="B185" s="1927" t="s">
        <v>1917</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zoomScaleNormal="100" workbookViewId="0">
      <selection activeCell="A17" sqref="A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1826</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90" t="s">
        <v>1812</v>
      </c>
      <c r="B4" s="2291"/>
      <c r="C4" s="2291"/>
      <c r="D4" s="2291"/>
      <c r="E4" s="2291"/>
      <c r="F4" s="2291"/>
      <c r="G4" s="2292"/>
    </row>
    <row r="5" spans="1:7" x14ac:dyDescent="0.25">
      <c r="A5" s="2293"/>
      <c r="B5" s="2294"/>
      <c r="C5" s="2294"/>
      <c r="D5" s="2294"/>
      <c r="E5" s="2294"/>
      <c r="F5" s="2294"/>
      <c r="G5" s="2295"/>
    </row>
    <row r="6" spans="1:7" ht="18.75" x14ac:dyDescent="0.25">
      <c r="A6" s="1534" t="s">
        <v>1813</v>
      </c>
      <c r="B6" s="1535"/>
      <c r="C6" s="1535"/>
      <c r="D6" s="1535"/>
      <c r="E6" s="1535"/>
      <c r="F6" s="1535"/>
      <c r="G6" s="1536"/>
    </row>
    <row r="7" spans="1:7" ht="30.75" customHeight="1" x14ac:dyDescent="0.25">
      <c r="A7" s="2296" t="s">
        <v>1925</v>
      </c>
      <c r="B7" s="2297"/>
      <c r="C7" s="2297"/>
      <c r="D7" s="2297"/>
      <c r="E7" s="2297"/>
      <c r="F7" s="2297"/>
      <c r="G7" s="2298"/>
    </row>
    <row r="8" spans="1:7" ht="15.75" customHeight="1" x14ac:dyDescent="0.25">
      <c r="A8" s="2299" t="s">
        <v>1900</v>
      </c>
      <c r="B8" s="2300"/>
      <c r="C8" s="2300"/>
      <c r="D8" s="2300"/>
      <c r="E8" s="2300"/>
      <c r="F8" s="2300"/>
      <c r="G8" s="2301"/>
    </row>
    <row r="9" spans="1:7" ht="35.25" customHeight="1" x14ac:dyDescent="0.25">
      <c r="A9" s="2296" t="s">
        <v>1928</v>
      </c>
      <c r="B9" s="2297"/>
      <c r="C9" s="2297"/>
      <c r="D9" s="2297"/>
      <c r="E9" s="2297"/>
      <c r="F9" s="2297"/>
      <c r="G9" s="2298"/>
    </row>
    <row r="10" spans="1:7" ht="15" customHeight="1" x14ac:dyDescent="0.25">
      <c r="A10" s="1537" t="s">
        <v>1814</v>
      </c>
      <c r="B10" s="1538"/>
      <c r="C10" s="1538"/>
      <c r="D10" s="1538"/>
      <c r="E10" s="1538"/>
      <c r="F10" s="1538"/>
      <c r="G10" s="1539"/>
    </row>
    <row r="11" spans="1:7" ht="17.25" customHeight="1" x14ac:dyDescent="0.25">
      <c r="A11" s="2296" t="s">
        <v>1927</v>
      </c>
      <c r="B11" s="2297"/>
      <c r="C11" s="2297"/>
      <c r="D11" s="2297"/>
      <c r="E11" s="2297"/>
      <c r="F11" s="2297"/>
      <c r="G11" s="2298"/>
    </row>
    <row r="12" spans="1:7" ht="15" customHeight="1" x14ac:dyDescent="0.25">
      <c r="A12" s="1537" t="s">
        <v>1819</v>
      </c>
      <c r="B12" s="1538"/>
      <c r="C12" s="1538"/>
      <c r="D12" s="1538"/>
      <c r="E12" s="1538"/>
      <c r="F12" s="1538"/>
      <c r="G12" s="1539"/>
    </row>
    <row r="13" spans="1:7" ht="32.25" customHeight="1" x14ac:dyDescent="0.25">
      <c r="A13" s="2287" t="s">
        <v>1969</v>
      </c>
      <c r="B13" s="2288"/>
      <c r="C13" s="2288"/>
      <c r="D13" s="2288"/>
      <c r="E13" s="2288"/>
      <c r="F13" s="2288"/>
      <c r="G13" s="2289"/>
    </row>
    <row r="14" spans="1:7" x14ac:dyDescent="0.25">
      <c r="A14" s="1661" t="s">
        <v>1827</v>
      </c>
      <c r="B14" s="1662"/>
      <c r="C14" s="1662"/>
      <c r="D14" s="1662"/>
      <c r="E14" s="1662"/>
      <c r="F14" s="1662"/>
      <c r="G14" s="1663"/>
    </row>
    <row r="15" spans="1:7" ht="61.5" customHeight="1" x14ac:dyDescent="0.25">
      <c r="A15" s="1546" t="s">
        <v>1820</v>
      </c>
      <c r="B15" s="1546" t="s">
        <v>1821</v>
      </c>
      <c r="C15" s="1546" t="s">
        <v>1822</v>
      </c>
      <c r="D15" s="1547" t="s">
        <v>1823</v>
      </c>
      <c r="E15" s="1547" t="s">
        <v>1815</v>
      </c>
      <c r="F15" s="1547" t="s">
        <v>1824</v>
      </c>
      <c r="G15" s="1547" t="s">
        <v>1825</v>
      </c>
    </row>
    <row r="16" spans="1:7" x14ac:dyDescent="0.25">
      <c r="A16" s="1648" t="s">
        <v>1828</v>
      </c>
      <c r="B16" s="1649" t="s">
        <v>1818</v>
      </c>
      <c r="C16" s="1650" t="s">
        <v>1816</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2079</v>
      </c>
      <c r="B17" s="1934" t="s">
        <v>2079</v>
      </c>
      <c r="C17" s="1938" t="s">
        <v>2079</v>
      </c>
      <c r="D17" s="1939">
        <v>0</v>
      </c>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v>1</v>
      </c>
      <c r="E140" s="1540">
        <f t="shared" si="2"/>
        <v>1</v>
      </c>
      <c r="F140" s="1932">
        <f t="shared" si="6"/>
        <v>0</v>
      </c>
      <c r="G140" s="1793">
        <f t="shared" si="3"/>
        <v>0</v>
      </c>
    </row>
    <row r="141" spans="1:7" x14ac:dyDescent="0.25">
      <c r="A141" s="1796" t="s">
        <v>156</v>
      </c>
      <c r="B141" s="1797"/>
      <c r="C141" s="1798"/>
      <c r="D141" s="1794">
        <f>SUM(D17:D140)</f>
        <v>1</v>
      </c>
      <c r="E141" s="1541">
        <f t="shared" si="0"/>
        <v>1</v>
      </c>
      <c r="F141" s="1933">
        <f>SUM(F17:F140)</f>
        <v>0</v>
      </c>
      <c r="G141" s="1795">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02" t="s">
        <v>1679</v>
      </c>
      <c r="B5" s="2303"/>
      <c r="C5" s="2303"/>
      <c r="D5" s="2303"/>
      <c r="E5" s="2303"/>
      <c r="F5" s="2303"/>
      <c r="G5" s="230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1926</v>
      </c>
      <c r="B10" s="971"/>
      <c r="C10" s="976"/>
      <c r="D10" s="972"/>
      <c r="E10" s="973">
        <f>+'Expenditures 15-22'!E63+'Expenditures 15-22'!F63</f>
        <v>225638</v>
      </c>
      <c r="F10" s="974"/>
      <c r="G10" s="975"/>
      <c r="H10" s="162"/>
      <c r="I10" s="162"/>
    </row>
    <row r="11" spans="1:9" s="668" customFormat="1" ht="22.5" customHeight="1" x14ac:dyDescent="0.2">
      <c r="A11" s="2307" t="s">
        <v>1970</v>
      </c>
      <c r="B11" s="2308"/>
      <c r="C11" s="2308"/>
      <c r="D11" s="2309"/>
      <c r="E11" s="977">
        <v>17421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3462155</v>
      </c>
      <c r="F19" s="1799"/>
      <c r="G19" s="1801">
        <f>'Expenditures 15-22'!K33-SUM('Expenditures 15-22'!G33,'Expenditures 15-22'!I33)+'Expenditures 15-22'!D229</f>
        <v>3462155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218459</v>
      </c>
      <c r="F21" s="1802"/>
      <c r="G21" s="1805">
        <f>'Expenditures 15-22'!K42-SUM('Expenditures 15-22'!G42,'Expenditures 15-22'!I42)+'Expenditures 15-22'!K120-SUM('Expenditures 15-22'!G120,'Expenditures 15-22'!I120)+'Expenditures 15-22'!K180-SUM('Expenditures 15-22'!G180,'Expenditures 15-22'!I180)+'Expenditures 15-22'!D238</f>
        <v>218459</v>
      </c>
      <c r="H21" s="987"/>
      <c r="I21" s="162"/>
    </row>
    <row r="22" spans="1:9" s="668" customFormat="1" ht="12" customHeight="1" x14ac:dyDescent="0.2">
      <c r="A22" s="994" t="s">
        <v>564</v>
      </c>
      <c r="B22" s="995"/>
      <c r="C22" s="993">
        <v>2200</v>
      </c>
      <c r="D22" s="1802"/>
      <c r="E22" s="1804">
        <f>'Expenditures 15-22'!K47-SUM('Expenditures 15-22'!G47,'Expenditures 15-22'!I47)+'Expenditures 15-22'!D243</f>
        <v>0</v>
      </c>
      <c r="F22" s="1802"/>
      <c r="G22" s="1805">
        <f>'Expenditures 15-22'!K47-SUM('Expenditures 15-22'!G47,'Expenditures 15-22'!I47)+'Expenditures 15-22'!D243</f>
        <v>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280389</v>
      </c>
      <c r="F23" s="1802"/>
      <c r="G23" s="1804">
        <f>'Expenditures 15-22'!K53-SUM('Expenditures 15-22'!G53,'Expenditures 15-22'!I53)+'Expenditures 15-22'!D257+'Expenditures 15-22'!K330-SUM('Expenditures 15-22'!G330,'Expenditures 15-22'!I330)</f>
        <v>280389</v>
      </c>
      <c r="H23" s="987"/>
      <c r="I23" s="162"/>
    </row>
    <row r="24" spans="1:9" s="668" customFormat="1" ht="12" customHeight="1" x14ac:dyDescent="0.2">
      <c r="A24" s="994" t="s">
        <v>566</v>
      </c>
      <c r="B24" s="995"/>
      <c r="C24" s="993">
        <v>2400</v>
      </c>
      <c r="D24" s="1802"/>
      <c r="E24" s="1804">
        <f>'Expenditures 15-22'!K57-SUM('Expenditures 15-22'!G57,'Expenditures 15-22'!I57)+'Expenditures 15-22'!D261</f>
        <v>331337</v>
      </c>
      <c r="F24" s="1802"/>
      <c r="G24" s="1805">
        <f>'Expenditures 15-22'!K57-SUM('Expenditures 15-22'!G57,'Expenditures 15-22'!I57)+'Expenditures 15-22'!D261</f>
        <v>331337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113004</v>
      </c>
      <c r="E27" s="1804">
        <f>E8</f>
        <v>0</v>
      </c>
      <c r="F27" s="1804">
        <f>'Expenditures 15-22'!K60-SUM('Expenditures 15-22'!G60,'Expenditures 15-22'!I60)+'Expenditures 15-22'!D264-E8</f>
        <v>113004</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603211</v>
      </c>
      <c r="F28" s="1806">
        <f>'Expenditures 15-22'!K61-SUM('Expenditures 15-22'!G61,'Expenditures 15-22'!I61)+'Expenditures 15-22'!K124-SUM('Expenditures 15-22'!G124,'Expenditures 15-22'!I124)+'Expenditures 15-22'!D266-E9</f>
        <v>603211</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496779</v>
      </c>
      <c r="F29" s="1802"/>
      <c r="G29" s="1805">
        <f>'Expenditures 15-22'!K62-SUM('Expenditures 15-22'!G62,'Expenditures 15-22'!I62)+'Expenditures 15-22'!K125-SUM('Expenditures 15-22'!G125,'Expenditures 15-22'!I125)+'Expenditures 15-22'!K182-SUM('Expenditures 15-22'!G182,'Expenditures 15-22'!I182)+'Expenditures 15-22'!D267</f>
        <v>496779</v>
      </c>
      <c r="H29" s="985"/>
    </row>
    <row r="30" spans="1:9" ht="12" customHeight="1" x14ac:dyDescent="0.2">
      <c r="A30" s="994" t="s">
        <v>100</v>
      </c>
      <c r="B30" s="997"/>
      <c r="C30" s="993">
        <v>2560</v>
      </c>
      <c r="D30" s="1802"/>
      <c r="E30" s="1804">
        <f>'Expenditures 15-22'!K63-SUM('Expenditures 15-22'!G63,'Expenditures 15-22'!I63)+'Expenditures 15-22'!D268-E10</f>
        <v>133443</v>
      </c>
      <c r="F30" s="1802"/>
      <c r="G30" s="1804">
        <f>'Expenditures 15-22'!K63-SUM('Expenditures 15-22'!G63,'Expenditures 15-22'!I63)+'Expenditures 15-22'!D268-E10</f>
        <v>133443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56308</v>
      </c>
      <c r="E37" s="1804">
        <f>E14</f>
        <v>0</v>
      </c>
      <c r="F37" s="1804">
        <f>'Expenditures 15-22'!K71-SUM('Expenditures 15-22'!G71,'Expenditures 15-22'!I71)+'Expenditures 15-22'!D276-E14</f>
        <v>56308</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1817</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169312</v>
      </c>
      <c r="E41" s="1806">
        <f>SUM(E19:E40)</f>
        <v>5525773</v>
      </c>
      <c r="F41" s="1806">
        <f>SUM(F19:F39)</f>
        <v>772523</v>
      </c>
      <c r="G41" s="1806">
        <f>SUM(G19:G40)</f>
        <v>4922562</v>
      </c>
    </row>
    <row r="42" spans="1:7" x14ac:dyDescent="0.2">
      <c r="A42" s="987"/>
      <c r="B42" s="162"/>
      <c r="C42" s="1001"/>
      <c r="D42" s="2305" t="s">
        <v>522</v>
      </c>
      <c r="E42" s="2306"/>
      <c r="F42" s="1002" t="s">
        <v>523</v>
      </c>
      <c r="G42" s="1003"/>
    </row>
    <row r="43" spans="1:7" ht="12" customHeight="1" x14ac:dyDescent="0.2">
      <c r="A43" s="987"/>
      <c r="B43" s="162"/>
      <c r="C43" s="1001"/>
      <c r="D43" s="1807" t="s">
        <v>473</v>
      </c>
      <c r="E43" s="1808">
        <f>D41</f>
        <v>169312</v>
      </c>
      <c r="F43" s="1807" t="s">
        <v>473</v>
      </c>
      <c r="G43" s="1808">
        <f>F41</f>
        <v>772523</v>
      </c>
    </row>
    <row r="44" spans="1:7" ht="12" customHeight="1" x14ac:dyDescent="0.2">
      <c r="A44" s="987"/>
      <c r="B44" s="162"/>
      <c r="C44" s="1001"/>
      <c r="D44" s="1807" t="s">
        <v>474</v>
      </c>
      <c r="E44" s="1808">
        <f>E41</f>
        <v>5525773</v>
      </c>
      <c r="F44" s="1807" t="s">
        <v>474</v>
      </c>
      <c r="G44" s="1808">
        <f>G41</f>
        <v>4922562</v>
      </c>
    </row>
    <row r="45" spans="1:7" ht="12" customHeight="1" x14ac:dyDescent="0.2">
      <c r="A45" s="987"/>
      <c r="B45" s="162"/>
      <c r="C45" s="162"/>
      <c r="D45" s="1809" t="s">
        <v>1006</v>
      </c>
      <c r="E45" s="1810">
        <f>(E43/E44)</f>
        <v>3.0640418996582017E-2</v>
      </c>
      <c r="F45" s="1809" t="s">
        <v>1006</v>
      </c>
      <c r="G45" s="1810">
        <f>(G43/G44)</f>
        <v>0.15693514881072093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3" t="s">
        <v>1379</v>
      </c>
      <c r="B1" s="2313"/>
      <c r="C1" s="2313"/>
      <c r="D1" s="2313"/>
      <c r="E1" s="2313"/>
      <c r="F1" s="2313"/>
    </row>
    <row r="2" spans="1:10" x14ac:dyDescent="0.2">
      <c r="A2" s="1887" t="s">
        <v>1905</v>
      </c>
      <c r="B2" s="1848"/>
      <c r="C2" s="1887"/>
      <c r="D2" s="1848"/>
      <c r="E2" s="1848"/>
      <c r="F2" s="1849"/>
    </row>
    <row r="3" spans="1:10" x14ac:dyDescent="0.2">
      <c r="A3" s="1887" t="s">
        <v>1971</v>
      </c>
      <c r="B3" s="1848"/>
      <c r="C3" s="1887"/>
      <c r="D3" s="1848"/>
      <c r="E3" s="1848"/>
      <c r="F3" s="1849"/>
    </row>
    <row r="4" spans="1:10" ht="3.75" customHeight="1" x14ac:dyDescent="0.2">
      <c r="A4" s="1848"/>
      <c r="B4" s="1848"/>
      <c r="C4" s="1848"/>
      <c r="D4" s="1848"/>
      <c r="E4" s="1848"/>
      <c r="F4" s="1849"/>
    </row>
    <row r="5" spans="1:10" ht="15" x14ac:dyDescent="0.25">
      <c r="A5" s="2314" t="s">
        <v>1546</v>
      </c>
      <c r="B5" s="2315"/>
      <c r="C5" s="2316"/>
      <c r="D5" s="2316"/>
      <c r="E5" s="2316"/>
      <c r="F5" s="2316"/>
    </row>
    <row r="6" spans="1:10" ht="12" customHeight="1" x14ac:dyDescent="0.25">
      <c r="A6" s="1850"/>
      <c r="B6" s="1851"/>
      <c r="C6" s="2317" t="str">
        <f>COVER!A17</f>
        <v>Norris City-Omaha-Enfield CUSD 3</v>
      </c>
      <c r="D6" s="2317"/>
      <c r="E6" s="2317"/>
      <c r="F6" s="1852"/>
    </row>
    <row r="7" spans="1:10" ht="11.25" customHeight="1" thickBot="1" x14ac:dyDescent="0.3">
      <c r="A7" s="1850"/>
      <c r="B7" s="1851"/>
      <c r="C7" s="2318">
        <f>COVER!A13</f>
        <v>20097003026</v>
      </c>
      <c r="D7" s="2318"/>
      <c r="E7" s="2318"/>
      <c r="F7" s="1852"/>
    </row>
    <row r="8" spans="1:10" ht="25.5" customHeight="1" thickBot="1" x14ac:dyDescent="0.25">
      <c r="A8" s="1893" t="s">
        <v>1901</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2057</v>
      </c>
      <c r="D26" s="1865" t="s">
        <v>2057</v>
      </c>
      <c r="E26" s="1868" t="s">
        <v>2057</v>
      </c>
      <c r="F26" s="1867" t="s">
        <v>2080</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2057</v>
      </c>
      <c r="D31" s="1865" t="s">
        <v>2057</v>
      </c>
      <c r="E31" s="1868" t="s">
        <v>2057</v>
      </c>
      <c r="F31" s="1867" t="s">
        <v>2081</v>
      </c>
      <c r="H31" s="1878">
        <f t="shared" si="0"/>
        <v>5</v>
      </c>
      <c r="I31" s="1878">
        <f t="shared" si="1"/>
        <v>5</v>
      </c>
      <c r="J31" s="1878">
        <f t="shared" si="2"/>
        <v>5</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73"/>
      <c r="B39" s="1873"/>
      <c r="C39" s="1873"/>
      <c r="D39" s="1873"/>
      <c r="E39" s="1873"/>
      <c r="F39" s="1873"/>
    </row>
    <row r="40" spans="1:11" s="1870" customFormat="1" ht="12" customHeight="1" x14ac:dyDescent="0.25">
      <c r="A40" s="1874" t="s">
        <v>1391</v>
      </c>
      <c r="B40" s="1875"/>
      <c r="C40" s="2327"/>
      <c r="D40" s="2327"/>
      <c r="E40" s="2327"/>
      <c r="F40" s="2328"/>
      <c r="H40" s="1879"/>
      <c r="I40" s="1879"/>
      <c r="J40" s="1879"/>
      <c r="K40" s="1879"/>
    </row>
    <row r="41" spans="1:11" s="1870" customFormat="1" ht="12" customHeight="1" x14ac:dyDescent="0.25">
      <c r="A41" s="2329"/>
      <c r="B41" s="2330"/>
      <c r="C41" s="2330"/>
      <c r="D41" s="2330"/>
      <c r="E41" s="2330"/>
      <c r="F41" s="2331"/>
      <c r="H41" s="1879"/>
      <c r="I41" s="1879"/>
      <c r="J41" s="1879"/>
      <c r="K41" s="1879"/>
    </row>
    <row r="42" spans="1:11" s="1870" customFormat="1" ht="12" customHeight="1" x14ac:dyDescent="0.25">
      <c r="A42" s="2329"/>
      <c r="B42" s="2330"/>
      <c r="C42" s="2330"/>
      <c r="D42" s="2330"/>
      <c r="E42" s="2330"/>
      <c r="F42" s="2331"/>
      <c r="H42" s="1879"/>
      <c r="I42" s="1879"/>
      <c r="J42" s="1879"/>
      <c r="K42" s="1879"/>
    </row>
    <row r="43" spans="1:11" s="1870" customFormat="1" ht="15" x14ac:dyDescent="0.25">
      <c r="A43" s="2321"/>
      <c r="B43" s="2322"/>
      <c r="C43" s="2322"/>
      <c r="D43" s="2322"/>
      <c r="E43" s="2322"/>
      <c r="F43" s="2323"/>
      <c r="H43" s="1879"/>
      <c r="I43" s="1879"/>
      <c r="J43" s="1879"/>
      <c r="K43" s="1879"/>
    </row>
    <row r="44" spans="1:11" s="1870" customFormat="1" ht="12" hidden="1" customHeight="1" x14ac:dyDescent="0.25">
      <c r="A44" s="2321"/>
      <c r="B44" s="2322"/>
      <c r="C44" s="2322"/>
      <c r="D44" s="2322"/>
      <c r="E44" s="2322"/>
      <c r="F44" s="232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P28" sqref="P2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37" t="str">
        <f>COVER!A17</f>
        <v>Norris City-Omaha-Enfield CUSD 3</v>
      </c>
      <c r="J6" s="2338"/>
      <c r="Q6" s="1664"/>
    </row>
    <row r="7" spans="1:17" x14ac:dyDescent="0.2">
      <c r="A7" s="2339" t="s">
        <v>869</v>
      </c>
      <c r="B7" s="2340"/>
      <c r="C7" s="2340"/>
      <c r="D7" s="2340"/>
      <c r="E7" s="2341"/>
      <c r="F7" s="1017"/>
      <c r="G7" s="1009"/>
      <c r="H7" s="1016" t="s">
        <v>372</v>
      </c>
      <c r="I7" s="2342">
        <f>COVER!A13</f>
        <v>20097003026</v>
      </c>
      <c r="J7" s="234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1972</v>
      </c>
      <c r="F9" s="1023"/>
      <c r="G9" s="1023"/>
      <c r="H9" s="1896" t="s">
        <v>1973</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3" t="s">
        <v>481</v>
      </c>
      <c r="B11" s="2344"/>
      <c r="C11" s="234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121409</v>
      </c>
      <c r="F12" s="1039"/>
      <c r="G12" s="1811">
        <f t="shared" ref="G12:G18" si="0">SUM(E12:F12)</f>
        <v>121409</v>
      </c>
      <c r="H12" s="1040">
        <v>122642</v>
      </c>
      <c r="I12" s="1039"/>
      <c r="J12" s="1811">
        <f t="shared" ref="J12:J18" si="1">SUM(H12:I12)</f>
        <v>122642</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46" t="s">
        <v>7</v>
      </c>
      <c r="C18" s="2347"/>
      <c r="D18" s="234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121409</v>
      </c>
      <c r="F19" s="1813">
        <f t="shared" si="2"/>
        <v>0</v>
      </c>
      <c r="G19" s="1813">
        <f t="shared" si="2"/>
        <v>121409</v>
      </c>
      <c r="H19" s="1813">
        <f t="shared" si="2"/>
        <v>122642</v>
      </c>
      <c r="I19" s="1813">
        <f t="shared" si="2"/>
        <v>0</v>
      </c>
      <c r="J19" s="1813">
        <f t="shared" si="2"/>
        <v>122642</v>
      </c>
    </row>
    <row r="20" spans="1:10" ht="13.5" thickTop="1" x14ac:dyDescent="0.2">
      <c r="A20" s="1035">
        <v>9</v>
      </c>
      <c r="B20" s="2349" t="s">
        <v>1974</v>
      </c>
      <c r="C20" s="2349"/>
      <c r="D20" s="2350"/>
      <c r="E20" s="1046"/>
      <c r="F20" s="1046"/>
      <c r="G20" s="1046"/>
      <c r="H20" s="1046"/>
      <c r="I20" s="1046"/>
      <c r="J20" s="1814">
        <f>IF(AND(G19&gt;0,J19&gt;0),(((J19-G19)/G19)),"Enter Budget Data")</f>
        <v>1.015575451572783E-2</v>
      </c>
    </row>
    <row r="21" spans="1:10" ht="9" customHeight="1" x14ac:dyDescent="0.2">
      <c r="B21" s="1047"/>
    </row>
    <row r="22" spans="1:10" x14ac:dyDescent="0.2">
      <c r="A22" s="1048" t="s">
        <v>133</v>
      </c>
      <c r="B22" s="1047"/>
    </row>
    <row r="23" spans="1:10" x14ac:dyDescent="0.2">
      <c r="A23" s="1011" t="s">
        <v>1975</v>
      </c>
      <c r="B23" s="1047"/>
    </row>
    <row r="24" spans="1:10" x14ac:dyDescent="0.2">
      <c r="A24" s="1011" t="s">
        <v>1988</v>
      </c>
      <c r="B24" s="1047"/>
    </row>
    <row r="25" spans="1:10" x14ac:dyDescent="0.2">
      <c r="A25" s="1049"/>
      <c r="B25" s="1047"/>
    </row>
    <row r="26" spans="1:10" ht="20.100000000000001" customHeight="1" x14ac:dyDescent="0.2">
      <c r="B26" s="1047"/>
      <c r="C26" s="2355"/>
      <c r="D26" s="2355"/>
      <c r="E26" s="1050"/>
      <c r="F26" s="2354"/>
      <c r="G26" s="2354"/>
    </row>
    <row r="27" spans="1:10" x14ac:dyDescent="0.2">
      <c r="B27" s="1047"/>
      <c r="C27" s="1051" t="s">
        <v>1033</v>
      </c>
      <c r="D27" s="1052"/>
      <c r="E27" s="1053"/>
      <c r="F27" s="2351" t="s">
        <v>1509</v>
      </c>
      <c r="G27" s="2351"/>
    </row>
    <row r="28" spans="1:10" ht="28.5" customHeight="1" x14ac:dyDescent="0.2">
      <c r="B28" s="1047"/>
      <c r="C28" s="2353"/>
      <c r="D28" s="2353"/>
      <c r="E28" s="1054"/>
      <c r="F28" s="2353"/>
      <c r="G28" s="2353"/>
    </row>
    <row r="29" spans="1:10" x14ac:dyDescent="0.2">
      <c r="B29" s="1047"/>
      <c r="C29" s="1055" t="s">
        <v>1561</v>
      </c>
      <c r="E29" s="1056"/>
      <c r="F29" s="2352" t="s">
        <v>1510</v>
      </c>
      <c r="G29" s="235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4" t="s">
        <v>132</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2"/>
    </row>
    <row r="36" spans="1:10" ht="13.5" customHeight="1" x14ac:dyDescent="0.2">
      <c r="B36" s="1061"/>
      <c r="C36" s="2336" t="s">
        <v>1976</v>
      </c>
      <c r="D36" s="2335"/>
      <c r="E36" s="2335"/>
      <c r="F36" s="2335"/>
      <c r="G36" s="2335"/>
      <c r="H36" s="2335"/>
      <c r="I36" s="2335"/>
      <c r="J36" s="1063"/>
    </row>
    <row r="37" spans="1:10" ht="22.5" customHeight="1" x14ac:dyDescent="0.2">
      <c r="C37" s="2335"/>
      <c r="D37" s="2335"/>
      <c r="E37" s="2335"/>
      <c r="F37" s="2335"/>
      <c r="G37" s="2335"/>
      <c r="H37" s="2335"/>
      <c r="I37" s="2335"/>
      <c r="J37" s="1063"/>
    </row>
    <row r="38" spans="1:10" ht="7.5" customHeight="1" x14ac:dyDescent="0.2">
      <c r="C38" s="1062"/>
      <c r="D38" s="1064"/>
      <c r="E38" s="1065"/>
      <c r="F38" s="1066"/>
      <c r="G38" s="1065"/>
    </row>
    <row r="39" spans="1:10" ht="13.5" customHeight="1" x14ac:dyDescent="0.2">
      <c r="B39" s="1061"/>
      <c r="C39" s="2332" t="s">
        <v>882</v>
      </c>
      <c r="D39" s="2333"/>
      <c r="E39" s="2333"/>
      <c r="F39" s="2333"/>
      <c r="G39" s="2333"/>
      <c r="H39" s="2333"/>
      <c r="I39" s="233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1985</v>
      </c>
      <c r="B1" s="45"/>
      <c r="C1" s="45"/>
      <c r="D1" s="46"/>
      <c r="I1" s="2036" t="s">
        <v>405</v>
      </c>
      <c r="J1" s="2037"/>
      <c r="K1" s="2037"/>
      <c r="L1" s="2037"/>
      <c r="M1" s="2037"/>
      <c r="N1" s="2037"/>
      <c r="O1" s="2037"/>
      <c r="P1" s="2037"/>
      <c r="Q1" s="2037"/>
      <c r="R1" s="2037"/>
      <c r="S1" s="2037"/>
    </row>
    <row r="2" spans="1:28" ht="12" customHeight="1" x14ac:dyDescent="0.2">
      <c r="A2" s="47" t="s">
        <v>1986</v>
      </c>
      <c r="D2" s="48"/>
      <c r="I2" s="2038" t="s">
        <v>979</v>
      </c>
      <c r="J2" s="2037"/>
      <c r="K2" s="2037"/>
      <c r="L2" s="2037"/>
      <c r="M2" s="2037"/>
      <c r="N2" s="2037"/>
      <c r="O2" s="2037"/>
      <c r="P2" s="2037"/>
      <c r="Q2" s="2037"/>
      <c r="R2" s="2037"/>
      <c r="S2" s="2037"/>
    </row>
    <row r="3" spans="1:28" ht="12" customHeight="1" x14ac:dyDescent="0.2">
      <c r="A3" s="155" t="s">
        <v>1938</v>
      </c>
      <c r="B3" s="156"/>
      <c r="C3" s="156"/>
      <c r="D3" s="157"/>
      <c r="I3" s="2038" t="s">
        <v>52</v>
      </c>
      <c r="J3" s="2037"/>
      <c r="K3" s="2037"/>
      <c r="L3" s="2037"/>
      <c r="M3" s="2037"/>
      <c r="N3" s="2037"/>
      <c r="O3" s="2037"/>
      <c r="P3" s="2037"/>
      <c r="Q3" s="2037"/>
      <c r="R3" s="2037"/>
      <c r="S3" s="2037"/>
    </row>
    <row r="4" spans="1:28" ht="12" customHeight="1" x14ac:dyDescent="0.2">
      <c r="A4" s="37"/>
      <c r="I4" s="2038" t="s">
        <v>524</v>
      </c>
      <c r="J4" s="2037"/>
      <c r="K4" s="2037"/>
      <c r="L4" s="2037"/>
      <c r="M4" s="2037"/>
      <c r="N4" s="2037"/>
      <c r="O4" s="2037"/>
      <c r="P4" s="2037"/>
      <c r="Q4" s="2037"/>
      <c r="R4" s="2037"/>
      <c r="S4" s="2037"/>
    </row>
    <row r="5" spans="1:28" ht="14.1" customHeight="1" x14ac:dyDescent="0.2">
      <c r="B5" s="104" t="s">
        <v>2057</v>
      </c>
      <c r="C5" s="26" t="s">
        <v>910</v>
      </c>
      <c r="D5" s="84"/>
      <c r="E5" s="84"/>
      <c r="H5" s="38"/>
      <c r="I5" s="2045" t="s">
        <v>680</v>
      </c>
      <c r="J5" s="1990"/>
      <c r="K5" s="1990"/>
      <c r="L5" s="1990"/>
      <c r="M5" s="1990"/>
      <c r="N5" s="1990"/>
      <c r="O5" s="1990"/>
      <c r="P5" s="1990"/>
      <c r="Q5" s="1990"/>
      <c r="R5" s="1990"/>
      <c r="S5" s="1990"/>
    </row>
    <row r="6" spans="1:28" ht="14.1" customHeight="1" x14ac:dyDescent="0.2">
      <c r="B6" s="104"/>
      <c r="C6" s="26" t="s">
        <v>911</v>
      </c>
      <c r="D6" s="84"/>
      <c r="E6" s="84"/>
      <c r="I6" s="2044" t="s">
        <v>883</v>
      </c>
      <c r="J6" s="1990"/>
      <c r="K6" s="1990"/>
      <c r="L6" s="1990"/>
      <c r="M6" s="1990"/>
      <c r="N6" s="1990"/>
      <c r="O6" s="1990"/>
      <c r="P6" s="1990"/>
      <c r="Q6" s="1990"/>
      <c r="R6" s="1990"/>
      <c r="S6" s="1990"/>
    </row>
    <row r="7" spans="1:28" ht="12.2" customHeight="1" x14ac:dyDescent="0.2">
      <c r="I7" s="2039">
        <v>43646</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674</v>
      </c>
      <c r="J9" s="2042"/>
      <c r="K9" s="2042"/>
      <c r="L9" s="2042"/>
      <c r="M9" s="2042"/>
      <c r="N9" s="2042"/>
      <c r="O9" s="2042"/>
      <c r="P9" s="2042"/>
      <c r="Q9" s="2042"/>
      <c r="R9" s="2042"/>
      <c r="S9" s="2043"/>
      <c r="T9" s="1986" t="s">
        <v>533</v>
      </c>
      <c r="U9" s="1987"/>
      <c r="V9" s="1987"/>
      <c r="W9" s="1987"/>
      <c r="X9" s="1987"/>
      <c r="Y9" s="1987"/>
      <c r="Z9" s="1987"/>
      <c r="AA9" s="1988"/>
    </row>
    <row r="10" spans="1:28" ht="13.5" customHeight="1" x14ac:dyDescent="0.2">
      <c r="A10" s="1995" t="s">
        <v>675</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955</v>
      </c>
      <c r="B11" s="1999"/>
      <c r="C11" s="1999"/>
      <c r="D11" s="1999"/>
      <c r="E11" s="1999"/>
      <c r="F11" s="1999"/>
      <c r="G11" s="1999"/>
      <c r="H11" s="2000"/>
      <c r="I11" s="27"/>
      <c r="J11" s="74"/>
      <c r="K11" s="27"/>
      <c r="O11" s="148" t="s">
        <v>2057</v>
      </c>
      <c r="P11" s="100" t="s">
        <v>201</v>
      </c>
      <c r="Q11" s="30"/>
      <c r="R11" s="28"/>
      <c r="S11" s="27"/>
      <c r="T11" s="1992"/>
      <c r="U11" s="1993"/>
      <c r="V11" s="1993"/>
      <c r="W11" s="1993"/>
      <c r="X11" s="1993"/>
      <c r="Y11" s="1993"/>
      <c r="Z11" s="1993"/>
      <c r="AA11" s="199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6">
        <v>20097003026</v>
      </c>
      <c r="B13" s="2007"/>
      <c r="C13" s="2007"/>
      <c r="D13" s="2007"/>
      <c r="E13" s="2007"/>
      <c r="F13" s="2007"/>
      <c r="G13" s="2007"/>
      <c r="H13" s="2008"/>
      <c r="I13" s="31"/>
      <c r="J13" s="30"/>
      <c r="K13" s="28"/>
      <c r="L13" s="30"/>
      <c r="M13" s="30"/>
      <c r="N13" s="30"/>
      <c r="O13" s="30"/>
      <c r="P13" s="30"/>
      <c r="Q13" s="30"/>
      <c r="R13" s="30"/>
      <c r="S13" s="30"/>
      <c r="T13" s="2011" t="s">
        <v>2058</v>
      </c>
      <c r="U13" s="2012"/>
      <c r="V13" s="2012"/>
      <c r="W13" s="2012"/>
      <c r="X13" s="2012"/>
      <c r="Y13" s="2013"/>
      <c r="Z13" s="2013"/>
      <c r="AA13" s="201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4" t="s">
        <v>2059</v>
      </c>
      <c r="B15" s="2009"/>
      <c r="C15" s="2009"/>
      <c r="D15" s="2009"/>
      <c r="E15" s="2009"/>
      <c r="F15" s="2009"/>
      <c r="G15" s="2009"/>
      <c r="H15" s="2010"/>
      <c r="T15" s="1972" t="s">
        <v>2060</v>
      </c>
      <c r="U15" s="1973"/>
      <c r="V15" s="1973"/>
      <c r="W15" s="1973"/>
      <c r="X15" s="1973"/>
      <c r="Y15" s="2015"/>
      <c r="Z15" s="2015"/>
      <c r="AA15" s="201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4" t="s">
        <v>2096</v>
      </c>
      <c r="B17" s="2034"/>
      <c r="C17" s="2034"/>
      <c r="D17" s="2034"/>
      <c r="E17" s="2034"/>
      <c r="F17" s="2034"/>
      <c r="G17" s="2034"/>
      <c r="H17" s="2035"/>
      <c r="T17" s="2021" t="s">
        <v>2061</v>
      </c>
      <c r="U17" s="2022"/>
      <c r="V17" s="2022"/>
      <c r="W17" s="2022"/>
      <c r="X17" s="2022"/>
      <c r="Y17" s="2022"/>
      <c r="Z17" s="2022"/>
      <c r="AA17" s="2023"/>
    </row>
    <row r="18" spans="1:27" ht="13.5" customHeight="1" x14ac:dyDescent="0.2">
      <c r="A18" s="85" t="s">
        <v>530</v>
      </c>
      <c r="B18" s="76"/>
      <c r="C18" s="72"/>
      <c r="D18" s="76"/>
      <c r="E18" s="76"/>
      <c r="F18" s="76"/>
      <c r="G18" s="76"/>
      <c r="H18" s="56"/>
      <c r="I18" s="2031" t="s">
        <v>676</v>
      </c>
      <c r="J18" s="2032"/>
      <c r="K18" s="2032"/>
      <c r="L18" s="2032"/>
      <c r="M18" s="2032"/>
      <c r="N18" s="2032"/>
      <c r="O18" s="2032"/>
      <c r="P18" s="2032"/>
      <c r="Q18" s="2032"/>
      <c r="R18" s="2032"/>
      <c r="S18" s="2033"/>
      <c r="T18" s="85" t="s">
        <v>711</v>
      </c>
      <c r="U18" s="51"/>
      <c r="V18" s="72"/>
      <c r="W18" s="50"/>
      <c r="X18" s="85" t="s">
        <v>266</v>
      </c>
      <c r="Y18" s="81"/>
      <c r="Z18" s="159" t="s">
        <v>677</v>
      </c>
      <c r="AA18" s="46"/>
    </row>
    <row r="19" spans="1:27" ht="13.5" customHeight="1" x14ac:dyDescent="0.2">
      <c r="A19" s="2004" t="s">
        <v>2062</v>
      </c>
      <c r="B19" s="2005"/>
      <c r="C19" s="2005"/>
      <c r="D19" s="2005"/>
      <c r="E19" s="2005"/>
      <c r="F19" s="2005"/>
      <c r="G19" s="2005"/>
      <c r="H19" s="2003"/>
      <c r="I19" s="30"/>
      <c r="J19" s="99"/>
      <c r="K19" s="40"/>
      <c r="L19" s="38"/>
      <c r="M19" s="112" t="s">
        <v>315</v>
      </c>
      <c r="P19" s="27"/>
      <c r="Q19" s="27"/>
      <c r="R19" s="27"/>
      <c r="S19" s="31"/>
      <c r="T19" s="2004" t="s">
        <v>2063</v>
      </c>
      <c r="U19" s="2002"/>
      <c r="V19" s="2002"/>
      <c r="W19" s="2003"/>
      <c r="X19" s="2019" t="s">
        <v>2064</v>
      </c>
      <c r="Y19" s="2020"/>
      <c r="Z19" s="2017">
        <v>62002</v>
      </c>
      <c r="AA19" s="201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01" t="s">
        <v>2065</v>
      </c>
      <c r="B21" s="2002"/>
      <c r="C21" s="2002"/>
      <c r="D21" s="2002"/>
      <c r="E21" s="2002"/>
      <c r="F21" s="2002"/>
      <c r="G21" s="2002"/>
      <c r="H21" s="2003"/>
      <c r="I21" s="2027" t="s">
        <v>678</v>
      </c>
      <c r="J21" s="1990"/>
      <c r="K21" s="1990"/>
      <c r="L21" s="1990"/>
      <c r="M21" s="1990"/>
      <c r="N21" s="1990"/>
      <c r="O21" s="1990"/>
      <c r="P21" s="1990"/>
      <c r="Q21" s="1990"/>
      <c r="R21" s="1990"/>
      <c r="S21" s="1991"/>
      <c r="T21" s="1969" t="s">
        <v>2066</v>
      </c>
      <c r="U21" s="1970"/>
      <c r="V21" s="1970"/>
      <c r="W21" s="1970"/>
      <c r="X21" s="1983" t="s">
        <v>2067</v>
      </c>
      <c r="Y21" s="1984"/>
      <c r="Z21" s="1984"/>
      <c r="AA21" s="1985"/>
    </row>
    <row r="22" spans="1:27" ht="13.5" customHeight="1" x14ac:dyDescent="0.2">
      <c r="A22" s="87" t="s">
        <v>531</v>
      </c>
      <c r="B22" s="59"/>
      <c r="C22" s="59"/>
      <c r="D22" s="59"/>
      <c r="E22" s="59"/>
      <c r="F22" s="59"/>
      <c r="G22" s="59"/>
      <c r="H22" s="60"/>
      <c r="I22" s="2028" t="s">
        <v>1429</v>
      </c>
      <c r="J22" s="2029"/>
      <c r="K22" s="2029"/>
      <c r="L22" s="2029"/>
      <c r="M22" s="2029"/>
      <c r="N22" s="2029"/>
      <c r="O22" s="2029"/>
      <c r="P22" s="2029"/>
      <c r="Q22" s="2029"/>
      <c r="R22" s="2029"/>
      <c r="S22" s="2030"/>
      <c r="T22" s="85" t="s">
        <v>1516</v>
      </c>
      <c r="U22" s="51"/>
      <c r="V22" s="72"/>
      <c r="W22" s="51"/>
      <c r="X22" s="160" t="s">
        <v>1318</v>
      </c>
      <c r="Z22" s="45"/>
      <c r="AA22" s="46"/>
    </row>
    <row r="23" spans="1:27" ht="13.5" customHeight="1" x14ac:dyDescent="0.2">
      <c r="A23" s="2024"/>
      <c r="B23" s="2025"/>
      <c r="C23" s="2025"/>
      <c r="D23" s="2025"/>
      <c r="E23" s="2025"/>
      <c r="F23" s="2025"/>
      <c r="G23" s="2025"/>
      <c r="H23" s="2026"/>
      <c r="T23" s="1964" t="s">
        <v>2068</v>
      </c>
      <c r="U23" s="1965"/>
      <c r="V23" s="1965"/>
      <c r="W23" s="1965"/>
      <c r="X23" s="1980">
        <v>44530</v>
      </c>
      <c r="Y23" s="1981"/>
      <c r="Z23" s="1981"/>
      <c r="AA23" s="1982"/>
    </row>
    <row r="24" spans="1:27" ht="14.1" customHeight="1" x14ac:dyDescent="0.2">
      <c r="A24" s="88" t="s">
        <v>677</v>
      </c>
      <c r="B24" s="49"/>
      <c r="C24" s="49"/>
      <c r="D24" s="49"/>
      <c r="E24" s="49"/>
      <c r="F24" s="49"/>
      <c r="G24" s="49"/>
      <c r="H24" s="61"/>
      <c r="J24" s="2066">
        <f>IF(B5="x",IF(AUDITCHECK!D29="AFR form Incomplete.","",IF(AUDITCHECK!D29="Deficit reduction plan is required.","School District must complete a deficit reduction plan in the 2019-2020 Budget",)),"")</f>
        <v>0</v>
      </c>
      <c r="K24" s="2066"/>
      <c r="L24" s="2066"/>
      <c r="M24" s="2066"/>
      <c r="N24" s="2066"/>
      <c r="O24" s="2066"/>
      <c r="P24" s="2066"/>
      <c r="Q24" s="2066"/>
      <c r="R24" s="2066"/>
      <c r="S24" s="2067"/>
      <c r="T24" s="105" t="s">
        <v>531</v>
      </c>
      <c r="U24" s="106"/>
      <c r="V24" s="106"/>
      <c r="W24" s="106"/>
      <c r="X24" s="107"/>
      <c r="Y24" s="107"/>
      <c r="Z24" s="107"/>
      <c r="AA24" s="108"/>
    </row>
    <row r="25" spans="1:27" ht="14.1" customHeight="1" x14ac:dyDescent="0.2">
      <c r="A25" s="2001">
        <v>62869</v>
      </c>
      <c r="B25" s="2002"/>
      <c r="C25" s="2002"/>
      <c r="D25" s="2002"/>
      <c r="E25" s="2002"/>
      <c r="F25" s="2002"/>
      <c r="G25" s="2002"/>
      <c r="H25" s="2003"/>
      <c r="I25" s="113"/>
      <c r="J25" s="2068"/>
      <c r="K25" s="2068"/>
      <c r="L25" s="2068"/>
      <c r="M25" s="2068"/>
      <c r="N25" s="2068"/>
      <c r="O25" s="2068"/>
      <c r="P25" s="2068"/>
      <c r="Q25" s="2068"/>
      <c r="R25" s="2068"/>
      <c r="S25" s="2069"/>
      <c r="T25" s="1961" t="s">
        <v>2069</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9" t="s">
        <v>1511</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2057</v>
      </c>
      <c r="F29" s="141" t="s">
        <v>1316</v>
      </c>
      <c r="G29" s="114"/>
      <c r="I29" s="54"/>
      <c r="J29" s="102"/>
      <c r="K29" s="28" t="s">
        <v>576</v>
      </c>
      <c r="L29" s="148" t="s">
        <v>2057</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2057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2057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4" t="s">
        <v>2070</v>
      </c>
      <c r="B38" s="2034"/>
      <c r="C38" s="2034"/>
      <c r="D38" s="2034"/>
      <c r="E38" s="2034"/>
      <c r="F38" s="2002"/>
      <c r="G38" s="2002"/>
      <c r="H38" s="2003"/>
      <c r="I38" s="2053"/>
      <c r="J38" s="1973"/>
      <c r="K38" s="1973"/>
      <c r="L38" s="1973"/>
      <c r="M38" s="1973"/>
      <c r="N38" s="1973"/>
      <c r="O38" s="1973"/>
      <c r="P38" s="1974"/>
      <c r="Q38" s="1974"/>
      <c r="R38" s="1974"/>
      <c r="S38" s="1975"/>
      <c r="T38" s="1972"/>
      <c r="U38" s="1973"/>
      <c r="V38" s="1973"/>
      <c r="W38" s="1973"/>
      <c r="X38" s="1974"/>
      <c r="Y38" s="1974"/>
      <c r="Z38" s="1974"/>
      <c r="AA38" s="1975"/>
    </row>
    <row r="39" spans="1:27" ht="12" customHeight="1" x14ac:dyDescent="0.2">
      <c r="A39" s="2057" t="s">
        <v>531</v>
      </c>
      <c r="B39" s="2058"/>
      <c r="C39" s="72"/>
      <c r="D39" s="69"/>
      <c r="E39" s="69"/>
      <c r="F39" s="79"/>
      <c r="G39" s="69"/>
      <c r="H39" s="56"/>
      <c r="I39" s="2057" t="s">
        <v>531</v>
      </c>
      <c r="J39" s="2058"/>
      <c r="K39" s="2058"/>
      <c r="L39" s="2058"/>
      <c r="M39" s="2058"/>
      <c r="N39" s="67"/>
      <c r="O39" s="72"/>
      <c r="P39" s="72"/>
      <c r="Q39" s="78"/>
      <c r="R39" s="72"/>
      <c r="S39" s="56"/>
      <c r="T39" s="72" t="s">
        <v>531</v>
      </c>
      <c r="U39" s="51"/>
      <c r="V39" s="72"/>
      <c r="W39" s="50"/>
      <c r="X39" s="78"/>
      <c r="Y39" s="45"/>
      <c r="Z39" s="45"/>
      <c r="AA39" s="46"/>
    </row>
    <row r="40" spans="1:27" ht="13.5" customHeight="1" x14ac:dyDescent="0.2">
      <c r="A40" s="2060" t="s">
        <v>2071</v>
      </c>
      <c r="B40" s="2061"/>
      <c r="C40" s="2062"/>
      <c r="D40" s="2062"/>
      <c r="E40" s="2062"/>
      <c r="F40" s="2063"/>
      <c r="G40" s="2063"/>
      <c r="H40" s="2064"/>
      <c r="I40" s="1976"/>
      <c r="J40" s="1978"/>
      <c r="K40" s="1978"/>
      <c r="L40" s="1978"/>
      <c r="M40" s="1978"/>
      <c r="N40" s="1978"/>
      <c r="O40" s="1978"/>
      <c r="P40" s="1978"/>
      <c r="Q40" s="1978"/>
      <c r="R40" s="1978"/>
      <c r="S40" s="1979"/>
      <c r="T40" s="1976"/>
      <c r="U40" s="1977"/>
      <c r="V40" s="1978"/>
      <c r="W40" s="1978"/>
      <c r="X40" s="1978"/>
      <c r="Y40" s="1978"/>
      <c r="Z40" s="1978"/>
      <c r="AA40" s="197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50" t="s">
        <v>2072</v>
      </c>
      <c r="B42" s="2051"/>
      <c r="C42" s="2052"/>
      <c r="D42" s="2065" t="s">
        <v>2073</v>
      </c>
      <c r="E42" s="2051"/>
      <c r="F42" s="2051"/>
      <c r="G42" s="2051"/>
      <c r="H42" s="2052"/>
      <c r="I42" s="1971"/>
      <c r="J42" s="1967"/>
      <c r="K42" s="1967"/>
      <c r="L42" s="1967"/>
      <c r="M42" s="1967"/>
      <c r="N42" s="1967"/>
      <c r="O42" s="1968"/>
      <c r="P42" s="1966"/>
      <c r="Q42" s="1967"/>
      <c r="R42" s="1967"/>
      <c r="S42" s="1968"/>
      <c r="T42" s="1971"/>
      <c r="U42" s="1967"/>
      <c r="V42" s="1967"/>
      <c r="W42" s="1968"/>
      <c r="X42" s="1966"/>
      <c r="Y42" s="1967"/>
      <c r="Z42" s="1967"/>
      <c r="AA42" s="196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1937</v>
      </c>
      <c r="D46" s="41"/>
      <c r="E46" s="41"/>
      <c r="F46" s="41"/>
      <c r="G46" s="41"/>
      <c r="Q46" s="29" t="s">
        <v>1420</v>
      </c>
      <c r="R46" s="41"/>
      <c r="S46" s="41"/>
      <c r="T46" s="41"/>
      <c r="U46" s="41"/>
      <c r="V46" s="41"/>
      <c r="W46" s="41"/>
      <c r="X46" s="41"/>
      <c r="Y46" s="41"/>
      <c r="Z46" s="41"/>
      <c r="AA46" s="41"/>
    </row>
    <row r="47" spans="1:27" x14ac:dyDescent="0.2">
      <c r="A47" s="137"/>
      <c r="Q47" s="41" t="s">
        <v>1919</v>
      </c>
      <c r="R47" s="41"/>
      <c r="S47" s="41"/>
      <c r="T47" s="41"/>
      <c r="U47" s="41"/>
      <c r="V47" s="41"/>
      <c r="W47" s="41"/>
      <c r="X47" s="41"/>
      <c r="Y47" s="41"/>
      <c r="Z47" s="41"/>
      <c r="AA47" s="41"/>
    </row>
    <row r="48" spans="1:27" x14ac:dyDescent="0.2">
      <c r="Q48" s="41" t="s">
        <v>1920</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Norris City-Omaha-Enfield CUSD 3</v>
      </c>
    </row>
    <row r="65" spans="2:2" x14ac:dyDescent="0.2">
      <c r="B65" s="1070">
        <f>COVER!A13</f>
        <v>20097003026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6" t="s">
        <v>1685</v>
      </c>
      <c r="B18" s="235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1690</v>
      </c>
      <c r="B1" s="2358"/>
      <c r="C1" s="2358"/>
      <c r="D1" s="2358"/>
      <c r="E1" s="2358"/>
      <c r="F1" s="2359"/>
    </row>
    <row r="2" spans="1:8" ht="45" customHeight="1" x14ac:dyDescent="0.2">
      <c r="A2" s="2367" t="s">
        <v>1980</v>
      </c>
      <c r="B2" s="2368"/>
      <c r="C2" s="2368"/>
      <c r="D2" s="2368"/>
      <c r="E2" s="2368"/>
      <c r="F2" s="2369"/>
      <c r="G2" s="1074"/>
      <c r="H2" s="1074"/>
    </row>
    <row r="3" spans="1:8" ht="57" customHeight="1" x14ac:dyDescent="0.2">
      <c r="A3" s="2370" t="s">
        <v>1686</v>
      </c>
      <c r="B3" s="2371"/>
      <c r="C3" s="2371"/>
      <c r="D3" s="2371"/>
      <c r="E3" s="2371"/>
      <c r="F3" s="2372"/>
      <c r="G3" s="1074"/>
      <c r="H3" s="1074"/>
    </row>
    <row r="4" spans="1:8" ht="14.25" customHeight="1" x14ac:dyDescent="0.2">
      <c r="A4" s="2376" t="s">
        <v>1981</v>
      </c>
      <c r="B4" s="2377"/>
      <c r="C4" s="2377"/>
      <c r="D4" s="2377"/>
      <c r="E4" s="2377"/>
      <c r="F4" s="2378"/>
      <c r="G4" s="1074"/>
      <c r="H4" s="1074"/>
    </row>
    <row r="5" spans="1:8" ht="14.25" customHeight="1" x14ac:dyDescent="0.2">
      <c r="A5" s="2379" t="s">
        <v>1977</v>
      </c>
      <c r="B5" s="2380"/>
      <c r="C5" s="2380"/>
      <c r="D5" s="2380"/>
      <c r="E5" s="2380"/>
      <c r="F5" s="2381"/>
      <c r="G5" s="1074"/>
      <c r="H5" s="1074"/>
    </row>
    <row r="6" spans="1:8" s="1075" customFormat="1" ht="41.25" customHeight="1" x14ac:dyDescent="0.2">
      <c r="A6" s="2373" t="s">
        <v>1691</v>
      </c>
      <c r="B6" s="2374"/>
      <c r="C6" s="2374"/>
      <c r="D6" s="2374"/>
      <c r="E6" s="2374"/>
      <c r="F6" s="237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5483070</v>
      </c>
      <c r="C8" s="1815">
        <f>'Acct Summary 7-8'!D8</f>
        <v>240518</v>
      </c>
      <c r="D8" s="1815">
        <f>'Acct Summary 7-8'!F8</f>
        <v>464861</v>
      </c>
      <c r="E8" s="1815">
        <f>'Acct Summary 7-8'!I8</f>
        <v>11693</v>
      </c>
      <c r="F8" s="1815">
        <f>SUM(B8:E8)</f>
        <v>6200142</v>
      </c>
    </row>
    <row r="9" spans="1:8" s="1079" customFormat="1" ht="14.25" customHeight="1" thickBot="1" x14ac:dyDescent="0.25">
      <c r="A9" s="1078" t="s">
        <v>1369</v>
      </c>
      <c r="B9" s="1816">
        <f>'Acct Summary 7-8'!C17</f>
        <v>5174217</v>
      </c>
      <c r="C9" s="1816">
        <f>'Acct Summary 7-8'!D17</f>
        <v>234168</v>
      </c>
      <c r="D9" s="1816">
        <f>'Acct Summary 7-8'!F17</f>
        <v>1006511</v>
      </c>
      <c r="E9" s="1815"/>
      <c r="F9" s="1815">
        <f>SUM(B9:E9)</f>
        <v>6414896</v>
      </c>
    </row>
    <row r="10" spans="1:8" s="1079" customFormat="1" ht="14.25" thickTop="1" thickBot="1" x14ac:dyDescent="0.25">
      <c r="A10" s="1080" t="s">
        <v>1370</v>
      </c>
      <c r="B10" s="1817">
        <f>(B8-B9)</f>
        <v>308853</v>
      </c>
      <c r="C10" s="1817">
        <f>(C8-C9)</f>
        <v>6350</v>
      </c>
      <c r="D10" s="1817">
        <f>(D8-D9)</f>
        <v>-541650</v>
      </c>
      <c r="E10" s="1816">
        <f>(E8-E9)</f>
        <v>11693</v>
      </c>
      <c r="F10" s="1818">
        <f>SUM(F8-F9)</f>
        <v>-214754</v>
      </c>
    </row>
    <row r="11" spans="1:8" s="1079" customFormat="1" ht="14.25" thickTop="1" thickBot="1" x14ac:dyDescent="0.25">
      <c r="A11" s="1081" t="s">
        <v>1978</v>
      </c>
      <c r="B11" s="1819">
        <f>'Acct Summary 7-8'!C81</f>
        <v>1462523</v>
      </c>
      <c r="C11" s="1819">
        <f>'Acct Summary 7-8'!D81</f>
        <v>252341</v>
      </c>
      <c r="D11" s="1819">
        <f>'Acct Summary 7-8'!F81</f>
        <v>-39260</v>
      </c>
      <c r="E11" s="1819">
        <f>'Acct Summary 7-8'!I81</f>
        <v>822461</v>
      </c>
      <c r="F11" s="1820">
        <f>SUM(B11:E11)</f>
        <v>2498065</v>
      </c>
    </row>
    <row r="12" spans="1:8" ht="16.5" customHeight="1" thickTop="1" x14ac:dyDescent="0.2">
      <c r="A12" s="1082"/>
      <c r="B12" s="1083"/>
      <c r="C12" s="2361" t="str">
        <f>IF(AND(F10&lt;0,F11&gt;=0,ABS(F10*3)&gt;ABS(F11)),A16,IF(AND(F10&lt;0,F11&gt;0,ABS(F10*3)&lt;=ABS(F11)),A17,IF(AND(F10&lt;0,F11&lt;0),A16,IF(F11=0,A19,A18))))</f>
        <v>Unbalanced -  however, a deficit reduction plan is not required at this time.</v>
      </c>
      <c r="D12" s="2362"/>
      <c r="E12" s="2362"/>
      <c r="F12" s="2363"/>
    </row>
    <row r="13" spans="1:8" ht="19.5" customHeight="1" x14ac:dyDescent="0.2">
      <c r="A13" s="1084"/>
      <c r="B13" s="1085"/>
      <c r="C13" s="2361"/>
      <c r="D13" s="2362"/>
      <c r="E13" s="2362"/>
      <c r="F13" s="2363"/>
      <c r="H13" s="1074"/>
    </row>
    <row r="14" spans="1:8" ht="19.5" customHeight="1" x14ac:dyDescent="0.2">
      <c r="A14" s="1084"/>
      <c r="B14" s="1085"/>
      <c r="C14" s="2361"/>
      <c r="D14" s="2362"/>
      <c r="E14" s="2362"/>
      <c r="F14" s="2363"/>
      <c r="H14" s="1074"/>
    </row>
    <row r="15" spans="1:8" ht="17.25" customHeight="1" x14ac:dyDescent="0.2">
      <c r="A15" s="1084"/>
      <c r="B15" s="1085"/>
      <c r="C15" s="2364"/>
      <c r="D15" s="2365"/>
      <c r="E15" s="2365"/>
      <c r="F15" s="2366"/>
      <c r="H15" s="1074"/>
    </row>
    <row r="16" spans="1:8" s="310" customFormat="1" ht="51.75" hidden="1" customHeight="1" x14ac:dyDescent="0.2">
      <c r="A16" s="2360" t="s">
        <v>1687</v>
      </c>
      <c r="B16" s="2360"/>
      <c r="C16" s="2360"/>
      <c r="D16" s="2360"/>
      <c r="E16" s="236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20097003026</v>
      </c>
    </row>
    <row r="3" spans="1:2" x14ac:dyDescent="0.2">
      <c r="A3" t="s">
        <v>956</v>
      </c>
      <c r="B3" s="138" t="str">
        <f>COVER!A15</f>
        <v>White, Hamilton, and Gallatin</v>
      </c>
    </row>
    <row r="4" spans="1:2" x14ac:dyDescent="0.2">
      <c r="A4" t="s">
        <v>1007</v>
      </c>
      <c r="B4" s="138" t="str">
        <f>COVER!A17</f>
        <v>Norris City-Omaha-Enfield CUSD 3</v>
      </c>
    </row>
    <row r="5" spans="1:2" x14ac:dyDescent="0.2">
      <c r="A5" t="s">
        <v>704</v>
      </c>
      <c r="B5" s="138" t="str">
        <f>COVER!A38</f>
        <v>Matthew J. Vollman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066-003590</v>
      </c>
    </row>
    <row r="16" spans="1:2" x14ac:dyDescent="0.2">
      <c r="A16" t="s">
        <v>422</v>
      </c>
      <c r="B16" s="138" t="str">
        <f>COVER!T13</f>
        <v>C. J. Schlosser &amp; Company, L.L.C.</v>
      </c>
    </row>
    <row r="17" spans="1:2" x14ac:dyDescent="0.2">
      <c r="A17" t="s">
        <v>884</v>
      </c>
      <c r="B17" s="138" t="str">
        <f>COVER!T15</f>
        <v>Kevin Tepen</v>
      </c>
    </row>
    <row r="18" spans="1:2" x14ac:dyDescent="0.2">
      <c r="A18" t="s">
        <v>1150</v>
      </c>
      <c r="B18" s="138" t="str">
        <f>COVER!T17</f>
        <v>233 EastCenter Drive</v>
      </c>
    </row>
    <row r="19" spans="1:2" x14ac:dyDescent="0.2">
      <c r="A19" t="s">
        <v>886</v>
      </c>
      <c r="B19" s="138" t="str">
        <f>COVER!T25</f>
        <v>ktepen@cjsco.com</v>
      </c>
    </row>
    <row r="20" spans="1:2" x14ac:dyDescent="0.2">
      <c r="A20" t="s">
        <v>887</v>
      </c>
      <c r="B20" s="138" t="str">
        <f>COVER!T19</f>
        <v>Alton</v>
      </c>
    </row>
    <row r="21" spans="1:2" x14ac:dyDescent="0.2">
      <c r="A21" t="s">
        <v>479</v>
      </c>
      <c r="B21" s="138" t="str">
        <f>COVER!X19</f>
        <v>IL</v>
      </c>
    </row>
    <row r="22" spans="1:2" x14ac:dyDescent="0.2">
      <c r="A22" t="s">
        <v>888</v>
      </c>
      <c r="B22" s="138">
        <f>COVER!Z19</f>
        <v>62002</v>
      </c>
    </row>
    <row r="23" spans="1:2" x14ac:dyDescent="0.2">
      <c r="A23" t="s">
        <v>1152</v>
      </c>
      <c r="B23" s="138" t="str">
        <f>COVER!T21</f>
        <v>(618) 465-7717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1458423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1462523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1462523</v>
      </c>
      <c r="D92" s="2" t="str">
        <f t="shared" si="0"/>
        <v>Error?</v>
      </c>
    </row>
    <row r="93" spans="1:4" x14ac:dyDescent="0.2">
      <c r="A93" s="5">
        <v>32</v>
      </c>
      <c r="B93" s="138">
        <f>'Assets-Liab 5-6'!C41</f>
        <v>1462523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252341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252341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252341</v>
      </c>
      <c r="D123" s="2" t="str">
        <f t="shared" si="0"/>
        <v>Error?</v>
      </c>
    </row>
    <row r="124" spans="1:4" x14ac:dyDescent="0.2">
      <c r="A124" s="5">
        <v>63</v>
      </c>
      <c r="B124" s="138">
        <f>'Assets-Liab 5-6'!D41</f>
        <v>252341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27374</v>
      </c>
      <c r="D129" s="2" t="str">
        <f t="shared" si="1"/>
        <v>Error?</v>
      </c>
    </row>
    <row r="130" spans="1:4" x14ac:dyDescent="0.2">
      <c r="A130" s="5">
        <v>69</v>
      </c>
      <c r="B130" s="138">
        <f>'Assets-Liab 5-6'!E12</f>
        <v>0</v>
      </c>
      <c r="D130" s="2" t="str">
        <f t="shared" si="1"/>
        <v>Error?</v>
      </c>
    </row>
    <row r="131" spans="1:4" x14ac:dyDescent="0.2">
      <c r="A131" s="5">
        <v>70</v>
      </c>
      <c r="B131" s="138">
        <f>'Assets-Liab 5-6'!E13</f>
        <v>27374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27374</v>
      </c>
      <c r="D140" s="2" t="str">
        <f t="shared" si="1"/>
        <v>Error?</v>
      </c>
    </row>
    <row r="141" spans="1:4" x14ac:dyDescent="0.2">
      <c r="A141" s="5">
        <v>80</v>
      </c>
      <c r="B141" s="138">
        <f>'Assets-Liab 5-6'!E41</f>
        <v>27374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104340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104340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143600</v>
      </c>
      <c r="C169" s="2" t="s">
        <v>573</v>
      </c>
      <c r="D169" s="2" t="str">
        <f t="shared" si="1"/>
        <v>Error?</v>
      </c>
    </row>
    <row r="170" spans="1:4" x14ac:dyDescent="0.2">
      <c r="A170" s="5">
        <v>109</v>
      </c>
      <c r="B170" s="138">
        <f>'Assets-Liab 5-6'!F39</f>
        <v>-39260</v>
      </c>
      <c r="D170" s="2" t="str">
        <f t="shared" si="1"/>
        <v>Error?</v>
      </c>
    </row>
    <row r="171" spans="1:4" x14ac:dyDescent="0.2">
      <c r="A171" s="5">
        <v>110</v>
      </c>
      <c r="B171" s="138">
        <f>'Assets-Liab 5-6'!F41</f>
        <v>104340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59018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59018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59018</v>
      </c>
      <c r="D189" s="2" t="str">
        <f t="shared" si="1"/>
        <v>Error?</v>
      </c>
    </row>
    <row r="190" spans="1:4" x14ac:dyDescent="0.2">
      <c r="A190" s="5">
        <v>129</v>
      </c>
      <c r="B190" s="138">
        <f>'Assets-Liab 5-6'!G41</f>
        <v>59018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247555</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247555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247555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141338</v>
      </c>
      <c r="D273" s="2" t="str">
        <f t="shared" si="3"/>
        <v>Error?</v>
      </c>
    </row>
    <row r="274" spans="1:4" x14ac:dyDescent="0.2">
      <c r="A274" s="5">
        <v>213</v>
      </c>
      <c r="B274" s="138">
        <f>'Assets-Liab 5-6'!M17</f>
        <v>9824256</v>
      </c>
      <c r="D274" s="2" t="str">
        <f t="shared" si="3"/>
        <v>Error?</v>
      </c>
    </row>
    <row r="275" spans="1:4" x14ac:dyDescent="0.2">
      <c r="A275" s="5">
        <v>214</v>
      </c>
      <c r="B275" s="138">
        <f>'Assets-Liab 5-6'!M18</f>
        <v>219366</v>
      </c>
      <c r="D275" s="2" t="str">
        <f t="shared" si="3"/>
        <v>Error?</v>
      </c>
    </row>
    <row r="276" spans="1:4" x14ac:dyDescent="0.2">
      <c r="A276" s="5">
        <v>215</v>
      </c>
      <c r="B276" s="138">
        <f>'Assets-Liab 5-6'!M19</f>
        <v>1540522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11725482</v>
      </c>
      <c r="C279" s="2" t="s">
        <v>573</v>
      </c>
      <c r="D279" s="2" t="str">
        <f t="shared" si="3"/>
        <v>Error?</v>
      </c>
    </row>
    <row r="280" spans="1:4" x14ac:dyDescent="0.2">
      <c r="A280" s="5">
        <v>219</v>
      </c>
      <c r="B280" s="138">
        <f>'Assets-Liab 5-6'!M40</f>
        <v>11725482</v>
      </c>
      <c r="D280" s="2" t="str">
        <f t="shared" si="3"/>
        <v>Error?</v>
      </c>
    </row>
    <row r="281" spans="1:4" x14ac:dyDescent="0.2">
      <c r="A281" s="5">
        <v>220</v>
      </c>
      <c r="B281" s="138">
        <f>'Assets-Liab 5-6'!M41</f>
        <v>11725482</v>
      </c>
      <c r="C281" s="2" t="s">
        <v>573</v>
      </c>
      <c r="D281" s="2" t="str">
        <f t="shared" si="3"/>
        <v>Error?</v>
      </c>
    </row>
    <row r="282" spans="1:4" x14ac:dyDescent="0.2">
      <c r="A282" s="5">
        <v>221</v>
      </c>
      <c r="B282" s="138">
        <f>'Assets-Liab 5-6'!N21</f>
        <v>27374</v>
      </c>
      <c r="D282" s="2" t="str">
        <f t="shared" si="3"/>
        <v>Error?</v>
      </c>
    </row>
    <row r="283" spans="1:4" x14ac:dyDescent="0.2">
      <c r="A283" s="5">
        <v>222</v>
      </c>
      <c r="B283" s="138">
        <f>'Assets-Liab 5-6'!N22</f>
        <v>1619336</v>
      </c>
      <c r="D283" s="2" t="str">
        <f t="shared" si="3"/>
        <v>Error?</v>
      </c>
    </row>
    <row r="284" spans="1:4" x14ac:dyDescent="0.2">
      <c r="A284" s="5">
        <v>223</v>
      </c>
      <c r="B284" s="138">
        <f>'Assets-Liab 5-6'!N23</f>
        <v>1646710</v>
      </c>
      <c r="C284" s="2" t="s">
        <v>573</v>
      </c>
      <c r="D284" s="2" t="str">
        <f t="shared" si="3"/>
        <v>Error?</v>
      </c>
    </row>
    <row r="285" spans="1:4" x14ac:dyDescent="0.2">
      <c r="A285" s="5">
        <v>224</v>
      </c>
      <c r="B285" s="138">
        <f>'Assets-Liab 5-6'!N36</f>
        <v>1646710</v>
      </c>
      <c r="D285" s="2" t="str">
        <f t="shared" si="3"/>
        <v>Error?</v>
      </c>
    </row>
    <row r="286" spans="1:4" x14ac:dyDescent="0.2">
      <c r="A286" s="10">
        <v>225</v>
      </c>
      <c r="D286" s="2" t="str">
        <f t="shared" si="3"/>
        <v>OK</v>
      </c>
    </row>
    <row r="287" spans="1:4" x14ac:dyDescent="0.2">
      <c r="A287" s="5">
        <v>226</v>
      </c>
      <c r="B287" s="138">
        <f>'Assets-Liab 5-6'!N37</f>
        <v>1646710</v>
      </c>
      <c r="C287" s="2" t="s">
        <v>573</v>
      </c>
      <c r="D287" s="2" t="str">
        <f t="shared" si="3"/>
        <v>Error?</v>
      </c>
    </row>
    <row r="288" spans="1:4" x14ac:dyDescent="0.2">
      <c r="A288" s="5">
        <v>227</v>
      </c>
      <c r="B288" s="138">
        <f>'Assets-Liab 5-6'!N41</f>
        <v>1646710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1512525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117642</v>
      </c>
      <c r="D717" s="2" t="str">
        <f t="shared" si="10"/>
        <v>Error?</v>
      </c>
    </row>
    <row r="718" spans="1:4" x14ac:dyDescent="0.2">
      <c r="A718" s="5">
        <v>657</v>
      </c>
      <c r="B718" s="138">
        <f>'Expenditures 15-22'!C14</f>
        <v>57220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2331543</v>
      </c>
      <c r="C720" s="2" t="s">
        <v>573</v>
      </c>
      <c r="D720" s="2" t="str">
        <f t="shared" si="10"/>
        <v>Error?</v>
      </c>
    </row>
    <row r="721" spans="1:4" x14ac:dyDescent="0.2">
      <c r="A721" s="5">
        <v>660</v>
      </c>
      <c r="B721" s="138">
        <f>'Expenditures 15-22'!C36</f>
        <v>47365</v>
      </c>
      <c r="D721" s="2" t="str">
        <f t="shared" si="10"/>
        <v>Error?</v>
      </c>
    </row>
    <row r="722" spans="1:4" x14ac:dyDescent="0.2">
      <c r="A722" s="5">
        <v>661</v>
      </c>
      <c r="B722" s="138">
        <f>'Expenditures 15-22'!C37</f>
        <v>43631</v>
      </c>
      <c r="D722" s="2" t="str">
        <f t="shared" si="10"/>
        <v>Error?</v>
      </c>
    </row>
    <row r="723" spans="1:4" x14ac:dyDescent="0.2">
      <c r="A723" s="5">
        <v>662</v>
      </c>
      <c r="B723" s="138">
        <f>'Expenditures 15-22'!C38</f>
        <v>37147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44200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172343</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87354</v>
      </c>
      <c r="D733" s="2" t="str">
        <f t="shared" si="10"/>
        <v>Error?</v>
      </c>
    </row>
    <row r="734" spans="1:4" x14ac:dyDescent="0.2">
      <c r="A734" s="5">
        <v>673</v>
      </c>
      <c r="B734" s="138">
        <f>'Expenditures 15-22'!C53</f>
        <v>87354</v>
      </c>
      <c r="C734" s="2" t="s">
        <v>573</v>
      </c>
      <c r="D734" s="2" t="str">
        <f t="shared" si="10"/>
        <v>Error?</v>
      </c>
    </row>
    <row r="735" spans="1:4" x14ac:dyDescent="0.2">
      <c r="A735" s="5">
        <v>674</v>
      </c>
      <c r="B735" s="138">
        <f>'Expenditures 15-22'!C55</f>
        <v>245709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245709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69725</v>
      </c>
      <c r="D739" s="2" t="str">
        <f t="shared" si="10"/>
        <v>Error?</v>
      </c>
    </row>
    <row r="740" spans="1:4" x14ac:dyDescent="0.2">
      <c r="A740" s="5">
        <v>679</v>
      </c>
      <c r="B740" s="138">
        <f>'Expenditures 15-22'!C61</f>
        <v>188768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89790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348283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40070</v>
      </c>
      <c r="D751" s="2" t="str">
        <f t="shared" si="10"/>
        <v>Error?</v>
      </c>
    </row>
    <row r="752" spans="1:4" x14ac:dyDescent="0.2">
      <c r="A752" s="10">
        <v>691</v>
      </c>
      <c r="D752" s="2" t="str">
        <f t="shared" si="10"/>
        <v>OK</v>
      </c>
    </row>
    <row r="753" spans="1:4" x14ac:dyDescent="0.2">
      <c r="A753" s="5">
        <v>692</v>
      </c>
      <c r="B753" s="138">
        <f>'Expenditures 15-22'!C72</f>
        <v>40070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893759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3225302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467891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34350</v>
      </c>
      <c r="D775" s="2" t="str">
        <f t="shared" si="11"/>
        <v>Error?</v>
      </c>
    </row>
    <row r="776" spans="1:4" x14ac:dyDescent="0.2">
      <c r="A776" s="5">
        <v>715</v>
      </c>
      <c r="B776" s="138">
        <f>'Expenditures 15-22'!D14</f>
        <v>6206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624521</v>
      </c>
      <c r="C778" s="2" t="s">
        <v>573</v>
      </c>
      <c r="D778" s="2" t="str">
        <f t="shared" si="11"/>
        <v>Error?</v>
      </c>
    </row>
    <row r="779" spans="1:4" x14ac:dyDescent="0.2">
      <c r="A779" s="5">
        <v>718</v>
      </c>
      <c r="B779" s="138">
        <f>'Expenditures 15-22'!D36</f>
        <v>12979</v>
      </c>
      <c r="D779" s="2" t="str">
        <f t="shared" si="11"/>
        <v>Error?</v>
      </c>
    </row>
    <row r="780" spans="1:4" x14ac:dyDescent="0.2">
      <c r="A780" s="5">
        <v>719</v>
      </c>
      <c r="B780" s="138">
        <f>'Expenditures 15-22'!D37</f>
        <v>12525</v>
      </c>
      <c r="D780" s="2" t="str">
        <f t="shared" si="11"/>
        <v>Error?</v>
      </c>
    </row>
    <row r="781" spans="1:4" x14ac:dyDescent="0.2">
      <c r="A781" s="5">
        <v>720</v>
      </c>
      <c r="B781" s="138">
        <f>'Expenditures 15-22'!D38</f>
        <v>504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5964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31972</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19792</v>
      </c>
      <c r="D790" s="2" t="str">
        <f t="shared" si="11"/>
        <v>Error?</v>
      </c>
    </row>
    <row r="791" spans="1:4" x14ac:dyDescent="0.2">
      <c r="A791" s="5">
        <v>730</v>
      </c>
      <c r="B791" s="138">
        <f>'Expenditures 15-22'!D50</f>
        <v>17809</v>
      </c>
      <c r="D791" s="2" t="str">
        <f t="shared" si="11"/>
        <v>Error?</v>
      </c>
    </row>
    <row r="792" spans="1:4" x14ac:dyDescent="0.2">
      <c r="A792" s="5">
        <v>731</v>
      </c>
      <c r="B792" s="138">
        <f>'Expenditures 15-22'!D53</f>
        <v>37601</v>
      </c>
      <c r="C792" s="2" t="s">
        <v>573</v>
      </c>
      <c r="D792" s="2" t="str">
        <f t="shared" si="11"/>
        <v>Error?</v>
      </c>
    </row>
    <row r="793" spans="1:4" x14ac:dyDescent="0.2">
      <c r="A793" s="5">
        <v>732</v>
      </c>
      <c r="B793" s="138">
        <f>'Expenditures 15-22'!D55</f>
        <v>63078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63078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14233</v>
      </c>
      <c r="D797" s="2" t="str">
        <f t="shared" si="11"/>
        <v>Error?</v>
      </c>
    </row>
    <row r="798" spans="1:4" x14ac:dyDescent="0.2">
      <c r="A798" s="5">
        <v>737</v>
      </c>
      <c r="B798" s="138">
        <f>'Expenditures 15-22'!D61</f>
        <v>34911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26202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75346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7230</v>
      </c>
      <c r="D809" s="2" t="str">
        <f t="shared" si="11"/>
        <v>Error?</v>
      </c>
    </row>
    <row r="810" spans="1:4" x14ac:dyDescent="0.2">
      <c r="A810" s="10">
        <v>749</v>
      </c>
      <c r="D810" s="2" t="str">
        <f t="shared" si="11"/>
        <v>OK</v>
      </c>
    </row>
    <row r="811" spans="1:4" x14ac:dyDescent="0.2">
      <c r="A811" s="5">
        <v>750</v>
      </c>
      <c r="B811" s="138">
        <f>'Expenditures 15-22'!D72</f>
        <v>7230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215227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839748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90642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4825</v>
      </c>
      <c r="D833" s="2" t="str">
        <f t="shared" si="12"/>
        <v>Error?</v>
      </c>
    </row>
    <row r="834" spans="1:4" x14ac:dyDescent="0.2">
      <c r="A834" s="5">
        <v>773</v>
      </c>
      <c r="B834" s="138">
        <f>'Expenditures 15-22'!E14</f>
        <v>14571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123173</v>
      </c>
      <c r="C836" s="2" t="s">
        <v>573</v>
      </c>
      <c r="D836" s="2" t="str">
        <f t="shared" si="12"/>
        <v>Error?</v>
      </c>
    </row>
    <row r="837" spans="1:4" x14ac:dyDescent="0.2">
      <c r="A837" s="5">
        <v>776</v>
      </c>
      <c r="B837" s="138">
        <f>'Expenditures 15-22'!E36</f>
        <v>437</v>
      </c>
      <c r="D837" s="2" t="str">
        <f t="shared" si="12"/>
        <v>Error?</v>
      </c>
    </row>
    <row r="838" spans="1:4" x14ac:dyDescent="0.2">
      <c r="A838" s="5">
        <v>777</v>
      </c>
      <c r="B838" s="138">
        <f>'Expenditures 15-22'!E37</f>
        <v>299</v>
      </c>
      <c r="D838" s="2" t="str">
        <f t="shared" si="12"/>
        <v>Error?</v>
      </c>
    </row>
    <row r="839" spans="1:4" x14ac:dyDescent="0.2">
      <c r="A839" s="5">
        <v>778</v>
      </c>
      <c r="B839" s="138">
        <f>'Expenditures 15-22'!E38</f>
        <v>357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378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1471</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60946</v>
      </c>
      <c r="D848" s="2" t="str">
        <f t="shared" si="12"/>
        <v>Error?</v>
      </c>
    </row>
    <row r="849" spans="1:4" x14ac:dyDescent="0.2">
      <c r="A849" s="5">
        <v>788</v>
      </c>
      <c r="B849" s="138">
        <f>'Expenditures 15-22'!E50</f>
        <v>14580</v>
      </c>
      <c r="D849" s="2" t="str">
        <f t="shared" si="12"/>
        <v>Error?</v>
      </c>
    </row>
    <row r="850" spans="1:4" x14ac:dyDescent="0.2">
      <c r="A850" s="5">
        <v>789</v>
      </c>
      <c r="B850" s="138">
        <f>'Expenditures 15-22'!E53</f>
        <v>75526</v>
      </c>
      <c r="C850" s="2" t="s">
        <v>573</v>
      </c>
      <c r="D850" s="2" t="str">
        <f t="shared" si="12"/>
        <v>Error?</v>
      </c>
    </row>
    <row r="851" spans="1:4" x14ac:dyDescent="0.2">
      <c r="A851" s="5">
        <v>790</v>
      </c>
      <c r="B851" s="138">
        <f>'Expenditures 15-22'!E55</f>
        <v>3512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3512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10150</v>
      </c>
      <c r="D855" s="2" t="str">
        <f t="shared" si="12"/>
        <v>Error?</v>
      </c>
    </row>
    <row r="856" spans="1:4" x14ac:dyDescent="0.2">
      <c r="A856" s="5">
        <v>795</v>
      </c>
      <c r="B856" s="138">
        <f>'Expenditures 15-22'!E61</f>
        <v>38086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17384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65620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134</v>
      </c>
      <c r="D867" s="2" t="str">
        <f t="shared" si="12"/>
        <v>Error?</v>
      </c>
    </row>
    <row r="868" spans="1:4" x14ac:dyDescent="0.2">
      <c r="A868" s="10">
        <v>807</v>
      </c>
      <c r="D868" s="2" t="str">
        <f t="shared" si="12"/>
        <v>OK</v>
      </c>
    </row>
    <row r="869" spans="1:4" x14ac:dyDescent="0.2">
      <c r="A869" s="5">
        <v>808</v>
      </c>
      <c r="B869" s="138">
        <f>'Expenditures 15-22'!E72</f>
        <v>134</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146263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287144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184665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12216</v>
      </c>
      <c r="D891" s="2" t="str">
        <f t="shared" si="12"/>
        <v>Error?</v>
      </c>
    </row>
    <row r="892" spans="1:4" x14ac:dyDescent="0.2">
      <c r="A892" s="5">
        <v>831</v>
      </c>
      <c r="B892" s="138">
        <f>'Expenditures 15-22'!F14</f>
        <v>19863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263055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2150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1077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3227</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814</v>
      </c>
      <c r="D906" s="2" t="str">
        <f t="shared" si="13"/>
        <v>Error?</v>
      </c>
    </row>
    <row r="907" spans="1:4" x14ac:dyDescent="0.2">
      <c r="A907" s="5">
        <v>846</v>
      </c>
      <c r="B907" s="138">
        <f>'Expenditures 15-22'!F50</f>
        <v>1007</v>
      </c>
      <c r="D907" s="2" t="str">
        <f t="shared" si="13"/>
        <v>Error?</v>
      </c>
    </row>
    <row r="908" spans="1:4" x14ac:dyDescent="0.2">
      <c r="A908" s="5">
        <v>847</v>
      </c>
      <c r="B908" s="138">
        <f>'Expenditures 15-22'!F53</f>
        <v>1821</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3484</v>
      </c>
      <c r="D913" s="2" t="str">
        <f t="shared" si="13"/>
        <v>Error?</v>
      </c>
    </row>
    <row r="914" spans="1:4" x14ac:dyDescent="0.2">
      <c r="A914" s="5">
        <v>853</v>
      </c>
      <c r="B914" s="138">
        <f>'Expenditures 15-22'!F61</f>
        <v>68431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208254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280169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285217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548272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9448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11062</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11062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11062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20510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8043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3279</v>
      </c>
      <c r="D1022" s="2" t="str">
        <f t="shared" si="14"/>
        <v>Error?</v>
      </c>
    </row>
    <row r="1023" spans="1:4" x14ac:dyDescent="0.2">
      <c r="A1023" s="5">
        <v>962</v>
      </c>
      <c r="B1023" s="138">
        <f>'Expenditures 15-22'!H50</f>
        <v>659</v>
      </c>
      <c r="D1023" s="2" t="str">
        <f t="shared" ref="D1023:D1086" si="15">IF(ISBLANK(B1023),"OK",IF(A1023-B1023=0,"OK","Error?"))</f>
        <v>Error?</v>
      </c>
    </row>
    <row r="1024" spans="1:4" x14ac:dyDescent="0.2">
      <c r="A1024" s="5">
        <v>963</v>
      </c>
      <c r="B1024" s="138">
        <f>'Expenditures 15-22'!H53</f>
        <v>3938</v>
      </c>
      <c r="C1024" s="2" t="s">
        <v>573</v>
      </c>
      <c r="D1024" s="2" t="str">
        <f t="shared" si="15"/>
        <v>Error?</v>
      </c>
    </row>
    <row r="1025" spans="1:4" x14ac:dyDescent="0.2">
      <c r="A1025" s="5">
        <v>964</v>
      </c>
      <c r="B1025" s="138">
        <f>'Expenditures 15-22'!H55</f>
        <v>290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4228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240970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253241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2255723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169033</v>
      </c>
      <c r="C1105" s="2" t="s">
        <v>573</v>
      </c>
      <c r="D1105" s="2" t="str">
        <f t="shared" si="16"/>
        <v>Error?</v>
      </c>
    </row>
    <row r="1106" spans="1:4" x14ac:dyDescent="0.2">
      <c r="A1106" s="5">
        <v>1045</v>
      </c>
      <c r="B1106" s="138">
        <f>'Expenditures 15-22'!K14</f>
        <v>97860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3359783</v>
      </c>
      <c r="C1108" s="2" t="s">
        <v>573</v>
      </c>
      <c r="D1108" s="2" t="str">
        <f t="shared" si="16"/>
        <v>Error?</v>
      </c>
    </row>
    <row r="1109" spans="1:4" x14ac:dyDescent="0.2">
      <c r="A1109" s="5">
        <v>1048</v>
      </c>
      <c r="B1109" s="138">
        <f>'Expenditures 15-22'!K36</f>
        <v>60781</v>
      </c>
      <c r="C1109" s="2" t="s">
        <v>573</v>
      </c>
      <c r="D1109" s="2" t="str">
        <f t="shared" si="16"/>
        <v>Error?</v>
      </c>
    </row>
    <row r="1110" spans="1:4" x14ac:dyDescent="0.2">
      <c r="A1110" s="5">
        <v>1049</v>
      </c>
      <c r="B1110" s="138">
        <f>'Expenditures 15-22'!K37</f>
        <v>56455</v>
      </c>
      <c r="C1110" s="2" t="s">
        <v>573</v>
      </c>
      <c r="D1110" s="2" t="str">
        <f t="shared" si="16"/>
        <v>Error?</v>
      </c>
    </row>
    <row r="1111" spans="1:4" x14ac:dyDescent="0.2">
      <c r="A1111" s="5">
        <v>1050</v>
      </c>
      <c r="B1111" s="138">
        <f>'Expenditures 15-22'!K38</f>
        <v>40158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51619</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209013</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0</v>
      </c>
      <c r="C1119" s="2" t="s">
        <v>573</v>
      </c>
      <c r="D1119" s="2" t="str">
        <f t="shared" si="16"/>
        <v>Error?</v>
      </c>
    </row>
    <row r="1120" spans="1:4" x14ac:dyDescent="0.2">
      <c r="A1120" s="5">
        <v>1059</v>
      </c>
      <c r="B1120" s="138">
        <f>'Expenditures 15-22'!K49</f>
        <v>84831</v>
      </c>
      <c r="C1120" s="2" t="s">
        <v>573</v>
      </c>
      <c r="D1120" s="2" t="str">
        <f t="shared" si="16"/>
        <v>Error?</v>
      </c>
    </row>
    <row r="1121" spans="1:4" x14ac:dyDescent="0.2">
      <c r="A1121" s="5">
        <v>1060</v>
      </c>
      <c r="B1121" s="138">
        <f>'Expenditures 15-22'!K50</f>
        <v>121409</v>
      </c>
      <c r="C1121" s="2" t="s">
        <v>573</v>
      </c>
      <c r="D1121" s="2" t="str">
        <f t="shared" si="16"/>
        <v>Error?</v>
      </c>
    </row>
    <row r="1122" spans="1:4" x14ac:dyDescent="0.2">
      <c r="A1122" s="5">
        <v>1061</v>
      </c>
      <c r="B1122" s="138">
        <f>'Expenditures 15-22'!K53</f>
        <v>206240</v>
      </c>
      <c r="C1122" s="2" t="s">
        <v>573</v>
      </c>
      <c r="D1122" s="2" t="str">
        <f t="shared" si="16"/>
        <v>Error?</v>
      </c>
    </row>
    <row r="1123" spans="1:4" x14ac:dyDescent="0.2">
      <c r="A1123" s="5">
        <v>1062</v>
      </c>
      <c r="B1123" s="138">
        <f>'Expenditures 15-22'!K55</f>
        <v>312589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312589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97592</v>
      </c>
      <c r="C1127" s="2" t="s">
        <v>573</v>
      </c>
      <c r="D1127" s="2" t="str">
        <f t="shared" si="16"/>
        <v>Error?</v>
      </c>
    </row>
    <row r="1128" spans="1:4" x14ac:dyDescent="0.2">
      <c r="A1128" s="5">
        <v>1067</v>
      </c>
      <c r="B1128" s="138">
        <f>'Expenditures 15-22'!K61</f>
        <v>341258</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341630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780480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47434</v>
      </c>
      <c r="C1139" s="2" t="s">
        <v>573</v>
      </c>
      <c r="D1139" s="2" t="str">
        <f t="shared" si="16"/>
        <v>Error?</v>
      </c>
    </row>
    <row r="1140" spans="1:4" x14ac:dyDescent="0.2">
      <c r="A1140" s="10">
        <v>1079</v>
      </c>
      <c r="D1140" s="2" t="str">
        <f t="shared" si="16"/>
        <v>OK</v>
      </c>
    </row>
    <row r="1141" spans="1:4" x14ac:dyDescent="0.2">
      <c r="A1141" s="5">
        <v>1080</v>
      </c>
      <c r="B1141" s="138">
        <f>'Expenditures 15-22'!K72</f>
        <v>47434</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1555756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258678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5174217</v>
      </c>
      <c r="C1152" s="2" t="s">
        <v>573</v>
      </c>
      <c r="D1152" s="2" t="str">
        <f t="shared" si="17"/>
        <v>Error?</v>
      </c>
    </row>
    <row r="1153" spans="1:4" x14ac:dyDescent="0.2">
      <c r="A1153" s="5">
        <v>1092</v>
      </c>
      <c r="B1153" s="138">
        <f>'Expenditures 15-22'!K115</f>
        <v>308853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74683</v>
      </c>
      <c r="D1237" s="2" t="str">
        <f t="shared" si="18"/>
        <v>Error?</v>
      </c>
    </row>
    <row r="1238" spans="1:4" x14ac:dyDescent="0.2">
      <c r="A1238" s="10">
        <v>1177</v>
      </c>
      <c r="D1238" s="2" t="str">
        <f t="shared" si="18"/>
        <v>OK</v>
      </c>
    </row>
    <row r="1239" spans="1:4" x14ac:dyDescent="0.2">
      <c r="A1239" s="5">
        <v>1178</v>
      </c>
      <c r="B1239" s="138">
        <f>'Expenditures 15-22'!E127</f>
        <v>74683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74683</v>
      </c>
      <c r="C1241" s="2" t="s">
        <v>573</v>
      </c>
      <c r="D1241" s="2" t="str">
        <f t="shared" si="18"/>
        <v>Error?</v>
      </c>
    </row>
    <row r="1242" spans="1:4" x14ac:dyDescent="0.2">
      <c r="A1242" s="5">
        <v>1181</v>
      </c>
      <c r="B1242" s="138">
        <f>'Expenditures 15-22'!E151</f>
        <v>74683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159485</v>
      </c>
      <c r="D1245" s="2" t="str">
        <f t="shared" si="18"/>
        <v>Error?</v>
      </c>
    </row>
    <row r="1246" spans="1:4" x14ac:dyDescent="0.2">
      <c r="A1246" s="10">
        <v>1185</v>
      </c>
      <c r="D1246" s="2" t="str">
        <f t="shared" si="18"/>
        <v>OK</v>
      </c>
    </row>
    <row r="1247" spans="1:4" x14ac:dyDescent="0.2">
      <c r="A1247" s="5">
        <v>1186</v>
      </c>
      <c r="B1247" s="138">
        <f>'Expenditures 15-22'!F127</f>
        <v>159485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159485</v>
      </c>
      <c r="C1249" s="2" t="s">
        <v>573</v>
      </c>
      <c r="D1249" s="2" t="str">
        <f t="shared" si="18"/>
        <v>Error?</v>
      </c>
    </row>
    <row r="1250" spans="1:4" x14ac:dyDescent="0.2">
      <c r="A1250" s="5">
        <v>1189</v>
      </c>
      <c r="B1250" s="138">
        <f>'Expenditures 15-22'!F151</f>
        <v>159485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234168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234168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234168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234168</v>
      </c>
      <c r="C1288" s="2" t="s">
        <v>573</v>
      </c>
      <c r="D1288" s="2" t="str">
        <f t="shared" si="19"/>
        <v>Error?</v>
      </c>
    </row>
    <row r="1289" spans="1:4" x14ac:dyDescent="0.2">
      <c r="A1289" s="5">
        <v>1228</v>
      </c>
      <c r="B1289" s="138">
        <f>'Expenditures 15-22'!K152</f>
        <v>6350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636</v>
      </c>
      <c r="D1307" s="2" t="str">
        <f t="shared" si="19"/>
        <v>Error?</v>
      </c>
    </row>
    <row r="1308" spans="1:4" x14ac:dyDescent="0.2">
      <c r="A1308" s="5">
        <v>1247</v>
      </c>
      <c r="B1308" s="138">
        <f>'Expenditures 15-22'!E172</f>
        <v>636</v>
      </c>
      <c r="C1308" s="2" t="s">
        <v>573</v>
      </c>
      <c r="D1308" s="2" t="str">
        <f t="shared" si="19"/>
        <v>Error?</v>
      </c>
    </row>
    <row r="1309" spans="1:4" x14ac:dyDescent="0.2">
      <c r="A1309" s="5">
        <v>1248</v>
      </c>
      <c r="B1309" s="138">
        <f>'Expenditures 15-22'!E174</f>
        <v>636</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37653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316000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353653</v>
      </c>
      <c r="C1317" s="2" t="s">
        <v>573</v>
      </c>
      <c r="D1317" s="2" t="str">
        <f t="shared" si="19"/>
        <v>Error?</v>
      </c>
    </row>
    <row r="1318" spans="1:4" x14ac:dyDescent="0.2">
      <c r="A1318" s="5">
        <v>1257</v>
      </c>
      <c r="B1318" s="138">
        <f>'Expenditures 15-22'!H174</f>
        <v>353653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37653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316000</v>
      </c>
      <c r="C1329" s="2" t="s">
        <v>573</v>
      </c>
      <c r="D1329" s="2" t="str">
        <f t="shared" si="19"/>
        <v>Error?</v>
      </c>
    </row>
    <row r="1330" spans="1:4" x14ac:dyDescent="0.2">
      <c r="A1330" s="5">
        <v>1269</v>
      </c>
      <c r="B1330" s="138">
        <f>'Expenditures 15-22'!K171</f>
        <v>636</v>
      </c>
      <c r="C1330" s="2" t="s">
        <v>573</v>
      </c>
      <c r="D1330" s="2" t="str">
        <f t="shared" si="19"/>
        <v>Error?</v>
      </c>
    </row>
    <row r="1331" spans="1:4" x14ac:dyDescent="0.2">
      <c r="A1331" s="5">
        <v>1270</v>
      </c>
      <c r="B1331" s="138">
        <f>'Expenditures 15-22'!K172</f>
        <v>354289</v>
      </c>
      <c r="C1331" s="2" t="s">
        <v>573</v>
      </c>
      <c r="D1331" s="2" t="str">
        <f t="shared" si="19"/>
        <v>Error?</v>
      </c>
    </row>
    <row r="1332" spans="1:4" x14ac:dyDescent="0.2">
      <c r="A1332" s="5">
        <v>1271</v>
      </c>
      <c r="B1332" s="138">
        <f>'Expenditures 15-22'!K174</f>
        <v>354289</v>
      </c>
      <c r="C1332" s="2" t="s">
        <v>573</v>
      </c>
      <c r="D1332" s="2" t="str">
        <f t="shared" si="19"/>
        <v>Error?</v>
      </c>
    </row>
    <row r="1333" spans="1:4" x14ac:dyDescent="0.2">
      <c r="A1333" s="5">
        <v>1272</v>
      </c>
      <c r="B1333" s="138">
        <f>'Expenditures 15-22'!K175</f>
        <v>5729</v>
      </c>
      <c r="C1333" s="2" t="s">
        <v>573</v>
      </c>
      <c r="D1333" s="2" t="str">
        <f t="shared" si="19"/>
        <v>Error?</v>
      </c>
    </row>
    <row r="1334" spans="1:4" x14ac:dyDescent="0.2">
      <c r="A1334" s="10">
        <v>1273</v>
      </c>
      <c r="D1334" s="2" t="str">
        <f t="shared" si="19"/>
        <v>OK</v>
      </c>
    </row>
    <row r="1335" spans="1:4" x14ac:dyDescent="0.2">
      <c r="A1335" s="5">
        <v>1274</v>
      </c>
      <c r="B1335" s="138">
        <f>'Expenditures 15-22'!C182</f>
        <v>261888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261888</v>
      </c>
      <c r="C1339" s="2" t="s">
        <v>573</v>
      </c>
      <c r="D1339" s="2" t="str">
        <f t="shared" si="19"/>
        <v>Error?</v>
      </c>
    </row>
    <row r="1340" spans="1:4" x14ac:dyDescent="0.2">
      <c r="A1340" s="5">
        <v>1279</v>
      </c>
      <c r="B1340" s="138">
        <f>'Expenditures 15-22'!C210</f>
        <v>261888</v>
      </c>
      <c r="C1340" s="2" t="s">
        <v>573</v>
      </c>
      <c r="D1340" s="2" t="str">
        <f t="shared" si="19"/>
        <v>Error?</v>
      </c>
    </row>
    <row r="1341" spans="1:4" x14ac:dyDescent="0.2">
      <c r="A1341" s="5">
        <v>1280</v>
      </c>
      <c r="B1341" s="138">
        <f>'Expenditures 15-22'!D182</f>
        <v>28643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28643</v>
      </c>
      <c r="C1345" s="2" t="s">
        <v>573</v>
      </c>
      <c r="D1345" s="2" t="str">
        <f t="shared" si="20"/>
        <v>Error?</v>
      </c>
    </row>
    <row r="1346" spans="1:4" x14ac:dyDescent="0.2">
      <c r="A1346" s="5">
        <v>1285</v>
      </c>
      <c r="B1346" s="138">
        <f>'Expenditures 15-22'!D210</f>
        <v>28643</v>
      </c>
      <c r="C1346" s="2" t="s">
        <v>573</v>
      </c>
      <c r="D1346" s="2" t="str">
        <f t="shared" si="20"/>
        <v>Error?</v>
      </c>
    </row>
    <row r="1347" spans="1:4" x14ac:dyDescent="0.2">
      <c r="A1347" s="5">
        <v>1286</v>
      </c>
      <c r="B1347" s="138">
        <f>'Expenditures 15-22'!E182</f>
        <v>35831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35831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35831</v>
      </c>
      <c r="C1353" s="2" t="s">
        <v>573</v>
      </c>
      <c r="D1353" s="2" t="str">
        <f t="shared" si="20"/>
        <v>Error?</v>
      </c>
    </row>
    <row r="1354" spans="1:4" x14ac:dyDescent="0.2">
      <c r="A1354" s="5">
        <v>1293</v>
      </c>
      <c r="B1354" s="138">
        <f>'Expenditures 15-22'!F182</f>
        <v>122168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122168</v>
      </c>
      <c r="C1358" s="2" t="s">
        <v>573</v>
      </c>
      <c r="D1358" s="2" t="str">
        <f t="shared" si="20"/>
        <v>Error?</v>
      </c>
    </row>
    <row r="1359" spans="1:4" x14ac:dyDescent="0.2">
      <c r="A1359" s="5">
        <v>1298</v>
      </c>
      <c r="B1359" s="138">
        <f>'Expenditures 15-22'!F210</f>
        <v>122168</v>
      </c>
      <c r="C1359" s="2" t="s">
        <v>573</v>
      </c>
      <c r="D1359" s="2" t="str">
        <f t="shared" si="20"/>
        <v>Error?</v>
      </c>
    </row>
    <row r="1360" spans="1:4" x14ac:dyDescent="0.2">
      <c r="A1360" s="5">
        <v>1299</v>
      </c>
      <c r="B1360" s="138">
        <f>'Expenditures 15-22'!G182</f>
        <v>557981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557981</v>
      </c>
      <c r="C1364" s="2" t="s">
        <v>573</v>
      </c>
      <c r="D1364" s="2" t="str">
        <f t="shared" si="20"/>
        <v>Error?</v>
      </c>
    </row>
    <row r="1365" spans="1:4" x14ac:dyDescent="0.2">
      <c r="A1365" s="5">
        <v>1304</v>
      </c>
      <c r="B1365" s="138">
        <f>'Expenditures 15-22'!G210</f>
        <v>557981</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1006511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1006511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1006511</v>
      </c>
      <c r="C1388" s="2" t="s">
        <v>573</v>
      </c>
      <c r="D1388" s="2" t="str">
        <f t="shared" si="20"/>
        <v>Error?</v>
      </c>
    </row>
    <row r="1389" spans="1:4" x14ac:dyDescent="0.2">
      <c r="A1389" s="5">
        <v>1328</v>
      </c>
      <c r="B1389" s="138">
        <f>'Expenditures 15-22'!K211</f>
        <v>-541650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4100</v>
      </c>
      <c r="D1407" s="2" t="str">
        <f t="shared" ref="D1407:D1470" si="21">IF(ISBLANK(B1407),"OK",IF(A1407-B1407=0,"OK","Error?"))</f>
        <v>Error?</v>
      </c>
    </row>
    <row r="1408" spans="1:4" x14ac:dyDescent="0.2">
      <c r="A1408" s="5">
        <v>1347</v>
      </c>
      <c r="B1408" s="138">
        <f>'Expenditures 15-22'!D223</f>
        <v>1530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111820</v>
      </c>
      <c r="C1410" s="2" t="s">
        <v>573</v>
      </c>
      <c r="D1410" s="2" t="str">
        <f t="shared" si="21"/>
        <v>Error?</v>
      </c>
    </row>
    <row r="1411" spans="1:4" x14ac:dyDescent="0.2">
      <c r="A1411" s="5">
        <v>1350</v>
      </c>
      <c r="B1411" s="138">
        <f>'Expenditures 15-22'!D232</f>
        <v>687</v>
      </c>
      <c r="D1411" s="2" t="str">
        <f t="shared" si="21"/>
        <v>Error?</v>
      </c>
    </row>
    <row r="1412" spans="1:4" x14ac:dyDescent="0.2">
      <c r="A1412" s="5">
        <v>1351</v>
      </c>
      <c r="B1412" s="138">
        <f>'Expenditures 15-22'!D233</f>
        <v>633</v>
      </c>
      <c r="D1412" s="2" t="str">
        <f t="shared" si="21"/>
        <v>Error?</v>
      </c>
    </row>
    <row r="1413" spans="1:4" x14ac:dyDescent="0.2">
      <c r="A1413" s="5">
        <v>1352</v>
      </c>
      <c r="B1413" s="138">
        <f>'Expenditures 15-22'!D234</f>
        <v>7485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641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9446</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1267</v>
      </c>
      <c r="D1423" s="2" t="str">
        <f t="shared" si="21"/>
        <v>Error?</v>
      </c>
    </row>
    <row r="1424" spans="1:4" x14ac:dyDescent="0.2">
      <c r="A1424" s="5">
        <v>1363</v>
      </c>
      <c r="B1424" s="138">
        <f>'Expenditures 15-22'!D257</f>
        <v>1267</v>
      </c>
      <c r="C1424" s="2" t="s">
        <v>573</v>
      </c>
      <c r="D1424" s="2" t="str">
        <f t="shared" si="21"/>
        <v>Error?</v>
      </c>
    </row>
    <row r="1425" spans="1:4" x14ac:dyDescent="0.2">
      <c r="A1425" s="5">
        <v>1364</v>
      </c>
      <c r="B1425" s="138">
        <f>'Expenditures 15-22'!D259</f>
        <v>18748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18748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15412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38847</v>
      </c>
      <c r="D1431" s="2" t="str">
        <f t="shared" si="21"/>
        <v>Error?</v>
      </c>
    </row>
    <row r="1432" spans="1:4" x14ac:dyDescent="0.2">
      <c r="A1432" s="5">
        <v>1371</v>
      </c>
      <c r="B1432" s="138">
        <f>'Expenditures 15-22'!D267</f>
        <v>48249</v>
      </c>
      <c r="D1432" s="2" t="str">
        <f t="shared" si="21"/>
        <v>Error?</v>
      </c>
    </row>
    <row r="1433" spans="1:4" x14ac:dyDescent="0.2">
      <c r="A1433" s="5">
        <v>1372</v>
      </c>
      <c r="B1433" s="138">
        <f>'Expenditures 15-22'!D268</f>
        <v>17451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119959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8874</v>
      </c>
      <c r="D1442" s="2" t="str">
        <f t="shared" si="21"/>
        <v>Error?</v>
      </c>
    </row>
    <row r="1443" spans="1:4" x14ac:dyDescent="0.2">
      <c r="A1443" s="10">
        <v>1382</v>
      </c>
      <c r="D1443" s="2" t="str">
        <f t="shared" si="21"/>
        <v>OK</v>
      </c>
    </row>
    <row r="1444" spans="1:4" x14ac:dyDescent="0.2">
      <c r="A1444" s="5">
        <v>1383</v>
      </c>
      <c r="B1444" s="138">
        <f>'Expenditures 15-22'!D277</f>
        <v>8874</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158294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270114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4100</v>
      </c>
      <c r="C1471" s="2" t="s">
        <v>573</v>
      </c>
      <c r="D1471" s="2" t="str">
        <f t="shared" ref="D1471:D1534" si="22">IF(ISBLANK(B1471),"OK",IF(A1471-B1471=0,"OK","Error?"))</f>
        <v>Error?</v>
      </c>
    </row>
    <row r="1472" spans="1:4" x14ac:dyDescent="0.2">
      <c r="A1472" s="5">
        <v>1411</v>
      </c>
      <c r="B1472" s="138">
        <f>'Expenditures 15-22'!K223</f>
        <v>1530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111820</v>
      </c>
      <c r="C1474" s="2" t="s">
        <v>573</v>
      </c>
      <c r="D1474" s="2" t="str">
        <f t="shared" si="22"/>
        <v>Error?</v>
      </c>
    </row>
    <row r="1475" spans="1:4" x14ac:dyDescent="0.2">
      <c r="A1475" s="5">
        <v>1414</v>
      </c>
      <c r="B1475" s="138">
        <f>'Expenditures 15-22'!K232</f>
        <v>687</v>
      </c>
      <c r="C1475" s="2" t="s">
        <v>573</v>
      </c>
      <c r="D1475" s="2" t="str">
        <f t="shared" si="22"/>
        <v>Error?</v>
      </c>
    </row>
    <row r="1476" spans="1:4" x14ac:dyDescent="0.2">
      <c r="A1476" s="5">
        <v>1415</v>
      </c>
      <c r="B1476" s="138">
        <f>'Expenditures 15-22'!K233</f>
        <v>633</v>
      </c>
      <c r="C1476" s="2" t="s">
        <v>573</v>
      </c>
      <c r="D1476" s="2" t="str">
        <f t="shared" si="22"/>
        <v>Error?</v>
      </c>
    </row>
    <row r="1477" spans="1:4" x14ac:dyDescent="0.2">
      <c r="A1477" s="5">
        <v>1416</v>
      </c>
      <c r="B1477" s="138">
        <f>'Expenditures 15-22'!K234</f>
        <v>7485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641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9446</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1267</v>
      </c>
      <c r="C1487" s="2" t="s">
        <v>573</v>
      </c>
      <c r="D1487" s="2" t="str">
        <f t="shared" si="22"/>
        <v>Error?</v>
      </c>
    </row>
    <row r="1488" spans="1:4" x14ac:dyDescent="0.2">
      <c r="A1488" s="5">
        <v>1427</v>
      </c>
      <c r="B1488" s="138">
        <f>'Expenditures 15-22'!K257</f>
        <v>1267</v>
      </c>
      <c r="C1488" s="2" t="s">
        <v>573</v>
      </c>
      <c r="D1488" s="2" t="str">
        <f t="shared" si="22"/>
        <v>Error?</v>
      </c>
    </row>
    <row r="1489" spans="1:4" x14ac:dyDescent="0.2">
      <c r="A1489" s="5">
        <v>1428</v>
      </c>
      <c r="B1489" s="138">
        <f>'Expenditures 15-22'!K259</f>
        <v>18748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18748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15412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38847</v>
      </c>
      <c r="C1495" s="2" t="s">
        <v>573</v>
      </c>
      <c r="D1495" s="2" t="str">
        <f t="shared" si="22"/>
        <v>Error?</v>
      </c>
    </row>
    <row r="1496" spans="1:4" x14ac:dyDescent="0.2">
      <c r="A1496" s="5">
        <v>1435</v>
      </c>
      <c r="B1496" s="138">
        <f>'Expenditures 15-22'!K267</f>
        <v>48249</v>
      </c>
      <c r="C1496" s="2" t="s">
        <v>573</v>
      </c>
      <c r="D1496" s="2" t="str">
        <f t="shared" si="22"/>
        <v>Error?</v>
      </c>
    </row>
    <row r="1497" spans="1:4" x14ac:dyDescent="0.2">
      <c r="A1497" s="5">
        <v>1436</v>
      </c>
      <c r="B1497" s="138">
        <f>'Expenditures 15-22'!K268</f>
        <v>17451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119959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8874</v>
      </c>
      <c r="C1506" s="2" t="s">
        <v>573</v>
      </c>
      <c r="D1506" s="2" t="str">
        <f t="shared" si="22"/>
        <v>Error?</v>
      </c>
    </row>
    <row r="1507" spans="1:4" x14ac:dyDescent="0.2">
      <c r="A1507" s="10">
        <v>1446</v>
      </c>
      <c r="D1507" s="2" t="str">
        <f t="shared" si="22"/>
        <v>OK</v>
      </c>
    </row>
    <row r="1508" spans="1:4" x14ac:dyDescent="0.2">
      <c r="A1508" s="5">
        <v>1447</v>
      </c>
      <c r="B1508" s="138">
        <f>'Expenditures 15-22'!K277</f>
        <v>8874</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158294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270114</v>
      </c>
      <c r="C1517" s="2" t="s">
        <v>573</v>
      </c>
      <c r="D1517" s="2" t="str">
        <f t="shared" si="22"/>
        <v>Error?</v>
      </c>
    </row>
    <row r="1518" spans="1:4" x14ac:dyDescent="0.2">
      <c r="A1518" s="5">
        <v>1457</v>
      </c>
      <c r="B1518" s="138">
        <f>'Expenditures 15-22'!K296</f>
        <v>51427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44237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44237</v>
      </c>
      <c r="C1535" s="2" t="s">
        <v>573</v>
      </c>
      <c r="D1535" s="2" t="str">
        <f t="shared" ref="D1535:D1598" si="23">IF(ISBLANK(B1535),"OK",IF(A1535-B1535=0,"OK","Error?"))</f>
        <v>Error?</v>
      </c>
    </row>
    <row r="1536" spans="1:4" x14ac:dyDescent="0.2">
      <c r="A1536" s="5">
        <v>1475</v>
      </c>
      <c r="B1536" s="138">
        <f>'Expenditures 15-22'!E312</f>
        <v>44237</v>
      </c>
      <c r="C1536" s="2" t="s">
        <v>573</v>
      </c>
      <c r="D1536" s="2" t="str">
        <f t="shared" si="23"/>
        <v>Error?</v>
      </c>
    </row>
    <row r="1537" spans="1:4" x14ac:dyDescent="0.2">
      <c r="A1537" s="5">
        <v>1476</v>
      </c>
      <c r="B1537" s="138">
        <f>'Expenditures 15-22'!F301</f>
        <v>9397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9397</v>
      </c>
      <c r="C1541" s="2" t="s">
        <v>573</v>
      </c>
      <c r="D1541" s="2" t="str">
        <f t="shared" si="23"/>
        <v>Error?</v>
      </c>
    </row>
    <row r="1542" spans="1:4" x14ac:dyDescent="0.2">
      <c r="A1542" s="5">
        <v>1481</v>
      </c>
      <c r="B1542" s="138">
        <f>'Expenditures 15-22'!F312</f>
        <v>9397</v>
      </c>
      <c r="C1542" s="2" t="s">
        <v>573</v>
      </c>
      <c r="D1542" s="2" t="str">
        <f t="shared" si="23"/>
        <v>Error?</v>
      </c>
    </row>
    <row r="1543" spans="1:4" x14ac:dyDescent="0.2">
      <c r="A1543" s="5">
        <v>1482</v>
      </c>
      <c r="B1543" s="138">
        <f>'Expenditures 15-22'!G301</f>
        <v>190366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190366</v>
      </c>
      <c r="C1547" s="2" t="s">
        <v>573</v>
      </c>
      <c r="D1547" s="2" t="str">
        <f t="shared" si="23"/>
        <v>Error?</v>
      </c>
    </row>
    <row r="1548" spans="1:4" x14ac:dyDescent="0.2">
      <c r="A1548" s="5">
        <v>1487</v>
      </c>
      <c r="B1548" s="138">
        <f>'Expenditures 15-22'!G312</f>
        <v>190366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244000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244000</v>
      </c>
      <c r="C1559" s="2" t="s">
        <v>573</v>
      </c>
      <c r="D1559" s="2" t="str">
        <f t="shared" si="23"/>
        <v>Error?</v>
      </c>
    </row>
    <row r="1560" spans="1:4" x14ac:dyDescent="0.2">
      <c r="A1560" s="5">
        <v>1499</v>
      </c>
      <c r="B1560" s="138">
        <f>'Expenditures 15-22'!K312</f>
        <v>244000</v>
      </c>
      <c r="C1560" s="2" t="s">
        <v>573</v>
      </c>
      <c r="D1560" s="2" t="str">
        <f t="shared" si="23"/>
        <v>Error?</v>
      </c>
    </row>
    <row r="1561" spans="1:4" x14ac:dyDescent="0.2">
      <c r="A1561" s="5">
        <v>1500</v>
      </c>
      <c r="B1561" s="138">
        <f>'Expenditures 15-22'!K313</f>
        <v>-77544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1153670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1462523</v>
      </c>
      <c r="C1630" s="2" t="s">
        <v>573</v>
      </c>
      <c r="D1630" s="2" t="str">
        <f t="shared" si="24"/>
        <v>Error?</v>
      </c>
    </row>
    <row r="1631" spans="1:4" x14ac:dyDescent="0.2">
      <c r="A1631" s="5">
        <v>1570</v>
      </c>
      <c r="B1631" s="138">
        <f>'Acct Summary 7-8'!D79</f>
        <v>245991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252341</v>
      </c>
      <c r="C1644" s="2" t="s">
        <v>573</v>
      </c>
      <c r="D1644" s="2" t="str">
        <f t="shared" si="24"/>
        <v>Error?</v>
      </c>
    </row>
    <row r="1645" spans="1:4" x14ac:dyDescent="0.2">
      <c r="A1645" s="5">
        <v>1584</v>
      </c>
      <c r="B1645" s="138">
        <f>'Acct Summary 7-8'!E79</f>
        <v>21645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27374</v>
      </c>
      <c r="C1658" s="2" t="s">
        <v>573</v>
      </c>
      <c r="D1658" s="2" t="str">
        <f t="shared" si="24"/>
        <v>Error?</v>
      </c>
    </row>
    <row r="1659" spans="1:4" x14ac:dyDescent="0.2">
      <c r="A1659" s="5">
        <v>1598</v>
      </c>
      <c r="B1659" s="138">
        <f>'Acct Summary 7-8'!F79</f>
        <v>-47320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-39260</v>
      </c>
      <c r="C1672" s="2" t="s">
        <v>573</v>
      </c>
      <c r="D1672" s="2" t="str">
        <f t="shared" si="25"/>
        <v>Error?</v>
      </c>
    </row>
    <row r="1673" spans="1:4" x14ac:dyDescent="0.2">
      <c r="A1673" s="5">
        <v>1612</v>
      </c>
      <c r="B1673" s="138">
        <f>'Acct Summary 7-8'!G79</f>
        <v>7591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59018</v>
      </c>
      <c r="C1686" s="2" t="s">
        <v>573</v>
      </c>
      <c r="D1686" s="2" t="str">
        <f t="shared" si="25"/>
        <v>Error?</v>
      </c>
    </row>
    <row r="1687" spans="1:4" x14ac:dyDescent="0.2">
      <c r="A1687" s="5">
        <v>1626</v>
      </c>
      <c r="B1687" s="138">
        <f>'Acct Summary 7-8'!H79</f>
        <v>325099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247555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900084</v>
      </c>
      <c r="C1744" s="2" t="s">
        <v>573</v>
      </c>
      <c r="D1744" s="2" t="str">
        <f t="shared" si="26"/>
        <v>Error?</v>
      </c>
    </row>
    <row r="1745" spans="1:5" x14ac:dyDescent="0.2">
      <c r="A1745" s="5">
        <v>1684</v>
      </c>
      <c r="B1745" s="138">
        <f>'Tax Sched 23'!B5</f>
        <v>184485</v>
      </c>
      <c r="C1745" s="2" t="s">
        <v>573</v>
      </c>
      <c r="D1745" s="2" t="str">
        <f t="shared" si="26"/>
        <v>Error?</v>
      </c>
    </row>
    <row r="1746" spans="1:5" x14ac:dyDescent="0.2">
      <c r="A1746" s="5">
        <v>1685</v>
      </c>
      <c r="B1746" s="138">
        <f>'Tax Sched 23'!B6</f>
        <v>180463</v>
      </c>
      <c r="C1746" s="2" t="s">
        <v>573</v>
      </c>
      <c r="D1746" s="2" t="str">
        <f t="shared" si="26"/>
        <v>Error?</v>
      </c>
    </row>
    <row r="1747" spans="1:5" x14ac:dyDescent="0.2">
      <c r="A1747" s="5">
        <v>1686</v>
      </c>
      <c r="B1747" s="138">
        <f>'Tax Sched 23'!B7</f>
        <v>103127</v>
      </c>
      <c r="C1747" s="2" t="s">
        <v>573</v>
      </c>
      <c r="D1747" s="2" t="str">
        <f t="shared" si="26"/>
        <v>Error?</v>
      </c>
    </row>
    <row r="1748" spans="1:5" x14ac:dyDescent="0.2">
      <c r="A1748" s="5">
        <v>1687</v>
      </c>
      <c r="B1748" s="138">
        <f>'Tax Sched 23'!B8</f>
        <v>159552</v>
      </c>
      <c r="C1748" s="2" t="s">
        <v>573</v>
      </c>
      <c r="D1748" s="2" t="str">
        <f t="shared" si="26"/>
        <v>Error?</v>
      </c>
    </row>
    <row r="1749" spans="1:5" x14ac:dyDescent="0.2">
      <c r="A1749" s="5">
        <v>1688</v>
      </c>
      <c r="B1749" s="138">
        <f>'Tax Sched 23'!B10</f>
        <v>11687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98008</v>
      </c>
      <c r="C1752" s="2" t="s">
        <v>573</v>
      </c>
      <c r="D1752" s="2" t="str">
        <f t="shared" si="26"/>
        <v>Error?</v>
      </c>
    </row>
    <row r="1753" spans="1:5" x14ac:dyDescent="0.2">
      <c r="A1753" s="5">
        <v>1692</v>
      </c>
      <c r="B1753" s="138">
        <f>'Tax Sched 23'!B12</f>
        <v>19947</v>
      </c>
      <c r="C1753" s="2" t="s">
        <v>573</v>
      </c>
      <c r="D1753" s="2" t="str">
        <f t="shared" si="26"/>
        <v>Error?</v>
      </c>
    </row>
    <row r="1754" spans="1:5" x14ac:dyDescent="0.2">
      <c r="A1754" s="5">
        <v>1693</v>
      </c>
      <c r="B1754" s="138">
        <f>'Tax Sched 23'!B14</f>
        <v>20619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1802625</v>
      </c>
      <c r="C1759" s="2" t="s">
        <v>573</v>
      </c>
      <c r="D1759" s="2" t="str">
        <f t="shared" si="26"/>
        <v>Error?</v>
      </c>
    </row>
    <row r="1760" spans="1:5" x14ac:dyDescent="0.2">
      <c r="A1760" s="5">
        <v>1699</v>
      </c>
      <c r="B1760" s="138">
        <f>'Tax Sched 23'!D4</f>
        <v>900084</v>
      </c>
      <c r="C1760" s="2" t="s">
        <v>573</v>
      </c>
      <c r="D1760" s="2" t="str">
        <f t="shared" si="26"/>
        <v>Error?</v>
      </c>
    </row>
    <row r="1761" spans="1:5" x14ac:dyDescent="0.2">
      <c r="A1761" s="5">
        <v>1700</v>
      </c>
      <c r="B1761" s="138">
        <f>'Tax Sched 23'!D5</f>
        <v>184485</v>
      </c>
      <c r="C1761" s="2" t="s">
        <v>573</v>
      </c>
      <c r="D1761" s="2" t="str">
        <f t="shared" si="26"/>
        <v>Error?</v>
      </c>
    </row>
    <row r="1762" spans="1:5" s="8" customFormat="1" x14ac:dyDescent="0.2">
      <c r="A1762" s="5">
        <v>1701</v>
      </c>
      <c r="B1762" s="138">
        <f>'Tax Sched 23'!D6</f>
        <v>180463</v>
      </c>
      <c r="C1762" s="2" t="s">
        <v>573</v>
      </c>
      <c r="D1762" s="2" t="str">
        <f t="shared" si="26"/>
        <v>Error?</v>
      </c>
      <c r="E1762" s="9"/>
    </row>
    <row r="1763" spans="1:5" x14ac:dyDescent="0.2">
      <c r="A1763" s="5">
        <v>1702</v>
      </c>
      <c r="B1763" s="138">
        <f>'Tax Sched 23'!D7</f>
        <v>103127</v>
      </c>
      <c r="C1763" s="2" t="s">
        <v>573</v>
      </c>
      <c r="D1763" s="2" t="str">
        <f t="shared" si="26"/>
        <v>Error?</v>
      </c>
    </row>
    <row r="1764" spans="1:5" x14ac:dyDescent="0.2">
      <c r="A1764" s="5">
        <v>1703</v>
      </c>
      <c r="B1764" s="138">
        <f>'Tax Sched 23'!D8</f>
        <v>159552</v>
      </c>
      <c r="C1764" s="2" t="s">
        <v>573</v>
      </c>
      <c r="D1764" s="2" t="str">
        <f t="shared" si="26"/>
        <v>Error?</v>
      </c>
    </row>
    <row r="1765" spans="1:5" x14ac:dyDescent="0.2">
      <c r="A1765" s="5">
        <v>1704</v>
      </c>
      <c r="B1765" s="138">
        <f>'Tax Sched 23'!D10</f>
        <v>11687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98008</v>
      </c>
      <c r="C1768" s="2" t="s">
        <v>573</v>
      </c>
      <c r="D1768" s="2" t="str">
        <f t="shared" si="26"/>
        <v>Error?</v>
      </c>
    </row>
    <row r="1769" spans="1:5" x14ac:dyDescent="0.2">
      <c r="A1769" s="5">
        <v>1708</v>
      </c>
      <c r="B1769" s="138">
        <f>'Tax Sched 23'!D12</f>
        <v>19947</v>
      </c>
      <c r="C1769" s="2" t="s">
        <v>573</v>
      </c>
      <c r="D1769" s="2" t="str">
        <f t="shared" si="26"/>
        <v>Error?</v>
      </c>
    </row>
    <row r="1770" spans="1:5" x14ac:dyDescent="0.2">
      <c r="A1770" s="5">
        <v>1709</v>
      </c>
      <c r="B1770" s="138">
        <f>'Tax Sched 23'!D14</f>
        <v>20619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1802625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889588</v>
      </c>
      <c r="C1792" s="2" t="s">
        <v>573</v>
      </c>
      <c r="D1792" s="2" t="str">
        <f t="shared" si="27"/>
        <v>Error?</v>
      </c>
    </row>
    <row r="1793" spans="1:4" x14ac:dyDescent="0.2">
      <c r="A1793" s="5">
        <v>1732</v>
      </c>
      <c r="B1793" s="138">
        <f>'Tax Sched 23'!F5</f>
        <v>203551</v>
      </c>
      <c r="C1793" s="2" t="s">
        <v>573</v>
      </c>
      <c r="D1793" s="2" t="str">
        <f t="shared" si="27"/>
        <v>Error?</v>
      </c>
    </row>
    <row r="1794" spans="1:4" x14ac:dyDescent="0.2">
      <c r="A1794" s="5">
        <v>1733</v>
      </c>
      <c r="B1794" s="138">
        <f>'Tax Sched 23'!F6</f>
        <v>180938</v>
      </c>
      <c r="C1794" s="2" t="s">
        <v>573</v>
      </c>
      <c r="D1794" s="2" t="str">
        <f t="shared" si="27"/>
        <v>Error?</v>
      </c>
    </row>
    <row r="1795" spans="1:4" x14ac:dyDescent="0.2">
      <c r="A1795" s="5">
        <v>1734</v>
      </c>
      <c r="B1795" s="138">
        <f>'Tax Sched 23'!F7</f>
        <v>104776</v>
      </c>
      <c r="C1795" s="2" t="s">
        <v>573</v>
      </c>
      <c r="D1795" s="2" t="str">
        <f t="shared" si="27"/>
        <v>Error?</v>
      </c>
    </row>
    <row r="1796" spans="1:4" x14ac:dyDescent="0.2">
      <c r="A1796" s="5">
        <v>1735</v>
      </c>
      <c r="B1796" s="138">
        <f>'Tax Sched 23'!F8</f>
        <v>163092</v>
      </c>
      <c r="C1796" s="2" t="s">
        <v>573</v>
      </c>
      <c r="D1796" s="2" t="str">
        <f t="shared" si="27"/>
        <v>Error?</v>
      </c>
    </row>
    <row r="1797" spans="1:4" x14ac:dyDescent="0.2">
      <c r="A1797" s="5">
        <v>1736</v>
      </c>
      <c r="B1797" s="138">
        <f>'Tax Sched 23'!F10</f>
        <v>25699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128500</v>
      </c>
      <c r="C1800" s="2" t="s">
        <v>573</v>
      </c>
      <c r="D1800" s="2" t="str">
        <f t="shared" si="27"/>
        <v>Error?</v>
      </c>
    </row>
    <row r="1801" spans="1:4" x14ac:dyDescent="0.2">
      <c r="A1801" s="5">
        <v>1740</v>
      </c>
      <c r="B1801" s="138">
        <f>'Tax Sched 23'!F12</f>
        <v>25699</v>
      </c>
      <c r="C1801" s="2" t="s">
        <v>573</v>
      </c>
      <c r="D1801" s="2" t="str">
        <f t="shared" si="27"/>
        <v>Error?</v>
      </c>
    </row>
    <row r="1802" spans="1:4" x14ac:dyDescent="0.2">
      <c r="A1802" s="5">
        <v>1741</v>
      </c>
      <c r="B1802" s="138">
        <f>'Tax Sched 23'!F14</f>
        <v>20760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1866159</v>
      </c>
      <c r="C1807" s="2" t="s">
        <v>573</v>
      </c>
      <c r="D1807" s="2" t="str">
        <f t="shared" si="27"/>
        <v>Error?</v>
      </c>
    </row>
    <row r="1808" spans="1:4" x14ac:dyDescent="0.2">
      <c r="A1808" s="5">
        <v>1747</v>
      </c>
      <c r="B1808" s="138">
        <f>'Tax Sched 23'!E4</f>
        <v>889588</v>
      </c>
      <c r="D1808" s="2" t="str">
        <f t="shared" si="27"/>
        <v>Error?</v>
      </c>
    </row>
    <row r="1809" spans="1:4" x14ac:dyDescent="0.2">
      <c r="A1809" s="5">
        <v>1748</v>
      </c>
      <c r="B1809" s="138">
        <f>'Tax Sched 23'!E5</f>
        <v>203551</v>
      </c>
      <c r="D1809" s="2" t="str">
        <f t="shared" si="27"/>
        <v>Error?</v>
      </c>
    </row>
    <row r="1810" spans="1:4" x14ac:dyDescent="0.2">
      <c r="A1810" s="5">
        <v>1749</v>
      </c>
      <c r="B1810" s="138">
        <f>'Tax Sched 23'!E6</f>
        <v>180938</v>
      </c>
      <c r="D1810" s="2" t="str">
        <f t="shared" si="27"/>
        <v>Error?</v>
      </c>
    </row>
    <row r="1811" spans="1:4" x14ac:dyDescent="0.2">
      <c r="A1811" s="5">
        <v>1750</v>
      </c>
      <c r="B1811" s="138">
        <f>'Tax Sched 23'!E7</f>
        <v>104776</v>
      </c>
      <c r="D1811" s="2" t="str">
        <f t="shared" si="27"/>
        <v>Error?</v>
      </c>
    </row>
    <row r="1812" spans="1:4" x14ac:dyDescent="0.2">
      <c r="A1812" s="5">
        <v>1751</v>
      </c>
      <c r="B1812" s="138">
        <f>'Tax Sched 23'!E8</f>
        <v>163092</v>
      </c>
      <c r="D1812" s="2" t="str">
        <f t="shared" si="27"/>
        <v>Error?</v>
      </c>
    </row>
    <row r="1813" spans="1:4" x14ac:dyDescent="0.2">
      <c r="A1813" s="5">
        <v>1752</v>
      </c>
      <c r="B1813" s="138">
        <f>'Tax Sched 23'!E10</f>
        <v>25699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128500</v>
      </c>
      <c r="D1816" s="2" t="str">
        <f t="shared" si="27"/>
        <v>Error?</v>
      </c>
    </row>
    <row r="1817" spans="1:4" x14ac:dyDescent="0.2">
      <c r="A1817" s="5">
        <v>1756</v>
      </c>
      <c r="B1817" s="138">
        <f>'Tax Sched 23'!E12</f>
        <v>25699</v>
      </c>
      <c r="D1817" s="2" t="str">
        <f t="shared" si="27"/>
        <v>Error?</v>
      </c>
    </row>
    <row r="1818" spans="1:4" x14ac:dyDescent="0.2">
      <c r="A1818" s="5">
        <v>1757</v>
      </c>
      <c r="B1818" s="138">
        <f>'Tax Sched 23'!E14</f>
        <v>20760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1866159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1636951</v>
      </c>
      <c r="C1939" s="2" t="s">
        <v>573</v>
      </c>
      <c r="D1939" s="2" t="str">
        <f t="shared" si="29"/>
        <v>Error?</v>
      </c>
    </row>
    <row r="1940" spans="1:5" x14ac:dyDescent="0.2">
      <c r="A1940" s="5">
        <v>1879</v>
      </c>
      <c r="B1940" s="138">
        <f>'Short-Term Long-Term Debt 24'!F49</f>
        <v>549710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20619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20619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20619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141338</v>
      </c>
      <c r="D2008" s="2" t="str">
        <f t="shared" si="30"/>
        <v>Error?</v>
      </c>
    </row>
    <row r="2009" spans="1:4" x14ac:dyDescent="0.2">
      <c r="A2009" s="5">
        <v>1948</v>
      </c>
      <c r="B2009" s="138">
        <f>'Cap Outlay Deprec 26'!C8</f>
        <v>9601478</v>
      </c>
      <c r="D2009" s="2" t="str">
        <f t="shared" si="30"/>
        <v>Error?</v>
      </c>
    </row>
    <row r="2010" spans="1:4" x14ac:dyDescent="0.2">
      <c r="A2010" s="5">
        <v>1949</v>
      </c>
      <c r="B2010" s="138">
        <f>'Cap Outlay Deprec 26'!C10</f>
        <v>219366</v>
      </c>
      <c r="D2010" s="2" t="str">
        <f t="shared" si="30"/>
        <v>Error?</v>
      </c>
    </row>
    <row r="2011" spans="1:4" x14ac:dyDescent="0.2">
      <c r="A2011" s="5">
        <v>1950</v>
      </c>
      <c r="B2011" s="138">
        <f>'Cap Outlay Deprec 26'!C12</f>
        <v>97160</v>
      </c>
      <c r="D2011" s="2" t="str">
        <f t="shared" si="30"/>
        <v>Error?</v>
      </c>
    </row>
    <row r="2012" spans="1:4" x14ac:dyDescent="0.2">
      <c r="A2012" s="5">
        <v>1951</v>
      </c>
      <c r="B2012" s="138">
        <f>'Cap Outlay Deprec 26'!C13</f>
        <v>1172368</v>
      </c>
      <c r="D2012" s="2" t="str">
        <f t="shared" si="30"/>
        <v>Error?</v>
      </c>
    </row>
    <row r="2013" spans="1:4" x14ac:dyDescent="0.2">
      <c r="A2013" s="5">
        <v>1952</v>
      </c>
      <c r="B2013" s="138">
        <f>'Cap Outlay Deprec 26'!C16</f>
        <v>11231710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222778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15360</v>
      </c>
      <c r="D2017" s="2" t="str">
        <f t="shared" si="30"/>
        <v>Error?</v>
      </c>
    </row>
    <row r="2018" spans="1:4" x14ac:dyDescent="0.2">
      <c r="A2018" s="5">
        <v>1957</v>
      </c>
      <c r="B2018" s="138">
        <f>'Cap Outlay Deprec 26'!D13</f>
        <v>497981</v>
      </c>
      <c r="D2018" s="2" t="str">
        <f t="shared" si="30"/>
        <v>Error?</v>
      </c>
    </row>
    <row r="2019" spans="1:4" x14ac:dyDescent="0.2">
      <c r="A2019" s="5">
        <v>1958</v>
      </c>
      <c r="B2019" s="138">
        <f>'Cap Outlay Deprec 26'!D16</f>
        <v>736119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242347</v>
      </c>
      <c r="D2024" s="2" t="str">
        <f t="shared" si="30"/>
        <v>Error?</v>
      </c>
    </row>
    <row r="2025" spans="1:4" x14ac:dyDescent="0.2">
      <c r="A2025" s="5">
        <v>1964</v>
      </c>
      <c r="B2025" s="138">
        <f>'Cap Outlay Deprec 26'!E16</f>
        <v>242347</v>
      </c>
      <c r="C2025" s="2" t="s">
        <v>573</v>
      </c>
      <c r="D2025" s="2" t="str">
        <f t="shared" si="30"/>
        <v>Error?</v>
      </c>
    </row>
    <row r="2026" spans="1:4" x14ac:dyDescent="0.2">
      <c r="A2026" s="5">
        <v>1965</v>
      </c>
      <c r="B2026" s="138">
        <f>'Cap Outlay Deprec 26'!F5</f>
        <v>141338</v>
      </c>
      <c r="C2026" s="2" t="s">
        <v>573</v>
      </c>
      <c r="D2026" s="2" t="str">
        <f t="shared" si="30"/>
        <v>Error?</v>
      </c>
    </row>
    <row r="2027" spans="1:4" x14ac:dyDescent="0.2">
      <c r="A2027" s="5">
        <v>1966</v>
      </c>
      <c r="B2027" s="138">
        <f>'Cap Outlay Deprec 26'!F8</f>
        <v>9824256</v>
      </c>
      <c r="C2027" s="2" t="s">
        <v>573</v>
      </c>
      <c r="D2027" s="2" t="str">
        <f t="shared" si="30"/>
        <v>Error?</v>
      </c>
    </row>
    <row r="2028" spans="1:4" x14ac:dyDescent="0.2">
      <c r="A2028" s="5">
        <v>1967</v>
      </c>
      <c r="B2028" s="138">
        <f>'Cap Outlay Deprec 26'!F10</f>
        <v>219366</v>
      </c>
      <c r="C2028" s="2" t="s">
        <v>573</v>
      </c>
      <c r="D2028" s="2" t="str">
        <f t="shared" si="30"/>
        <v>Error?</v>
      </c>
    </row>
    <row r="2029" spans="1:4" x14ac:dyDescent="0.2">
      <c r="A2029" s="5">
        <v>1968</v>
      </c>
      <c r="B2029" s="138">
        <f>'Cap Outlay Deprec 26'!F12</f>
        <v>112520</v>
      </c>
      <c r="C2029" s="2" t="s">
        <v>573</v>
      </c>
      <c r="D2029" s="2" t="str">
        <f t="shared" si="30"/>
        <v>Error?</v>
      </c>
    </row>
    <row r="2030" spans="1:4" x14ac:dyDescent="0.2">
      <c r="A2030" s="5">
        <v>1969</v>
      </c>
      <c r="B2030" s="138">
        <f>'Cap Outlay Deprec 26'!F13</f>
        <v>1428002</v>
      </c>
      <c r="C2030" s="2" t="s">
        <v>573</v>
      </c>
      <c r="D2030" s="2" t="str">
        <f t="shared" si="30"/>
        <v>Error?</v>
      </c>
    </row>
    <row r="2031" spans="1:4" x14ac:dyDescent="0.2">
      <c r="A2031" s="5">
        <v>1970</v>
      </c>
      <c r="B2031" s="138">
        <f>'Cap Outlay Deprec 26'!F16</f>
        <v>11725482</v>
      </c>
      <c r="C2031" s="2" t="s">
        <v>573</v>
      </c>
      <c r="D2031" s="2" t="str">
        <f t="shared" si="30"/>
        <v>Error?</v>
      </c>
    </row>
    <row r="2032" spans="1:4" x14ac:dyDescent="0.2">
      <c r="A2032" s="10">
        <v>1971</v>
      </c>
      <c r="D2032" s="2" t="str">
        <f t="shared" si="30"/>
        <v>OK</v>
      </c>
    </row>
    <row r="2033" spans="1:4" x14ac:dyDescent="0.2">
      <c r="A2033" s="5">
        <v>1972</v>
      </c>
      <c r="B2033" s="138">
        <f>'Cap Outlay Deprec 26'!H8</f>
        <v>4049791</v>
      </c>
      <c r="D2033" s="2" t="str">
        <f t="shared" si="30"/>
        <v>Error?</v>
      </c>
    </row>
    <row r="2034" spans="1:4" x14ac:dyDescent="0.2">
      <c r="A2034" s="5">
        <v>1973</v>
      </c>
      <c r="B2034" s="138">
        <f>'Cap Outlay Deprec 26'!H10</f>
        <v>196436</v>
      </c>
      <c r="D2034" s="2" t="str">
        <f t="shared" si="30"/>
        <v>Error?</v>
      </c>
    </row>
    <row r="2035" spans="1:4" x14ac:dyDescent="0.2">
      <c r="A2035" s="5">
        <v>1974</v>
      </c>
      <c r="B2035" s="138">
        <f>'Cap Outlay Deprec 26'!H12</f>
        <v>58342</v>
      </c>
      <c r="D2035" s="2" t="str">
        <f t="shared" si="30"/>
        <v>Error?</v>
      </c>
    </row>
    <row r="2036" spans="1:4" x14ac:dyDescent="0.2">
      <c r="A2036" s="5">
        <v>1975</v>
      </c>
      <c r="B2036" s="138">
        <f>'Cap Outlay Deprec 26'!H13</f>
        <v>897802</v>
      </c>
      <c r="D2036" s="2" t="str">
        <f t="shared" si="30"/>
        <v>Error?</v>
      </c>
    </row>
    <row r="2037" spans="1:4" x14ac:dyDescent="0.2">
      <c r="A2037" s="5">
        <v>1976</v>
      </c>
      <c r="B2037" s="138">
        <f>'Cap Outlay Deprec 26'!H16</f>
        <v>5202371</v>
      </c>
      <c r="C2037" s="2" t="s">
        <v>573</v>
      </c>
      <c r="D2037" s="2" t="str">
        <f t="shared" si="30"/>
        <v>Error?</v>
      </c>
    </row>
    <row r="2038" spans="1:4" x14ac:dyDescent="0.2">
      <c r="A2038" s="10">
        <v>1977</v>
      </c>
      <c r="D2038" s="2" t="str">
        <f t="shared" si="30"/>
        <v>OK</v>
      </c>
    </row>
    <row r="2039" spans="1:4" x14ac:dyDescent="0.2">
      <c r="A2039" s="5">
        <v>1978</v>
      </c>
      <c r="B2039" s="138">
        <f>'Cap Outlay Deprec 26'!I8</f>
        <v>175093</v>
      </c>
      <c r="D2039" s="2" t="str">
        <f t="shared" si="30"/>
        <v>Error?</v>
      </c>
    </row>
    <row r="2040" spans="1:4" x14ac:dyDescent="0.2">
      <c r="A2040" s="5">
        <v>1979</v>
      </c>
      <c r="B2040" s="138">
        <f>'Cap Outlay Deprec 26'!I10</f>
        <v>4724</v>
      </c>
      <c r="D2040" s="2" t="str">
        <f t="shared" si="30"/>
        <v>Error?</v>
      </c>
    </row>
    <row r="2041" spans="1:4" x14ac:dyDescent="0.2">
      <c r="A2041" s="5">
        <v>1980</v>
      </c>
      <c r="B2041" s="138">
        <f>'Cap Outlay Deprec 26'!I12</f>
        <v>9887</v>
      </c>
      <c r="D2041" s="2" t="str">
        <f t="shared" si="30"/>
        <v>Error?</v>
      </c>
    </row>
    <row r="2042" spans="1:4" x14ac:dyDescent="0.2">
      <c r="A2042" s="5">
        <v>1981</v>
      </c>
      <c r="B2042" s="138">
        <f>'Cap Outlay Deprec 26'!I13</f>
        <v>107776</v>
      </c>
      <c r="D2042" s="2" t="str">
        <f t="shared" si="30"/>
        <v>Error?</v>
      </c>
    </row>
    <row r="2043" spans="1:4" x14ac:dyDescent="0.2">
      <c r="A2043" s="5">
        <v>1982</v>
      </c>
      <c r="B2043" s="138">
        <f>'Cap Outlay Deprec 26'!I16</f>
        <v>297480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242347</v>
      </c>
      <c r="D2048" s="2" t="str">
        <f t="shared" si="31"/>
        <v>Error?</v>
      </c>
    </row>
    <row r="2049" spans="1:4" x14ac:dyDescent="0.2">
      <c r="A2049" s="5">
        <v>1988</v>
      </c>
      <c r="B2049" s="138">
        <f>'Cap Outlay Deprec 26'!J16</f>
        <v>242347</v>
      </c>
      <c r="C2049" s="2" t="s">
        <v>573</v>
      </c>
      <c r="D2049" s="2" t="str">
        <f t="shared" si="31"/>
        <v>Error?</v>
      </c>
    </row>
    <row r="2050" spans="1:4" x14ac:dyDescent="0.2">
      <c r="A2050" s="10">
        <v>1989</v>
      </c>
      <c r="D2050" s="2" t="str">
        <f t="shared" si="31"/>
        <v>OK</v>
      </c>
    </row>
    <row r="2051" spans="1:4" x14ac:dyDescent="0.2">
      <c r="A2051" s="5">
        <v>1990</v>
      </c>
      <c r="B2051" s="138">
        <f>'Cap Outlay Deprec 26'!K8</f>
        <v>4224884</v>
      </c>
      <c r="C2051" s="2" t="s">
        <v>573</v>
      </c>
      <c r="D2051" s="2" t="str">
        <f t="shared" si="31"/>
        <v>Error?</v>
      </c>
    </row>
    <row r="2052" spans="1:4" x14ac:dyDescent="0.2">
      <c r="A2052" s="5">
        <v>1991</v>
      </c>
      <c r="B2052" s="138">
        <f>'Cap Outlay Deprec 26'!K10</f>
        <v>201160</v>
      </c>
      <c r="C2052" s="2" t="s">
        <v>573</v>
      </c>
      <c r="D2052" s="2" t="str">
        <f t="shared" si="31"/>
        <v>Error?</v>
      </c>
    </row>
    <row r="2053" spans="1:4" x14ac:dyDescent="0.2">
      <c r="A2053" s="5">
        <v>1992</v>
      </c>
      <c r="B2053" s="138">
        <f>'Cap Outlay Deprec 26'!K12</f>
        <v>68229</v>
      </c>
      <c r="C2053" s="2" t="s">
        <v>573</v>
      </c>
      <c r="D2053" s="2" t="str">
        <f t="shared" si="31"/>
        <v>Error?</v>
      </c>
    </row>
    <row r="2054" spans="1:4" x14ac:dyDescent="0.2">
      <c r="A2054" s="5">
        <v>1993</v>
      </c>
      <c r="B2054" s="138">
        <f>'Cap Outlay Deprec 26'!K13</f>
        <v>763231</v>
      </c>
      <c r="C2054" s="2" t="s">
        <v>573</v>
      </c>
      <c r="D2054" s="2" t="str">
        <f t="shared" si="31"/>
        <v>Error?</v>
      </c>
    </row>
    <row r="2055" spans="1:4" x14ac:dyDescent="0.2">
      <c r="A2055" s="5">
        <v>1994</v>
      </c>
      <c r="B2055" s="138">
        <f>'Cap Outlay Deprec 26'!K16</f>
        <v>5257504</v>
      </c>
      <c r="C2055" s="2" t="s">
        <v>573</v>
      </c>
      <c r="D2055" s="2" t="str">
        <f t="shared" si="31"/>
        <v>Error?</v>
      </c>
    </row>
    <row r="2056" spans="1:4" x14ac:dyDescent="0.2">
      <c r="A2056" s="5">
        <v>1995</v>
      </c>
      <c r="B2056" s="138">
        <f>'Cap Outlay Deprec 26'!L5</f>
        <v>141338</v>
      </c>
      <c r="C2056" s="2" t="s">
        <v>573</v>
      </c>
      <c r="D2056" s="2" t="str">
        <f t="shared" si="31"/>
        <v>Error?</v>
      </c>
    </row>
    <row r="2057" spans="1:4" x14ac:dyDescent="0.2">
      <c r="A2057" s="5">
        <v>1996</v>
      </c>
      <c r="B2057" s="138">
        <f>'Cap Outlay Deprec 26'!L8</f>
        <v>5599372</v>
      </c>
      <c r="C2057" s="2" t="s">
        <v>573</v>
      </c>
      <c r="D2057" s="2" t="str">
        <f t="shared" si="31"/>
        <v>Error?</v>
      </c>
    </row>
    <row r="2058" spans="1:4" x14ac:dyDescent="0.2">
      <c r="A2058" s="5">
        <v>1997</v>
      </c>
      <c r="B2058" s="138">
        <f>'Cap Outlay Deprec 26'!L10</f>
        <v>18206</v>
      </c>
      <c r="C2058" s="2" t="s">
        <v>573</v>
      </c>
      <c r="D2058" s="2" t="str">
        <f t="shared" si="31"/>
        <v>Error?</v>
      </c>
    </row>
    <row r="2059" spans="1:4" x14ac:dyDescent="0.2">
      <c r="A2059" s="5">
        <v>1998</v>
      </c>
      <c r="B2059" s="138">
        <f>'Cap Outlay Deprec 26'!L12</f>
        <v>44291</v>
      </c>
      <c r="C2059" s="2" t="s">
        <v>573</v>
      </c>
      <c r="D2059" s="2" t="str">
        <f t="shared" si="31"/>
        <v>Error?</v>
      </c>
    </row>
    <row r="2060" spans="1:4" x14ac:dyDescent="0.2">
      <c r="A2060" s="5">
        <v>1999</v>
      </c>
      <c r="B2060" s="138">
        <f>'Cap Outlay Deprec 26'!L13</f>
        <v>664771</v>
      </c>
      <c r="C2060" s="2" t="s">
        <v>573</v>
      </c>
      <c r="D2060" s="2" t="str">
        <f t="shared" si="31"/>
        <v>Error?</v>
      </c>
    </row>
    <row r="2061" spans="1:4" x14ac:dyDescent="0.2">
      <c r="A2061" s="5">
        <v>2000</v>
      </c>
      <c r="B2061" s="138">
        <f>'Cap Outlay Deprec 26'!L16</f>
        <v>6467978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240970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258678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247555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1138589</v>
      </c>
      <c r="C2551" s="2" t="s">
        <v>573</v>
      </c>
      <c r="D2551" s="2" t="str">
        <f t="shared" si="38"/>
        <v>Error?</v>
      </c>
    </row>
    <row r="2552" spans="1:4" x14ac:dyDescent="0.2">
      <c r="A2552" s="10">
        <v>2491</v>
      </c>
      <c r="D2552" s="2" t="str">
        <f t="shared" si="38"/>
        <v>OK</v>
      </c>
    </row>
    <row r="2553" spans="1:4" x14ac:dyDescent="0.2">
      <c r="A2553" s="5">
        <v>2492</v>
      </c>
      <c r="B2553" s="138">
        <f>'Acct Summary 7-8'!C6</f>
        <v>3921473</v>
      </c>
      <c r="C2553" s="2" t="s">
        <v>573</v>
      </c>
      <c r="D2553" s="2" t="str">
        <f t="shared" si="38"/>
        <v>Error?</v>
      </c>
    </row>
    <row r="2554" spans="1:4" x14ac:dyDescent="0.2">
      <c r="A2554" s="5">
        <v>2493</v>
      </c>
      <c r="B2554" s="138">
        <f>'Acct Summary 7-8'!C7</f>
        <v>423008</v>
      </c>
      <c r="C2554" s="2" t="s">
        <v>573</v>
      </c>
      <c r="D2554" s="2" t="str">
        <f t="shared" si="38"/>
        <v>Error?</v>
      </c>
    </row>
    <row r="2555" spans="1:4" x14ac:dyDescent="0.2">
      <c r="A2555" s="5">
        <v>2494</v>
      </c>
      <c r="B2555" s="138">
        <f>'Acct Summary 7-8'!C8</f>
        <v>5483070</v>
      </c>
      <c r="C2555" s="2" t="s">
        <v>573</v>
      </c>
      <c r="D2555" s="2" t="str">
        <f t="shared" si="38"/>
        <v>Error?</v>
      </c>
    </row>
    <row r="2556" spans="1:4" x14ac:dyDescent="0.2">
      <c r="A2556" s="5">
        <v>2495</v>
      </c>
      <c r="B2556" s="138">
        <f>'Acct Summary 7-8'!C12</f>
        <v>3359783</v>
      </c>
      <c r="C2556" s="2" t="s">
        <v>573</v>
      </c>
      <c r="D2556" s="2" t="str">
        <f t="shared" si="38"/>
        <v>Error?</v>
      </c>
    </row>
    <row r="2557" spans="1:4" x14ac:dyDescent="0.2">
      <c r="A2557" s="5">
        <v>2496</v>
      </c>
      <c r="B2557" s="138">
        <f>'Acct Summary 7-8'!C13</f>
        <v>1555756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258678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5174217</v>
      </c>
      <c r="C2561" s="2" t="s">
        <v>573</v>
      </c>
      <c r="D2561" s="2" t="str">
        <f t="shared" si="39"/>
        <v>Error?</v>
      </c>
    </row>
    <row r="2562" spans="1:4" x14ac:dyDescent="0.2">
      <c r="A2562" s="5">
        <v>2501</v>
      </c>
      <c r="B2562" s="138">
        <f>'Acct Summary 7-8'!C20</f>
        <v>308853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240518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240518</v>
      </c>
      <c r="C2568" s="2" t="s">
        <v>573</v>
      </c>
      <c r="D2568" s="2" t="str">
        <f t="shared" si="39"/>
        <v>Error?</v>
      </c>
    </row>
    <row r="2569" spans="1:4" x14ac:dyDescent="0.2">
      <c r="A2569" s="5">
        <v>2508</v>
      </c>
      <c r="B2569" s="138">
        <f>'Acct Summary 7-8'!D13</f>
        <v>234168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234168</v>
      </c>
      <c r="C2573" s="2" t="s">
        <v>573</v>
      </c>
      <c r="D2573" s="2" t="str">
        <f t="shared" si="39"/>
        <v>Error?</v>
      </c>
    </row>
    <row r="2574" spans="1:4" x14ac:dyDescent="0.2">
      <c r="A2574" s="5">
        <v>2513</v>
      </c>
      <c r="B2574" s="138">
        <f>'Acct Summary 7-8'!D20</f>
        <v>6350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139731</v>
      </c>
      <c r="C2591" s="2" t="s">
        <v>573</v>
      </c>
      <c r="D2591" s="2" t="str">
        <f t="shared" si="39"/>
        <v>Error?</v>
      </c>
    </row>
    <row r="2592" spans="1:4" x14ac:dyDescent="0.2">
      <c r="A2592" s="10">
        <v>2531</v>
      </c>
      <c r="D2592" s="2" t="str">
        <f t="shared" si="39"/>
        <v>OK</v>
      </c>
    </row>
    <row r="2593" spans="1:4" x14ac:dyDescent="0.2">
      <c r="A2593" s="5">
        <v>2532</v>
      </c>
      <c r="B2593" s="138">
        <f>'Acct Summary 7-8'!F6</f>
        <v>325130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464861</v>
      </c>
      <c r="C2595" s="2" t="s">
        <v>573</v>
      </c>
      <c r="D2595" s="2" t="str">
        <f t="shared" si="39"/>
        <v>Error?</v>
      </c>
    </row>
    <row r="2596" spans="1:4" x14ac:dyDescent="0.2">
      <c r="A2596" s="5">
        <v>2535</v>
      </c>
      <c r="B2596" s="138">
        <f>'Acct Summary 7-8'!F13</f>
        <v>1006511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1006511</v>
      </c>
      <c r="C2600" s="2" t="s">
        <v>573</v>
      </c>
      <c r="D2600" s="2" t="str">
        <f t="shared" si="39"/>
        <v>Error?</v>
      </c>
    </row>
    <row r="2601" spans="1:4" x14ac:dyDescent="0.2">
      <c r="A2601" s="5">
        <v>2540</v>
      </c>
      <c r="B2601" s="138">
        <f>'Acct Summary 7-8'!F20</f>
        <v>-541650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321541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321541</v>
      </c>
      <c r="C2606" s="2" t="s">
        <v>573</v>
      </c>
      <c r="D2606" s="2" t="str">
        <f t="shared" si="39"/>
        <v>Error?</v>
      </c>
    </row>
    <row r="2607" spans="1:4" x14ac:dyDescent="0.2">
      <c r="A2607" s="5">
        <v>2546</v>
      </c>
      <c r="B2607" s="138">
        <f>'Acct Summary 7-8'!G12</f>
        <v>111820</v>
      </c>
      <c r="C2607" s="2" t="s">
        <v>573</v>
      </c>
      <c r="D2607" s="2" t="str">
        <f t="shared" si="39"/>
        <v>Error?</v>
      </c>
    </row>
    <row r="2608" spans="1:4" x14ac:dyDescent="0.2">
      <c r="A2608" s="5">
        <v>2547</v>
      </c>
      <c r="B2608" s="138">
        <f>'Acct Summary 7-8'!G13</f>
        <v>158294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270114</v>
      </c>
      <c r="C2612" s="2" t="s">
        <v>573</v>
      </c>
      <c r="D2612" s="2" t="str">
        <f t="shared" si="39"/>
        <v>Error?</v>
      </c>
    </row>
    <row r="2613" spans="1:4" x14ac:dyDescent="0.2">
      <c r="A2613" s="5">
        <v>2552</v>
      </c>
      <c r="B2613" s="138">
        <f>'Acct Summary 7-8'!G20</f>
        <v>51427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360018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360018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354289</v>
      </c>
      <c r="C2634" s="2" t="s">
        <v>573</v>
      </c>
      <c r="D2634" s="2" t="str">
        <f t="shared" si="40"/>
        <v>Error?</v>
      </c>
    </row>
    <row r="2635" spans="1:4" x14ac:dyDescent="0.2">
      <c r="A2635" s="5">
        <v>2574</v>
      </c>
      <c r="B2635" s="138">
        <f>'Acct Summary 7-8'!E17</f>
        <v>354289</v>
      </c>
      <c r="C2635" s="2" t="s">
        <v>573</v>
      </c>
      <c r="D2635" s="2" t="str">
        <f t="shared" si="40"/>
        <v>Error?</v>
      </c>
    </row>
    <row r="2636" spans="1:4" x14ac:dyDescent="0.2">
      <c r="A2636" s="5">
        <v>2575</v>
      </c>
      <c r="B2636" s="138">
        <f>'Acct Summary 7-8'!E20</f>
        <v>5729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161456</v>
      </c>
      <c r="C2655" s="2" t="s">
        <v>573</v>
      </c>
      <c r="D2655" s="2" t="str">
        <f t="shared" si="40"/>
        <v>Error?</v>
      </c>
    </row>
    <row r="2656" spans="1:4" x14ac:dyDescent="0.2">
      <c r="A2656" s="5">
        <v>2595</v>
      </c>
      <c r="B2656" s="138">
        <f>'Acct Summary 7-8'!H6</f>
        <v>5000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166456</v>
      </c>
      <c r="C2658" s="2" t="s">
        <v>573</v>
      </c>
      <c r="D2658" s="2" t="str">
        <f t="shared" si="40"/>
        <v>Error?</v>
      </c>
    </row>
    <row r="2659" spans="1:4" x14ac:dyDescent="0.2">
      <c r="A2659" s="5">
        <v>2598</v>
      </c>
      <c r="B2659" s="138">
        <f>'Acct Summary 7-8'!H13</f>
        <v>244000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244000</v>
      </c>
      <c r="C2661" s="2" t="s">
        <v>573</v>
      </c>
      <c r="D2661" s="2" t="str">
        <f t="shared" si="40"/>
        <v>Error?</v>
      </c>
    </row>
    <row r="2662" spans="1:4" x14ac:dyDescent="0.2">
      <c r="A2662" s="5">
        <v>2601</v>
      </c>
      <c r="B2662" s="138">
        <f>'Acct Summary 7-8'!H20</f>
        <v>-77544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17708</v>
      </c>
      <c r="C2789" s="2" t="s">
        <v>573</v>
      </c>
      <c r="D2789" s="2" t="str">
        <f t="shared" si="42"/>
        <v>Error?</v>
      </c>
    </row>
    <row r="2790" spans="1:4" x14ac:dyDescent="0.2">
      <c r="A2790" s="5">
        <v>2729</v>
      </c>
      <c r="B2790" s="138">
        <f>'Expenditures 15-22'!E102</f>
        <v>17708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678861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822461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598374</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598374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822461</v>
      </c>
      <c r="D2912" s="2" t="str">
        <f t="shared" si="44"/>
        <v>Error?</v>
      </c>
    </row>
    <row r="2913" spans="1:4" x14ac:dyDescent="0.2">
      <c r="A2913" s="5">
        <v>2852</v>
      </c>
      <c r="B2913" s="138">
        <f>'Assets-Liab 5-6'!I41</f>
        <v>822461</v>
      </c>
      <c r="C2913" s="2" t="s">
        <v>573</v>
      </c>
      <c r="D2913" s="2" t="str">
        <f t="shared" si="44"/>
        <v>Error?</v>
      </c>
    </row>
    <row r="2914" spans="1:4" x14ac:dyDescent="0.2">
      <c r="A2914" s="5">
        <v>2853</v>
      </c>
      <c r="B2914" s="138">
        <f>'Assets-Liab 5-6'!L33</f>
        <v>598374</v>
      </c>
      <c r="D2914" s="2" t="str">
        <f t="shared" si="44"/>
        <v>Error?</v>
      </c>
    </row>
    <row r="2915" spans="1:4" x14ac:dyDescent="0.2">
      <c r="A2915" s="10">
        <v>2854</v>
      </c>
      <c r="D2915" s="2" t="str">
        <f t="shared" si="44"/>
        <v>OK</v>
      </c>
    </row>
    <row r="2916" spans="1:4" x14ac:dyDescent="0.2">
      <c r="A2916" s="5">
        <v>2855</v>
      </c>
      <c r="B2916" s="138">
        <f>'Assets-Liab 5-6'!L34</f>
        <v>598374</v>
      </c>
      <c r="C2916" s="2" t="s">
        <v>573</v>
      </c>
      <c r="D2916" s="2" t="str">
        <f t="shared" si="44"/>
        <v>Error?</v>
      </c>
    </row>
    <row r="2917" spans="1:4" x14ac:dyDescent="0.2">
      <c r="A2917" s="5">
        <v>2856</v>
      </c>
      <c r="B2917" s="138">
        <f>'Assets-Liab 5-6'!L41</f>
        <v>598374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17708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240970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258678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114627</v>
      </c>
      <c r="D3055" s="2" t="str">
        <f t="shared" si="46"/>
        <v>Error?</v>
      </c>
    </row>
    <row r="3056" spans="1:4" x14ac:dyDescent="0.2">
      <c r="A3056" s="5">
        <v>2995</v>
      </c>
      <c r="B3056" s="138">
        <f>'Expenditures 15-22'!D10</f>
        <v>32593</v>
      </c>
      <c r="D3056" s="2" t="str">
        <f t="shared" si="46"/>
        <v>Error?</v>
      </c>
    </row>
    <row r="3057" spans="1:4" x14ac:dyDescent="0.2">
      <c r="A3057" s="5">
        <v>2996</v>
      </c>
      <c r="B3057" s="138">
        <f>'Expenditures 15-22'!E10</f>
        <v>5265</v>
      </c>
      <c r="D3057" s="2" t="str">
        <f t="shared" si="46"/>
        <v>Error?</v>
      </c>
    </row>
    <row r="3058" spans="1:4" x14ac:dyDescent="0.2">
      <c r="A3058" s="5">
        <v>2997</v>
      </c>
      <c r="B3058" s="138">
        <f>'Expenditures 15-22'!F10</f>
        <v>22902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175387</v>
      </c>
      <c r="C3062" s="2" t="s">
        <v>573</v>
      </c>
      <c r="D3062" s="2" t="str">
        <f t="shared" si="46"/>
        <v>Error?</v>
      </c>
    </row>
    <row r="3063" spans="1:4" x14ac:dyDescent="0.2">
      <c r="A3063" s="10">
        <v>3002</v>
      </c>
      <c r="D3063" s="2" t="str">
        <f t="shared" si="46"/>
        <v>OK</v>
      </c>
    </row>
    <row r="3064" spans="1:4" x14ac:dyDescent="0.2">
      <c r="A3064" s="5">
        <v>3003</v>
      </c>
      <c r="B3064" s="138">
        <f>'Expenditures 15-22'!D219</f>
        <v>8887</v>
      </c>
      <c r="D3064" s="2" t="str">
        <f t="shared" si="46"/>
        <v>Error?</v>
      </c>
    </row>
    <row r="3065" spans="1:4" x14ac:dyDescent="0.2">
      <c r="A3065" s="5">
        <v>3004</v>
      </c>
      <c r="B3065" s="138">
        <f>'Expenditures 15-22'!K219</f>
        <v>8887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549710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11693</v>
      </c>
      <c r="C3225" s="2" t="s">
        <v>573</v>
      </c>
      <c r="D3225" s="2" t="str">
        <f t="shared" si="49"/>
        <v>Error?</v>
      </c>
    </row>
    <row r="3226" spans="1:4" x14ac:dyDescent="0.2">
      <c r="A3226" s="5">
        <v>3165</v>
      </c>
      <c r="B3226" s="138">
        <f>'Acct Summary 7-8'!I8</f>
        <v>11693</v>
      </c>
      <c r="C3226" s="2" t="s">
        <v>573</v>
      </c>
      <c r="D3226" s="2" t="str">
        <f t="shared" si="49"/>
        <v>Error?</v>
      </c>
    </row>
    <row r="3227" spans="1:4" x14ac:dyDescent="0.2">
      <c r="A3227" s="5">
        <v>3166</v>
      </c>
      <c r="B3227" s="138">
        <f>'Acct Summary 7-8'!I20</f>
        <v>11693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308853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6350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549710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549710</v>
      </c>
      <c r="C3255" s="2" t="s">
        <v>573</v>
      </c>
      <c r="D3255" s="2" t="str">
        <f t="shared" si="49"/>
        <v>Error?</v>
      </c>
    </row>
    <row r="3256" spans="1:4" x14ac:dyDescent="0.2">
      <c r="A3256" s="5">
        <v>3195</v>
      </c>
      <c r="B3256" s="138">
        <f>'Acct Summary 7-8'!F78</f>
        <v>8060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51427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5729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-77544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11693</v>
      </c>
      <c r="C3320" s="2" t="s">
        <v>573</v>
      </c>
      <c r="D3320" s="2" t="str">
        <f t="shared" si="50"/>
        <v>Error?</v>
      </c>
    </row>
    <row r="3321" spans="1:4" x14ac:dyDescent="0.2">
      <c r="A3321" s="5">
        <v>3260</v>
      </c>
      <c r="B3321" s="138">
        <f>'Acct Summary 7-8'!I79</f>
        <v>810768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822461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403454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46258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1534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4037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8043</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455283</v>
      </c>
      <c r="C3380" s="2" t="s">
        <v>573</v>
      </c>
      <c r="D3380" s="2" t="str">
        <f t="shared" si="51"/>
        <v>Error?</v>
      </c>
    </row>
    <row r="3381" spans="1:4" x14ac:dyDescent="0.2">
      <c r="A3381" s="5">
        <v>3320</v>
      </c>
      <c r="B3381" s="138">
        <f>'Expenditures 15-22'!K19</f>
        <v>8043</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34878</v>
      </c>
      <c r="D3387" s="2" t="str">
        <f t="shared" si="51"/>
        <v>Error?</v>
      </c>
    </row>
    <row r="3388" spans="1:4" x14ac:dyDescent="0.2">
      <c r="A3388" s="5">
        <v>3327</v>
      </c>
      <c r="B3388" s="138">
        <f>'Expenditures 15-22'!D217</f>
        <v>53531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34878</v>
      </c>
      <c r="C3390" s="2" t="s">
        <v>573</v>
      </c>
      <c r="D3390" s="2" t="str">
        <f t="shared" si="51"/>
        <v>Error?</v>
      </c>
    </row>
    <row r="3391" spans="1:4" x14ac:dyDescent="0.2">
      <c r="A3391" s="5">
        <v>3330</v>
      </c>
      <c r="B3391" s="138">
        <f>'Expenditures 15-22'!K217</f>
        <v>53531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4100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124653</v>
      </c>
      <c r="C3446" s="2" t="s">
        <v>573</v>
      </c>
      <c r="D3446" s="2" t="str">
        <f t="shared" si="52"/>
        <v>Error?</v>
      </c>
    </row>
    <row r="3447" spans="1:4" x14ac:dyDescent="0.2">
      <c r="A3447" s="5">
        <v>3386</v>
      </c>
      <c r="B3447" s="138">
        <f>'Tax Sched 23'!D16</f>
        <v>124653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123556</v>
      </c>
      <c r="C3449" s="2" t="s">
        <v>573</v>
      </c>
      <c r="D3449" s="2" t="str">
        <f t="shared" si="52"/>
        <v>Error?</v>
      </c>
    </row>
    <row r="3450" spans="1:4" x14ac:dyDescent="0.2">
      <c r="A3450" s="5">
        <v>3389</v>
      </c>
      <c r="B3450" s="138">
        <f>'Tax Sched 23'!E16</f>
        <v>123556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62355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62355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62355</v>
      </c>
      <c r="D3567" s="2" t="str">
        <f t="shared" si="54"/>
        <v>Error?</v>
      </c>
    </row>
    <row r="3568" spans="1:4" x14ac:dyDescent="0.2">
      <c r="A3568" s="5">
        <v>3507</v>
      </c>
      <c r="B3568" s="138">
        <f>'Assets-Liab 5-6'!K41</f>
        <v>62355</v>
      </c>
      <c r="C3568" s="2" t="s">
        <v>573</v>
      </c>
      <c r="D3568" s="2" t="str">
        <f t="shared" si="54"/>
        <v>Error?</v>
      </c>
    </row>
    <row r="3569" spans="1:4" x14ac:dyDescent="0.2">
      <c r="A3569" s="5">
        <v>3508</v>
      </c>
      <c r="B3569" s="138">
        <f>'Acct Summary 7-8'!K4</f>
        <v>19959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19959</v>
      </c>
      <c r="C3571" s="2" t="s">
        <v>573</v>
      </c>
      <c r="D3571" s="2" t="str">
        <f t="shared" si="54"/>
        <v>Error?</v>
      </c>
    </row>
    <row r="3572" spans="1:4" x14ac:dyDescent="0.2">
      <c r="A3572" s="5">
        <v>3511</v>
      </c>
      <c r="B3572" s="138">
        <f>'Acct Summary 7-8'!K13</f>
        <v>27262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27262</v>
      </c>
      <c r="C3575" s="2" t="s">
        <v>573</v>
      </c>
      <c r="D3575" s="2" t="str">
        <f t="shared" si="54"/>
        <v>Error?</v>
      </c>
    </row>
    <row r="3576" spans="1:4" x14ac:dyDescent="0.2">
      <c r="A3576" s="5">
        <v>3515</v>
      </c>
      <c r="B3576" s="138">
        <f>'Acct Summary 7-8'!K20</f>
        <v>-7303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-7303</v>
      </c>
      <c r="C3588" s="2" t="s">
        <v>573</v>
      </c>
      <c r="D3588" s="2" t="str">
        <f t="shared" si="55"/>
        <v>Error?</v>
      </c>
    </row>
    <row r="3589" spans="1:4" x14ac:dyDescent="0.2">
      <c r="A3589" s="5">
        <v>3528</v>
      </c>
      <c r="B3589" s="138">
        <f>'Acct Summary 7-8'!K79</f>
        <v>69658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62355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27262</v>
      </c>
      <c r="D3646" s="2" t="str">
        <f t="shared" si="55"/>
        <v>Error?</v>
      </c>
    </row>
    <row r="3647" spans="1:4" x14ac:dyDescent="0.2">
      <c r="A3647" s="5">
        <v>3586</v>
      </c>
      <c r="B3647" s="138">
        <f>'Expenditures 15-22'!G350</f>
        <v>27262</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27262</v>
      </c>
      <c r="C3649" s="2" t="s">
        <v>573</v>
      </c>
      <c r="D3649" s="2" t="str">
        <f t="shared" si="56"/>
        <v>Error?</v>
      </c>
    </row>
    <row r="3650" spans="1:4" x14ac:dyDescent="0.2">
      <c r="A3650" s="5">
        <v>3589</v>
      </c>
      <c r="B3650" s="138">
        <f>'Expenditures 15-22'!G367</f>
        <v>27262</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27262</v>
      </c>
      <c r="C3669" s="2" t="s">
        <v>573</v>
      </c>
      <c r="D3669" s="2" t="str">
        <f t="shared" si="56"/>
        <v>Error?</v>
      </c>
    </row>
    <row r="3670" spans="1:4" x14ac:dyDescent="0.2">
      <c r="A3670" s="5">
        <v>3609</v>
      </c>
      <c r="B3670" s="138">
        <f>'Expenditures 15-22'!K350</f>
        <v>27262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27262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27262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-7303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225638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1776368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7259438</v>
      </c>
      <c r="C4122" s="2" t="s">
        <v>573</v>
      </c>
      <c r="D4122" s="2" t="str">
        <f t="shared" si="63"/>
        <v>Error?</v>
      </c>
    </row>
    <row r="4123" spans="1:4" x14ac:dyDescent="0.2">
      <c r="A4123" s="5">
        <v>4062</v>
      </c>
      <c r="B4123" s="138">
        <f>'Acct Summary 7-8'!D10</f>
        <v>240518</v>
      </c>
      <c r="C4123" s="2" t="s">
        <v>573</v>
      </c>
      <c r="D4123" s="2" t="str">
        <f t="shared" si="63"/>
        <v>Error?</v>
      </c>
    </row>
    <row r="4124" spans="1:4" x14ac:dyDescent="0.2">
      <c r="A4124" s="5">
        <v>4063</v>
      </c>
      <c r="B4124" s="138">
        <f>'Acct Summary 7-8'!E10</f>
        <v>360018</v>
      </c>
      <c r="C4124" s="2" t="s">
        <v>573</v>
      </c>
      <c r="D4124" s="2" t="str">
        <f t="shared" si="63"/>
        <v>Error?</v>
      </c>
    </row>
    <row r="4125" spans="1:4" x14ac:dyDescent="0.2">
      <c r="A4125" s="5">
        <v>4064</v>
      </c>
      <c r="B4125" s="138">
        <f>'Acct Summary 7-8'!F10</f>
        <v>464861</v>
      </c>
      <c r="C4125" s="2" t="s">
        <v>573</v>
      </c>
      <c r="D4125" s="2" t="str">
        <f t="shared" si="63"/>
        <v>Error?</v>
      </c>
    </row>
    <row r="4126" spans="1:4" x14ac:dyDescent="0.2">
      <c r="A4126" s="5">
        <v>4065</v>
      </c>
      <c r="B4126" s="138">
        <f>'Acct Summary 7-8'!G10</f>
        <v>321541</v>
      </c>
      <c r="C4126" s="2" t="s">
        <v>573</v>
      </c>
      <c r="D4126" s="2" t="str">
        <f t="shared" si="63"/>
        <v>Error?</v>
      </c>
    </row>
    <row r="4127" spans="1:4" x14ac:dyDescent="0.2">
      <c r="A4127" s="5">
        <v>4066</v>
      </c>
      <c r="B4127" s="138">
        <f>'Acct Summary 7-8'!H10</f>
        <v>166456</v>
      </c>
      <c r="C4127" s="2" t="s">
        <v>573</v>
      </c>
      <c r="D4127" s="2" t="str">
        <f t="shared" si="63"/>
        <v>Error?</v>
      </c>
    </row>
    <row r="4128" spans="1:4" x14ac:dyDescent="0.2">
      <c r="A4128" s="5">
        <v>4067</v>
      </c>
      <c r="B4128" s="138">
        <f>'Acct Summary 7-8'!I10</f>
        <v>11693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19959</v>
      </c>
      <c r="C4130" s="2" t="s">
        <v>573</v>
      </c>
      <c r="D4130" s="2" t="str">
        <f t="shared" si="63"/>
        <v>Error?</v>
      </c>
    </row>
    <row r="4131" spans="1:4" x14ac:dyDescent="0.2">
      <c r="A4131" s="5">
        <v>4070</v>
      </c>
      <c r="B4131" s="138">
        <f>'Acct Summary 7-8'!C18</f>
        <v>1776368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6950585</v>
      </c>
      <c r="C4136" s="2" t="s">
        <v>573</v>
      </c>
      <c r="D4136" s="2" t="str">
        <f t="shared" si="63"/>
        <v>Error?</v>
      </c>
    </row>
    <row r="4137" spans="1:4" x14ac:dyDescent="0.2">
      <c r="A4137" s="5">
        <v>4076</v>
      </c>
      <c r="B4137" s="138">
        <f>'Acct Summary 7-8'!D19</f>
        <v>234168</v>
      </c>
      <c r="C4137" s="2" t="s">
        <v>573</v>
      </c>
      <c r="D4137" s="2" t="str">
        <f t="shared" si="63"/>
        <v>Error?</v>
      </c>
    </row>
    <row r="4138" spans="1:4" x14ac:dyDescent="0.2">
      <c r="A4138" s="5">
        <v>4077</v>
      </c>
      <c r="B4138" s="138">
        <f>'Acct Summary 7-8'!E19</f>
        <v>354289</v>
      </c>
      <c r="C4138" s="2" t="s">
        <v>573</v>
      </c>
      <c r="D4138" s="2" t="str">
        <f t="shared" si="63"/>
        <v>Error?</v>
      </c>
    </row>
    <row r="4139" spans="1:4" x14ac:dyDescent="0.2">
      <c r="A4139" s="5">
        <v>4078</v>
      </c>
      <c r="B4139" s="138">
        <f>'Acct Summary 7-8'!F19</f>
        <v>1006511</v>
      </c>
      <c r="C4139" s="2" t="s">
        <v>573</v>
      </c>
      <c r="D4139" s="2" t="str">
        <f t="shared" si="63"/>
        <v>Error?</v>
      </c>
    </row>
    <row r="4140" spans="1:4" x14ac:dyDescent="0.2">
      <c r="A4140" s="5">
        <v>4079</v>
      </c>
      <c r="B4140" s="138">
        <f>'Acct Summary 7-8'!G19</f>
        <v>270114</v>
      </c>
      <c r="C4140" s="2" t="s">
        <v>573</v>
      </c>
      <c r="D4140" s="2" t="str">
        <f t="shared" si="63"/>
        <v>Error?</v>
      </c>
    </row>
    <row r="4141" spans="1:4" x14ac:dyDescent="0.2">
      <c r="A4141" s="5">
        <v>4080</v>
      </c>
      <c r="B4141" s="138">
        <f>'Acct Summary 7-8'!H19</f>
        <v>244000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27262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1646710</v>
      </c>
      <c r="C4171" s="2" t="s">
        <v>573</v>
      </c>
      <c r="D4171" s="2" t="str">
        <f t="shared" si="64"/>
        <v>Error?</v>
      </c>
    </row>
    <row r="4172" spans="1:4" x14ac:dyDescent="0.2">
      <c r="A4172" s="5">
        <v>4111</v>
      </c>
      <c r="B4172" s="138">
        <f>'Short-Term Long-Term Debt 24'!J49</f>
        <v>1619336</v>
      </c>
      <c r="C4172" s="2" t="s">
        <v>573</v>
      </c>
      <c r="D4172" s="2" t="str">
        <f t="shared" si="64"/>
        <v>Error?</v>
      </c>
    </row>
    <row r="4173" spans="1:4" x14ac:dyDescent="0.2">
      <c r="A4173" s="5">
        <v>4112</v>
      </c>
      <c r="B4173" s="138">
        <f>'Short-Term Long-Term Debt 24'!H49</f>
        <v>316000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-223951</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1933</v>
      </c>
    </row>
    <row r="4236" spans="1:5" x14ac:dyDescent="0.2">
      <c r="A4236" s="10">
        <v>4175</v>
      </c>
      <c r="D4236" s="2" t="str">
        <f t="shared" si="65"/>
        <v>OK</v>
      </c>
      <c r="E4236" s="4" t="s">
        <v>1933</v>
      </c>
    </row>
    <row r="4237" spans="1:5" x14ac:dyDescent="0.2">
      <c r="A4237" s="10">
        <v>4176</v>
      </c>
      <c r="D4237" s="2" t="str">
        <f t="shared" si="65"/>
        <v>OK</v>
      </c>
      <c r="E4237" s="4" t="s">
        <v>1933</v>
      </c>
    </row>
    <row r="4238" spans="1:5" x14ac:dyDescent="0.2">
      <c r="A4238" s="10">
        <v>4177</v>
      </c>
      <c r="D4238" s="2" t="str">
        <f t="shared" si="65"/>
        <v>OK</v>
      </c>
      <c r="E4238" s="4" t="s">
        <v>1933</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1608.59</v>
      </c>
      <c r="C4265" s="2" t="s">
        <v>573</v>
      </c>
      <c r="D4265" s="2" t="str">
        <f t="shared" si="65"/>
        <v>Error?</v>
      </c>
      <c r="E4265" s="128"/>
    </row>
    <row r="4266" spans="1:5" x14ac:dyDescent="0.2">
      <c r="A4266" s="12">
        <v>4205</v>
      </c>
      <c r="B4266" s="138">
        <f>('FP Info 3'!F10)*100000</f>
        <v>368.07</v>
      </c>
      <c r="C4266" s="2" t="s">
        <v>573</v>
      </c>
      <c r="D4266" s="2" t="str">
        <f t="shared" si="65"/>
        <v>Error?</v>
      </c>
      <c r="E4266" s="128"/>
    </row>
    <row r="4267" spans="1:5" x14ac:dyDescent="0.2">
      <c r="A4267" s="12">
        <v>4206</v>
      </c>
      <c r="B4267" s="138">
        <f>('FP Info 3'!H10)*100000</f>
        <v>189.46</v>
      </c>
      <c r="C4267" s="2" t="s">
        <v>573</v>
      </c>
      <c r="D4267" s="2" t="str">
        <f t="shared" si="65"/>
        <v>Error?</v>
      </c>
      <c r="E4267" s="128"/>
    </row>
    <row r="4268" spans="1:5" x14ac:dyDescent="0.2">
      <c r="A4268" s="12">
        <v>4207</v>
      </c>
      <c r="B4268" s="138">
        <f>('FP Info 3'!J10)*100000</f>
        <v>2166</v>
      </c>
      <c r="C4268" s="2" t="s">
        <v>573</v>
      </c>
      <c r="D4268" s="2" t="str">
        <f t="shared" si="65"/>
        <v>Error?</v>
      </c>
    </row>
    <row r="4269" spans="1:5" x14ac:dyDescent="0.2">
      <c r="A4269" s="12">
        <v>4208</v>
      </c>
      <c r="B4269" s="138">
        <f>'FP Info 3'!J16</f>
        <v>2498065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6729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44824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1933</v>
      </c>
    </row>
    <row r="4400" spans="1:5" x14ac:dyDescent="0.2">
      <c r="A4400" s="10">
        <v>4339</v>
      </c>
      <c r="D4400" s="2" t="str">
        <f t="shared" si="67"/>
        <v>OK</v>
      </c>
      <c r="E4400" s="4" t="s">
        <v>1933</v>
      </c>
    </row>
    <row r="4401" spans="1:5" x14ac:dyDescent="0.2">
      <c r="A4401" s="10">
        <v>4340</v>
      </c>
      <c r="D4401" s="2" t="str">
        <f t="shared" si="67"/>
        <v>OK</v>
      </c>
      <c r="E4401" s="4" t="s">
        <v>1933</v>
      </c>
    </row>
    <row r="4402" spans="1:5" x14ac:dyDescent="0.2">
      <c r="A4402" s="10">
        <v>4341</v>
      </c>
      <c r="D4402" s="2" t="str">
        <f t="shared" si="67"/>
        <v>OK</v>
      </c>
      <c r="E4402" s="4" t="s">
        <v>1933</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44422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46.47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5000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55302325</v>
      </c>
      <c r="D4995" s="2" t="str">
        <f t="shared" si="77"/>
        <v>Error?</v>
      </c>
    </row>
    <row r="4996" spans="1:4" x14ac:dyDescent="0.2">
      <c r="A4996" s="12">
        <v>4935</v>
      </c>
      <c r="B4996" s="138">
        <f>'FP Info 3'!H31</f>
        <v>7631720.8500000006</v>
      </c>
      <c r="D4996" s="2" t="str">
        <f t="shared" si="77"/>
        <v>Error?</v>
      </c>
    </row>
    <row r="4997" spans="1:4" x14ac:dyDescent="0.2">
      <c r="A4997" s="12">
        <v>4936</v>
      </c>
      <c r="B4997" s="138">
        <f>'FP Info 3'!H37</f>
        <v>1646710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900084</v>
      </c>
      <c r="D5061" s="2" t="str">
        <f t="shared" si="78"/>
        <v>Error?</v>
      </c>
    </row>
    <row r="5062" spans="1:4" x14ac:dyDescent="0.2">
      <c r="A5062" s="10">
        <v>5001</v>
      </c>
      <c r="D5062" s="2" t="str">
        <f t="shared" si="78"/>
        <v>OK</v>
      </c>
    </row>
    <row r="5063" spans="1:4" x14ac:dyDescent="0.2">
      <c r="A5063" s="5">
        <v>5002</v>
      </c>
      <c r="B5063" s="138">
        <f>'Revenues 9-14'!C7</f>
        <v>20619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920703</v>
      </c>
      <c r="C5066" s="2" t="s">
        <v>573</v>
      </c>
      <c r="D5066" s="2" t="str">
        <f t="shared" si="78"/>
        <v>Error?</v>
      </c>
    </row>
    <row r="5067" spans="1:4" x14ac:dyDescent="0.2">
      <c r="A5067" s="5">
        <v>5006</v>
      </c>
      <c r="B5067" s="138">
        <f>'Revenues 9-14'!C14</f>
        <v>522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522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2300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2300</v>
      </c>
      <c r="C5087" s="2" t="s">
        <v>573</v>
      </c>
      <c r="D5087" s="2" t="str">
        <f t="shared" si="78"/>
        <v>Error?</v>
      </c>
    </row>
    <row r="5088" spans="1:4" x14ac:dyDescent="0.2">
      <c r="A5088" s="5">
        <v>5027</v>
      </c>
      <c r="B5088" s="138">
        <f>'Revenues 9-14'!C65</f>
        <v>778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778</v>
      </c>
      <c r="C5090" s="2" t="s">
        <v>573</v>
      </c>
      <c r="D5090" s="2" t="str">
        <f t="shared" si="78"/>
        <v>Error?</v>
      </c>
    </row>
    <row r="5091" spans="1:4" x14ac:dyDescent="0.2">
      <c r="A5091" s="5">
        <v>5030</v>
      </c>
      <c r="B5091" s="138">
        <f>'Revenues 9-14'!C70</f>
        <v>1508</v>
      </c>
      <c r="D5091" s="2" t="str">
        <f t="shared" si="78"/>
        <v>Error?</v>
      </c>
    </row>
    <row r="5092" spans="1:4" x14ac:dyDescent="0.2">
      <c r="A5092" s="5">
        <v>5031</v>
      </c>
      <c r="B5092" s="138">
        <f>'Revenues 9-14'!C71</f>
        <v>2324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4742</v>
      </c>
      <c r="D5094" s="2" t="str">
        <f t="shared" si="78"/>
        <v>Error?</v>
      </c>
    </row>
    <row r="5095" spans="1:4" x14ac:dyDescent="0.2">
      <c r="A5095" s="5">
        <v>5034</v>
      </c>
      <c r="B5095" s="138">
        <f>'Revenues 9-14'!C74</f>
        <v>64905</v>
      </c>
      <c r="D5095" s="2" t="str">
        <f t="shared" si="78"/>
        <v>Error?</v>
      </c>
    </row>
    <row r="5096" spans="1:4" x14ac:dyDescent="0.2">
      <c r="A5096" s="5">
        <v>5035</v>
      </c>
      <c r="B5096" s="138">
        <f>'Revenues 9-14'!C75</f>
        <v>117335</v>
      </c>
      <c r="C5096" s="2" t="s">
        <v>573</v>
      </c>
      <c r="D5096" s="2" t="str">
        <f t="shared" si="78"/>
        <v>Error?</v>
      </c>
    </row>
    <row r="5097" spans="1:4" x14ac:dyDescent="0.2">
      <c r="A5097" s="5">
        <v>5036</v>
      </c>
      <c r="B5097" s="138">
        <f>'Revenues 9-14'!C77</f>
        <v>16524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14650</v>
      </c>
      <c r="D5101" s="2" t="str">
        <f t="shared" si="78"/>
        <v>Error?</v>
      </c>
    </row>
    <row r="5102" spans="1:4" x14ac:dyDescent="0.2">
      <c r="A5102" s="5">
        <v>5041</v>
      </c>
      <c r="B5102" s="138">
        <f>'Revenues 9-14'!C82</f>
        <v>31174</v>
      </c>
      <c r="C5102" s="2" t="s">
        <v>573</v>
      </c>
      <c r="D5102" s="2" t="str">
        <f t="shared" si="78"/>
        <v>Error?</v>
      </c>
    </row>
    <row r="5103" spans="1:4" x14ac:dyDescent="0.2">
      <c r="A5103" s="5">
        <v>5042</v>
      </c>
      <c r="B5103" s="138">
        <f>'Revenues 9-14'!C84</f>
        <v>13710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13710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17273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145</v>
      </c>
      <c r="D5117" s="2" t="str">
        <f t="shared" si="78"/>
        <v>Error?</v>
      </c>
    </row>
    <row r="5118" spans="1:4" x14ac:dyDescent="0.2">
      <c r="A5118" s="5">
        <v>5057</v>
      </c>
      <c r="B5118" s="138">
        <f>'Revenues 9-14'!C106</f>
        <v>865</v>
      </c>
      <c r="D5118" s="2" t="str">
        <f t="shared" si="78"/>
        <v>Error?</v>
      </c>
    </row>
    <row r="5119" spans="1:4" x14ac:dyDescent="0.2">
      <c r="A5119" s="5">
        <v>5058</v>
      </c>
      <c r="B5119" s="138">
        <f>'Revenues 9-14'!C107</f>
        <v>33459</v>
      </c>
      <c r="D5119" s="2" t="str">
        <f t="shared" ref="D5119:D5182" si="79">IF(ISBLANK(B5119),"OK",IF(A5119-B5119=0,"OK","Error?"))</f>
        <v>Error?</v>
      </c>
    </row>
    <row r="5120" spans="1:4" x14ac:dyDescent="0.2">
      <c r="A5120" s="5">
        <v>5059</v>
      </c>
      <c r="B5120" s="138">
        <f>'Revenues 9-14'!C108</f>
        <v>52067</v>
      </c>
      <c r="C5120" s="2" t="s">
        <v>573</v>
      </c>
      <c r="D5120" s="2" t="str">
        <f t="shared" si="79"/>
        <v>Error?</v>
      </c>
    </row>
    <row r="5121" spans="1:4" x14ac:dyDescent="0.2">
      <c r="A5121" s="5">
        <v>5060</v>
      </c>
      <c r="B5121" s="138">
        <f>'Revenues 9-14'!C109</f>
        <v>1138589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3588218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3588218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2089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2089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7863</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25393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2933</v>
      </c>
      <c r="D5167" s="2" t="str">
        <f t="shared" si="79"/>
        <v>Error?</v>
      </c>
    </row>
    <row r="5168" spans="1:4" x14ac:dyDescent="0.2">
      <c r="A5168" s="5">
        <v>5107</v>
      </c>
      <c r="B5168" s="138">
        <f>'Revenues 9-14'!C148</f>
        <v>10538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292302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1933</v>
      </c>
    </row>
    <row r="5200" spans="1:5" x14ac:dyDescent="0.2">
      <c r="A5200" s="10">
        <v>5139</v>
      </c>
      <c r="D5200" s="2" t="str">
        <f t="shared" si="80"/>
        <v>OK</v>
      </c>
      <c r="E5200" s="4" t="s">
        <v>1933</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333255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3921473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115401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41935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157336</v>
      </c>
      <c r="C5246" s="2" t="s">
        <v>573</v>
      </c>
      <c r="D5246" s="2" t="str">
        <f t="shared" si="80"/>
        <v>Error?</v>
      </c>
    </row>
    <row r="5247" spans="1:4" x14ac:dyDescent="0.2">
      <c r="A5247" s="5">
        <v>5186</v>
      </c>
      <c r="B5247" s="138">
        <f>'Revenues 9-14'!C200</f>
        <v>159697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1933</v>
      </c>
    </row>
    <row r="5255" spans="1:5" x14ac:dyDescent="0.2">
      <c r="A5255" s="5">
        <v>5194</v>
      </c>
      <c r="B5255" s="138">
        <f>'Revenues 9-14'!C202</f>
        <v>0</v>
      </c>
      <c r="D5255" s="2" t="str">
        <f t="shared" si="81"/>
        <v>Error?</v>
      </c>
    </row>
    <row r="5256" spans="1:5" x14ac:dyDescent="0.2">
      <c r="A5256" s="5">
        <v>5195</v>
      </c>
      <c r="B5256" s="138">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159697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1933</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423008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423008</v>
      </c>
      <c r="C5326" s="2" t="s">
        <v>573</v>
      </c>
      <c r="D5326" s="2" t="str">
        <f t="shared" si="82"/>
        <v>Error?</v>
      </c>
    </row>
    <row r="5327" spans="1:5" x14ac:dyDescent="0.2">
      <c r="A5327" s="5">
        <v>5266</v>
      </c>
      <c r="B5327" s="138">
        <f>'Revenues 9-14'!C268</f>
        <v>5483070</v>
      </c>
      <c r="C5327" s="2" t="s">
        <v>573</v>
      </c>
      <c r="D5327" s="2" t="str">
        <f t="shared" si="82"/>
        <v>Error?</v>
      </c>
    </row>
    <row r="5328" spans="1:5" x14ac:dyDescent="0.2">
      <c r="A5328" s="5">
        <v>5267</v>
      </c>
      <c r="B5328" s="138">
        <f>'Revenues 9-14'!D5</f>
        <v>184485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184485</v>
      </c>
      <c r="C5334" s="2" t="s">
        <v>573</v>
      </c>
      <c r="D5334" s="2" t="str">
        <f t="shared" si="82"/>
        <v>Error?</v>
      </c>
    </row>
    <row r="5335" spans="1:4" x14ac:dyDescent="0.2">
      <c r="A5335" s="5">
        <v>5274</v>
      </c>
      <c r="B5335" s="138">
        <f>'Revenues 9-14'!D14</f>
        <v>105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46533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46638</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9395</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9395</v>
      </c>
      <c r="C5355" s="2" t="s">
        <v>573</v>
      </c>
      <c r="D5355" s="2" t="str">
        <f t="shared" si="82"/>
        <v>Error?</v>
      </c>
    </row>
    <row r="5356" spans="1:4" x14ac:dyDescent="0.2">
      <c r="A5356" s="5">
        <v>5295</v>
      </c>
      <c r="B5356" s="138">
        <f>'Revenues 9-14'!D109</f>
        <v>240518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1933</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240518</v>
      </c>
      <c r="C5508" s="2" t="s">
        <v>573</v>
      </c>
      <c r="D5508" s="2" t="str">
        <f t="shared" si="85"/>
        <v>Error?</v>
      </c>
    </row>
    <row r="5509" spans="1:4" x14ac:dyDescent="0.2">
      <c r="A5509" s="5">
        <v>5448</v>
      </c>
      <c r="B5509" s="138">
        <f>'Revenues 9-14'!E5</f>
        <v>180463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180463</v>
      </c>
      <c r="C5513" s="2" t="s">
        <v>573</v>
      </c>
      <c r="D5513" s="2" t="str">
        <f t="shared" si="85"/>
        <v>Error?</v>
      </c>
    </row>
    <row r="5514" spans="1:4" x14ac:dyDescent="0.2">
      <c r="A5514" s="5">
        <v>5453</v>
      </c>
      <c r="B5514" s="138">
        <f>'Revenues 9-14'!E14</f>
        <v>102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102</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179453</v>
      </c>
      <c r="C5526" s="2" t="s">
        <v>573</v>
      </c>
      <c r="D5526" s="2" t="str">
        <f t="shared" si="85"/>
        <v>Error?</v>
      </c>
    </row>
    <row r="5527" spans="1:4" x14ac:dyDescent="0.2">
      <c r="A5527" s="5">
        <v>5466</v>
      </c>
      <c r="B5527" s="138">
        <f>'Revenues 9-14'!E109</f>
        <v>360018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360018</v>
      </c>
      <c r="C5552" s="2" t="s">
        <v>573</v>
      </c>
      <c r="D5552" s="2" t="str">
        <f t="shared" si="85"/>
        <v>Error?</v>
      </c>
    </row>
    <row r="5553" spans="1:4" x14ac:dyDescent="0.2">
      <c r="A5553" s="5">
        <v>5492</v>
      </c>
      <c r="B5553" s="138">
        <f>'Revenues 9-14'!F5</f>
        <v>103127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103127</v>
      </c>
      <c r="C5557" s="2" t="s">
        <v>573</v>
      </c>
      <c r="D5557" s="2" t="str">
        <f t="shared" si="85"/>
        <v>Error?</v>
      </c>
    </row>
    <row r="5558" spans="1:4" x14ac:dyDescent="0.2">
      <c r="A5558" s="5">
        <v>5497</v>
      </c>
      <c r="B5558" s="138">
        <f>'Revenues 9-14'!F14</f>
        <v>60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36490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36550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54</v>
      </c>
      <c r="D5586" s="2" t="str">
        <f t="shared" si="86"/>
        <v>Error?</v>
      </c>
    </row>
    <row r="5587" spans="1:4" x14ac:dyDescent="0.2">
      <c r="A5587" s="5">
        <v>5526</v>
      </c>
      <c r="B5587" s="138">
        <f>'Revenues 9-14'!F108</f>
        <v>54</v>
      </c>
      <c r="C5587" s="2" t="s">
        <v>573</v>
      </c>
      <c r="D5587" s="2" t="str">
        <f t="shared" si="86"/>
        <v>Error?</v>
      </c>
    </row>
    <row r="5588" spans="1:4" x14ac:dyDescent="0.2">
      <c r="A5588" s="5">
        <v>5527</v>
      </c>
      <c r="B5588" s="138">
        <f>'Revenues 9-14'!F109</f>
        <v>139731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221301</v>
      </c>
      <c r="D5615" s="2" t="str">
        <f t="shared" si="86"/>
        <v>Error?</v>
      </c>
    </row>
    <row r="5616" spans="1:4" x14ac:dyDescent="0.2">
      <c r="A5616" s="10">
        <v>5555</v>
      </c>
      <c r="D5616" s="2" t="str">
        <f t="shared" si="86"/>
        <v>OK</v>
      </c>
    </row>
    <row r="5617" spans="1:5" x14ac:dyDescent="0.2">
      <c r="A5617" s="5">
        <v>5556</v>
      </c>
      <c r="B5617" s="138">
        <f>'Revenues 9-14'!F153</f>
        <v>103829</v>
      </c>
      <c r="D5617" s="2" t="str">
        <f t="shared" si="86"/>
        <v>Error?</v>
      </c>
    </row>
    <row r="5618" spans="1:5" x14ac:dyDescent="0.2">
      <c r="A5618" s="5">
        <v>5557</v>
      </c>
      <c r="B5618" s="138">
        <f>'Revenues 9-14'!F155</f>
        <v>325130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1933</v>
      </c>
    </row>
    <row r="5631" spans="1:5" x14ac:dyDescent="0.2">
      <c r="A5631" s="10">
        <v>5570</v>
      </c>
      <c r="D5631" s="2" t="str">
        <f t="shared" ref="D5631:D5694" si="87">IF(ISBLANK(B5631),"OK",IF(A5631-B5631=0,"OK","Error?"))</f>
        <v>OK</v>
      </c>
      <c r="E5631" s="4" t="s">
        <v>1933</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325130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325130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1933</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1933</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464861</v>
      </c>
      <c r="C5720" s="2" t="s">
        <v>573</v>
      </c>
      <c r="D5720" s="2" t="str">
        <f t="shared" si="88"/>
        <v>Error?</v>
      </c>
    </row>
    <row r="5721" spans="1:4" x14ac:dyDescent="0.2">
      <c r="A5721" s="5">
        <v>5660</v>
      </c>
      <c r="B5721" s="138">
        <f>'Revenues 9-14'!G5</f>
        <v>159552</v>
      </c>
      <c r="D5721" s="2" t="str">
        <f t="shared" si="88"/>
        <v>Error?</v>
      </c>
    </row>
    <row r="5722" spans="1:4" x14ac:dyDescent="0.2">
      <c r="A5722" s="5">
        <v>5661</v>
      </c>
      <c r="B5722" s="138">
        <f>'Revenues 9-14'!G7</f>
        <v>0</v>
      </c>
      <c r="D5722" s="2" t="str">
        <f t="shared" si="88"/>
        <v>Error?</v>
      </c>
    </row>
    <row r="5723" spans="1:4" x14ac:dyDescent="0.2">
      <c r="A5723" s="5">
        <v>5662</v>
      </c>
      <c r="B5723" s="138">
        <f>'Revenues 9-14'!G8</f>
        <v>124653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284205</v>
      </c>
      <c r="C5725" s="2" t="s">
        <v>573</v>
      </c>
      <c r="D5725" s="2" t="str">
        <f t="shared" si="88"/>
        <v>Error?</v>
      </c>
    </row>
    <row r="5726" spans="1:4" x14ac:dyDescent="0.2">
      <c r="A5726" s="5">
        <v>5665</v>
      </c>
      <c r="B5726" s="138">
        <f>'Revenues 9-14'!G14</f>
        <v>161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37175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37336</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1933</v>
      </c>
    </row>
    <row r="5768" spans="1:5" x14ac:dyDescent="0.2">
      <c r="A5768" s="10">
        <v>5707</v>
      </c>
      <c r="D5768" s="2" t="str">
        <f t="shared" si="89"/>
        <v>OK</v>
      </c>
      <c r="E5768" s="4" t="s">
        <v>1933</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1933</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1933</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321541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11846</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161456</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5000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5000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166456</v>
      </c>
      <c r="C5915" s="2" t="s">
        <v>573</v>
      </c>
      <c r="D5915" s="2" t="str">
        <f t="shared" si="91"/>
        <v>Error?</v>
      </c>
    </row>
    <row r="5916" spans="1:4" x14ac:dyDescent="0.2">
      <c r="A5916" s="5">
        <v>5855</v>
      </c>
      <c r="B5916" s="138">
        <f>'Revenues 9-14'!I5</f>
        <v>11687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11687</v>
      </c>
      <c r="C5918" s="2" t="s">
        <v>573</v>
      </c>
      <c r="D5918" s="2" t="str">
        <f t="shared" si="91"/>
        <v>Error?</v>
      </c>
    </row>
    <row r="5919" spans="1:4" x14ac:dyDescent="0.2">
      <c r="A5919" s="5">
        <v>5858</v>
      </c>
      <c r="B5919" s="138">
        <f>'Revenues 9-14'!I14</f>
        <v>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6</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11693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19947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19947</v>
      </c>
      <c r="C5987" s="2" t="s">
        <v>573</v>
      </c>
      <c r="D5987" s="2" t="str">
        <f t="shared" si="92"/>
        <v>Error?</v>
      </c>
    </row>
    <row r="5988" spans="1:4" x14ac:dyDescent="0.2">
      <c r="A5988" s="5">
        <v>5927</v>
      </c>
      <c r="B5988" s="138">
        <f>'Revenues 9-14'!K14</f>
        <v>12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12</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19959</v>
      </c>
      <c r="C6023" s="2" t="s">
        <v>573</v>
      </c>
      <c r="D6023" s="2" t="str">
        <f t="shared" si="93"/>
        <v>Error?</v>
      </c>
    </row>
    <row r="6024" spans="1:5" x14ac:dyDescent="0.2">
      <c r="A6024" s="5">
        <v>5963</v>
      </c>
      <c r="B6024" s="138">
        <f>'Revenues 9-14'!G109</f>
        <v>321541</v>
      </c>
      <c r="C6024" s="2" t="s">
        <v>573</v>
      </c>
      <c r="D6024" s="2" t="str">
        <f t="shared" si="93"/>
        <v>Error?</v>
      </c>
    </row>
    <row r="6025" spans="1:5" x14ac:dyDescent="0.2">
      <c r="A6025" s="5">
        <v>5964</v>
      </c>
      <c r="B6025" s="138">
        <f>'Revenues 9-14'!H109</f>
        <v>161456</v>
      </c>
      <c r="C6025" s="2" t="s">
        <v>573</v>
      </c>
      <c r="D6025" s="2" t="str">
        <f t="shared" si="93"/>
        <v>Error?</v>
      </c>
    </row>
    <row r="6026" spans="1:5" x14ac:dyDescent="0.2">
      <c r="A6026" s="5">
        <v>5965</v>
      </c>
      <c r="B6026" s="138">
        <f>'Revenues 9-14'!I109</f>
        <v>11693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19959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43856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17421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664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143600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42741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143600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42741</v>
      </c>
      <c r="D6215" s="2" t="str">
        <f t="shared" si="96"/>
        <v>Error?</v>
      </c>
      <c r="E6215" s="2" t="s">
        <v>190</v>
      </c>
    </row>
    <row r="6216" spans="1:5" x14ac:dyDescent="0.2">
      <c r="A6216">
        <v>6155</v>
      </c>
      <c r="B6216" s="138">
        <f>'Assets-Liab 5-6'!J41</f>
        <v>42741</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42741</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98065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98065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98065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72882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72882</v>
      </c>
      <c r="D6229" s="2" t="str">
        <f t="shared" si="96"/>
        <v>Error?</v>
      </c>
      <c r="E6229" s="2" t="s">
        <v>190</v>
      </c>
    </row>
    <row r="6230" spans="1:5" x14ac:dyDescent="0.2">
      <c r="A6230">
        <v>6169</v>
      </c>
      <c r="B6230" s="138">
        <f>'Acct Summary 7-8'!J20</f>
        <v>25183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25183</v>
      </c>
      <c r="D6263" s="2" t="str">
        <f t="shared" si="96"/>
        <v>Error?</v>
      </c>
      <c r="E6263" s="2" t="s">
        <v>190</v>
      </c>
    </row>
    <row r="6264" spans="1:5" x14ac:dyDescent="0.2">
      <c r="A6264">
        <v>6203</v>
      </c>
      <c r="B6264" s="138">
        <f>'Acct Summary 7-8'!J79</f>
        <v>17558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42741</v>
      </c>
      <c r="D6266" s="2" t="str">
        <f t="shared" si="96"/>
        <v>Error?</v>
      </c>
      <c r="E6266" s="2" t="s">
        <v>190</v>
      </c>
    </row>
    <row r="6267" spans="1:5" x14ac:dyDescent="0.2">
      <c r="A6267">
        <v>6206</v>
      </c>
      <c r="B6267" s="138">
        <f>'Acct Summary 7-8'!C82</f>
        <v>308853</v>
      </c>
      <c r="D6267" s="2" t="str">
        <f t="shared" si="96"/>
        <v>Error?</v>
      </c>
      <c r="E6267" s="2" t="s">
        <v>190</v>
      </c>
    </row>
    <row r="6268" spans="1:5" x14ac:dyDescent="0.2">
      <c r="A6268">
        <v>6207</v>
      </c>
      <c r="B6268" s="138">
        <f>'Acct Summary 7-8'!D82</f>
        <v>6350</v>
      </c>
      <c r="D6268" s="2" t="str">
        <f t="shared" si="96"/>
        <v>Error?</v>
      </c>
      <c r="E6268" s="2" t="s">
        <v>190</v>
      </c>
    </row>
    <row r="6269" spans="1:5" x14ac:dyDescent="0.2">
      <c r="A6269">
        <v>6208</v>
      </c>
      <c r="B6269" s="138">
        <f>'Acct Summary 7-8'!E82</f>
        <v>5729</v>
      </c>
      <c r="D6269" s="2" t="str">
        <f t="shared" si="96"/>
        <v>Error?</v>
      </c>
      <c r="E6269" s="2" t="s">
        <v>190</v>
      </c>
    </row>
    <row r="6270" spans="1:5" x14ac:dyDescent="0.2">
      <c r="A6270">
        <v>6209</v>
      </c>
      <c r="B6270" s="138">
        <f>'Acct Summary 7-8'!F82</f>
        <v>8060</v>
      </c>
      <c r="D6270" s="2" t="str">
        <f t="shared" si="96"/>
        <v>Error?</v>
      </c>
      <c r="E6270" s="2" t="s">
        <v>190</v>
      </c>
    </row>
    <row r="6271" spans="1:5" x14ac:dyDescent="0.2">
      <c r="A6271">
        <v>6210</v>
      </c>
      <c r="B6271" s="138">
        <f>'Acct Summary 7-8'!G82</f>
        <v>51427</v>
      </c>
      <c r="D6271" s="2" t="str">
        <f t="shared" ref="D6271:D6334" si="97">IF(ISBLANK(B6271),"OK",IF(A6271-B6271=0,"OK","Error?"))</f>
        <v>Error?</v>
      </c>
      <c r="E6271" s="2" t="s">
        <v>190</v>
      </c>
    </row>
    <row r="6272" spans="1:5" x14ac:dyDescent="0.2">
      <c r="A6272">
        <v>6211</v>
      </c>
      <c r="B6272" s="138">
        <f>'Acct Summary 7-8'!H82</f>
        <v>-77544</v>
      </c>
      <c r="D6272" s="2" t="str">
        <f t="shared" si="97"/>
        <v>Error?</v>
      </c>
      <c r="E6272" s="2" t="s">
        <v>190</v>
      </c>
    </row>
    <row r="6273" spans="1:5" x14ac:dyDescent="0.2">
      <c r="A6273">
        <v>6212</v>
      </c>
      <c r="B6273" s="138">
        <f>'Acct Summary 7-8'!I82</f>
        <v>11693</v>
      </c>
      <c r="D6273" s="2" t="str">
        <f t="shared" si="97"/>
        <v>Error?</v>
      </c>
      <c r="E6273" s="2" t="s">
        <v>190</v>
      </c>
    </row>
    <row r="6274" spans="1:5" x14ac:dyDescent="0.2">
      <c r="A6274">
        <v>6213</v>
      </c>
      <c r="B6274" s="138">
        <f>'Acct Summary 7-8'!J82</f>
        <v>25183</v>
      </c>
      <c r="D6274" s="2" t="str">
        <f t="shared" si="97"/>
        <v>Error?</v>
      </c>
      <c r="E6274" s="2" t="s">
        <v>190</v>
      </c>
    </row>
    <row r="6275" spans="1:5" x14ac:dyDescent="0.2">
      <c r="A6275">
        <v>6214</v>
      </c>
      <c r="B6275" s="138">
        <f>'Acct Summary 7-8'!K82</f>
        <v>-7303</v>
      </c>
      <c r="D6275" s="2" t="str">
        <f t="shared" si="97"/>
        <v>Error?</v>
      </c>
      <c r="E6275" s="2" t="s">
        <v>190</v>
      </c>
    </row>
    <row r="6276" spans="1:5" x14ac:dyDescent="0.2">
      <c r="A6276">
        <v>6215</v>
      </c>
      <c r="B6276" s="138">
        <f>'Acct Summary 7-8'!C83</f>
        <v>0.2111782173682055</v>
      </c>
      <c r="D6276" s="2" t="str">
        <f t="shared" si="97"/>
        <v>Error?</v>
      </c>
      <c r="E6276" s="2" t="s">
        <v>190</v>
      </c>
    </row>
    <row r="6277" spans="1:5" x14ac:dyDescent="0.2">
      <c r="A6277">
        <v>6216</v>
      </c>
      <c r="B6277" s="138">
        <f>'Acct Summary 7-8'!D83</f>
        <v>2.516436092430481E-2</v>
      </c>
      <c r="D6277" s="2" t="str">
        <f t="shared" si="97"/>
        <v>Error?</v>
      </c>
      <c r="E6277" s="2" t="s">
        <v>190</v>
      </c>
    </row>
    <row r="6278" spans="1:5" x14ac:dyDescent="0.2">
      <c r="A6278">
        <v>6217</v>
      </c>
      <c r="B6278" s="138">
        <f>'Acct Summary 7-8'!E83</f>
        <v>0.20928618397019069</v>
      </c>
      <c r="D6278" s="2" t="str">
        <f t="shared" si="97"/>
        <v>Error?</v>
      </c>
      <c r="E6278" s="2" t="s">
        <v>190</v>
      </c>
    </row>
    <row r="6279" spans="1:5" x14ac:dyDescent="0.2">
      <c r="A6279">
        <v>6218</v>
      </c>
      <c r="B6279" s="138">
        <f>'Acct Summary 7-8'!F83</f>
        <v>-0.20529801324503311</v>
      </c>
      <c r="D6279" s="2" t="str">
        <f t="shared" si="97"/>
        <v>Error?</v>
      </c>
      <c r="E6279" s="2" t="s">
        <v>190</v>
      </c>
    </row>
    <row r="6280" spans="1:5" x14ac:dyDescent="0.2">
      <c r="A6280">
        <v>6219</v>
      </c>
      <c r="B6280" s="138">
        <f>'Acct Summary 7-8'!G83</f>
        <v>0.87137822359280215</v>
      </c>
      <c r="D6280" s="2" t="str">
        <f t="shared" si="97"/>
        <v>Error?</v>
      </c>
      <c r="E6280" s="2" t="s">
        <v>190</v>
      </c>
    </row>
    <row r="6281" spans="1:5" x14ac:dyDescent="0.2">
      <c r="A6281">
        <v>6220</v>
      </c>
      <c r="B6281" s="138">
        <f>'Acct Summary 7-8'!H83</f>
        <v>-0.31323948213528308</v>
      </c>
      <c r="D6281" s="2" t="str">
        <f t="shared" si="97"/>
        <v>Error?</v>
      </c>
      <c r="E6281" s="2" t="s">
        <v>190</v>
      </c>
    </row>
    <row r="6282" spans="1:5" x14ac:dyDescent="0.2">
      <c r="A6282">
        <v>6221</v>
      </c>
      <c r="B6282" s="138">
        <f>'Acct Summary 7-8'!I83</f>
        <v>1.4217087497157921E-2</v>
      </c>
      <c r="D6282" s="2" t="str">
        <f t="shared" si="97"/>
        <v>Error?</v>
      </c>
      <c r="E6282" s="2" t="s">
        <v>190</v>
      </c>
    </row>
    <row r="6283" spans="1:5" x14ac:dyDescent="0.2">
      <c r="A6283">
        <v>6222</v>
      </c>
      <c r="B6283" s="138">
        <f>'Acct Summary 7-8'!J83</f>
        <v>0.58920006551086779</v>
      </c>
      <c r="D6283" s="2" t="str">
        <f t="shared" si="97"/>
        <v>Error?</v>
      </c>
      <c r="E6283" s="2" t="s">
        <v>190</v>
      </c>
    </row>
    <row r="6284" spans="1:5" x14ac:dyDescent="0.2">
      <c r="A6284">
        <v>6223</v>
      </c>
      <c r="B6284" s="138">
        <f>'Acct Summary 7-8'!K83</f>
        <v>-0.11711971774516879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98008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98008</v>
      </c>
      <c r="D6301" s="2" t="str">
        <f t="shared" si="97"/>
        <v>Error?</v>
      </c>
      <c r="E6301" s="2" t="s">
        <v>190</v>
      </c>
    </row>
    <row r="6302" spans="1:5" x14ac:dyDescent="0.2">
      <c r="A6302">
        <v>6241</v>
      </c>
      <c r="B6302" s="138">
        <f>'Revenues 9-14'!J14</f>
        <v>57</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57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325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98065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17530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1932</v>
      </c>
    </row>
    <row r="6383" spans="1:6" x14ac:dyDescent="0.2">
      <c r="A6383" s="129">
        <v>6322</v>
      </c>
      <c r="D6383" s="2" t="str">
        <f t="shared" si="98"/>
        <v>OK</v>
      </c>
      <c r="E6383" s="2" t="s">
        <v>190</v>
      </c>
      <c r="F6383" s="1" t="s">
        <v>1932</v>
      </c>
    </row>
    <row r="6384" spans="1:6" x14ac:dyDescent="0.2">
      <c r="A6384" s="129">
        <v>6323</v>
      </c>
      <c r="D6384" s="2" t="str">
        <f t="shared" si="98"/>
        <v>OK</v>
      </c>
      <c r="E6384" s="2" t="s">
        <v>190</v>
      </c>
      <c r="F6384" s="1" t="s">
        <v>1932</v>
      </c>
    </row>
    <row r="6385" spans="1:6" x14ac:dyDescent="0.2">
      <c r="A6385" s="129">
        <v>6324</v>
      </c>
      <c r="D6385" s="2" t="str">
        <f t="shared" si="98"/>
        <v>OK</v>
      </c>
      <c r="E6385" s="2" t="s">
        <v>190</v>
      </c>
      <c r="F6385" s="1" t="s">
        <v>1932</v>
      </c>
    </row>
    <row r="6386" spans="1:6" x14ac:dyDescent="0.2">
      <c r="A6386" s="129">
        <v>6325</v>
      </c>
      <c r="D6386" s="2" t="str">
        <f t="shared" si="98"/>
        <v>OK</v>
      </c>
      <c r="E6386" s="2" t="s">
        <v>190</v>
      </c>
      <c r="F6386" s="1" t="s">
        <v>1932</v>
      </c>
    </row>
    <row r="6387" spans="1:6" x14ac:dyDescent="0.2">
      <c r="A6387" s="129">
        <v>6326</v>
      </c>
      <c r="D6387" s="2" t="str">
        <f t="shared" si="98"/>
        <v>OK</v>
      </c>
      <c r="E6387" s="2" t="s">
        <v>190</v>
      </c>
      <c r="F6387" s="1" t="s">
        <v>1932</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1932</v>
      </c>
    </row>
    <row r="6411" spans="1:6" x14ac:dyDescent="0.2">
      <c r="A6411" s="129">
        <v>6350</v>
      </c>
      <c r="D6411" s="2" t="str">
        <f t="shared" si="99"/>
        <v>OK</v>
      </c>
      <c r="E6411" s="2" t="s">
        <v>190</v>
      </c>
      <c r="F6411" s="1" t="s">
        <v>1932</v>
      </c>
    </row>
    <row r="6412" spans="1:6" x14ac:dyDescent="0.2">
      <c r="A6412" s="129">
        <v>6351</v>
      </c>
      <c r="D6412" s="2" t="str">
        <f t="shared" si="99"/>
        <v>OK</v>
      </c>
      <c r="E6412" s="2" t="s">
        <v>190</v>
      </c>
      <c r="F6412" s="1" t="s">
        <v>1932</v>
      </c>
    </row>
    <row r="6413" spans="1:6" x14ac:dyDescent="0.2">
      <c r="A6413" s="129">
        <v>6352</v>
      </c>
      <c r="D6413" s="2" t="str">
        <f t="shared" si="99"/>
        <v>OK</v>
      </c>
      <c r="E6413" s="2" t="s">
        <v>190</v>
      </c>
      <c r="F6413" s="1" t="s">
        <v>1932</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120500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1932</v>
      </c>
    </row>
    <row r="6842" spans="1:5" x14ac:dyDescent="0.2">
      <c r="A6842" s="129">
        <v>6781</v>
      </c>
      <c r="D6842" s="2" t="str">
        <f t="shared" si="105"/>
        <v>OK</v>
      </c>
      <c r="E6842" s="1" t="s">
        <v>1932</v>
      </c>
    </row>
    <row r="6843" spans="1:5" x14ac:dyDescent="0.2">
      <c r="A6843" s="129">
        <v>6782</v>
      </c>
      <c r="D6843" s="2" t="str">
        <f t="shared" si="105"/>
        <v>OK</v>
      </c>
      <c r="E6843" s="1" t="s">
        <v>1932</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191766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6688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72882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98065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7441</v>
      </c>
      <c r="D7073" s="2" t="str">
        <f t="shared" si="109"/>
        <v>Error?</v>
      </c>
    </row>
    <row r="7074" spans="1:4" x14ac:dyDescent="0.2">
      <c r="A7074">
        <v>7013</v>
      </c>
      <c r="B7074" s="138">
        <f>'Expenditures 15-22'!K216</f>
        <v>7441</v>
      </c>
      <c r="D7074" s="2" t="str">
        <f t="shared" si="109"/>
        <v>Error?</v>
      </c>
    </row>
    <row r="7075" spans="1:4" x14ac:dyDescent="0.2">
      <c r="A7075">
        <v>7014</v>
      </c>
      <c r="B7075" s="138">
        <f>'Expenditures 15-22'!D218</f>
        <v>1453</v>
      </c>
      <c r="D7075" s="2" t="str">
        <f t="shared" si="109"/>
        <v>Error?</v>
      </c>
    </row>
    <row r="7076" spans="1:4" x14ac:dyDescent="0.2">
      <c r="A7076">
        <v>7015</v>
      </c>
      <c r="B7076" s="138">
        <f>'Expenditures 15-22'!K218</f>
        <v>1453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7969</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7969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189</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189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72882</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72882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72882</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72882</v>
      </c>
      <c r="D7224" s="2" t="str">
        <f t="shared" si="111"/>
        <v>Error?</v>
      </c>
    </row>
    <row r="7225" spans="1:4" x14ac:dyDescent="0.2">
      <c r="A7225">
        <v>7164</v>
      </c>
      <c r="B7225" s="138">
        <f>'Expenditures 15-22'!K343</f>
        <v>25183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36110</v>
      </c>
      <c r="D7246" s="2" t="str">
        <f t="shared" si="112"/>
        <v>Error?</v>
      </c>
    </row>
    <row r="7247" spans="1:4" x14ac:dyDescent="0.2">
      <c r="A7247">
        <f t="shared" si="113"/>
        <v>7186</v>
      </c>
      <c r="B7247" s="138">
        <f>'Expenditures 15-22'!E7</f>
        <v>6336</v>
      </c>
      <c r="D7247" s="2" t="str">
        <f t="shared" si="112"/>
        <v>Error?</v>
      </c>
    </row>
    <row r="7248" spans="1:4" x14ac:dyDescent="0.2">
      <c r="A7248">
        <f t="shared" si="113"/>
        <v>7187</v>
      </c>
      <c r="B7248" s="138">
        <f>'Expenditures 15-22'!F7</f>
        <v>19372</v>
      </c>
      <c r="D7248" s="2" t="str">
        <f t="shared" si="112"/>
        <v>Error?</v>
      </c>
    </row>
    <row r="7249" spans="1:4" x14ac:dyDescent="0.2">
      <c r="A7249">
        <f t="shared" si="113"/>
        <v>7188</v>
      </c>
      <c r="B7249" s="138">
        <f>'Expenditures 15-22'!G7</f>
        <v>9448</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5575</v>
      </c>
      <c r="D7251" s="2" t="str">
        <f t="shared" si="112"/>
        <v>Error?</v>
      </c>
    </row>
    <row r="7252" spans="1:4" x14ac:dyDescent="0.2">
      <c r="A7252">
        <f t="shared" si="113"/>
        <v>7191</v>
      </c>
      <c r="B7252" s="138">
        <f>'Expenditures 15-22'!D9</f>
        <v>1113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297480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64724</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64724</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320099</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325</v>
      </c>
      <c r="D7712" s="2" t="str">
        <f t="shared" si="126"/>
        <v>Error?</v>
      </c>
      <c r="E7712" s="2" t="s">
        <v>827</v>
      </c>
    </row>
    <row r="7713" spans="1:6" x14ac:dyDescent="0.2">
      <c r="A7713">
        <v>7652</v>
      </c>
      <c r="B7713" s="138">
        <f>'Rest Tax Levies-Tort Im 25'!J8</f>
        <v>329063</v>
      </c>
      <c r="D7713" s="2" t="str">
        <f t="shared" si="126"/>
        <v>Error?</v>
      </c>
      <c r="E7713" s="2" t="s">
        <v>827</v>
      </c>
    </row>
    <row r="7714" spans="1:6" x14ac:dyDescent="0.2">
      <c r="A7714">
        <v>7653</v>
      </c>
      <c r="B7714" s="138">
        <f>'Rest Tax Levies-Tort Im 25'!K9</f>
        <v>10538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329063</v>
      </c>
      <c r="D7718" s="2" t="str">
        <f t="shared" si="126"/>
        <v>Error?</v>
      </c>
      <c r="E7718" s="2" t="s">
        <v>827</v>
      </c>
    </row>
    <row r="7719" spans="1:6" x14ac:dyDescent="0.2">
      <c r="A7719">
        <v>7658</v>
      </c>
      <c r="B7719" s="138">
        <f>'Rest Tax Levies-Tort Im 25'!K12</f>
        <v>10863</v>
      </c>
      <c r="D7719" s="2" t="str">
        <f t="shared" si="126"/>
        <v>Error?</v>
      </c>
      <c r="E7719" s="2" t="s">
        <v>827</v>
      </c>
    </row>
    <row r="7720" spans="1:6" x14ac:dyDescent="0.2">
      <c r="A7720">
        <v>7659</v>
      </c>
      <c r="B7720" s="138">
        <f>'Rest Tax Levies-Tort Im 25'!H14</f>
        <v>20619</v>
      </c>
      <c r="D7720" s="2" t="str">
        <f t="shared" si="126"/>
        <v>Error?</v>
      </c>
      <c r="E7720" s="2" t="s">
        <v>827</v>
      </c>
    </row>
    <row r="7721" spans="1:6" x14ac:dyDescent="0.2">
      <c r="A7721">
        <v>7660</v>
      </c>
      <c r="B7721" s="138">
        <f>'Rest Tax Levies-Tort Im 25'!K14</f>
        <v>10863</v>
      </c>
      <c r="D7721" s="2" t="str">
        <f t="shared" si="126"/>
        <v>Error?</v>
      </c>
      <c r="E7721" s="2" t="s">
        <v>827</v>
      </c>
    </row>
    <row r="7722" spans="1:6" x14ac:dyDescent="0.2">
      <c r="A7722">
        <v>7661</v>
      </c>
      <c r="B7722" s="138">
        <f>'Rest Tax Levies-Tort Im 25'!J15</f>
        <v>222154</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29453</v>
      </c>
      <c r="D7724" s="2" t="str">
        <f t="shared" si="126"/>
        <v>Error?</v>
      </c>
      <c r="E7724" s="2" t="s">
        <v>827</v>
      </c>
      <c r="F7724" s="2"/>
    </row>
    <row r="7725" spans="1:6" x14ac:dyDescent="0.2">
      <c r="A7725">
        <v>7664</v>
      </c>
      <c r="B7725" s="138">
        <f>'Rest Tax Levies-Tort Im 25'!J19</f>
        <v>150000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179453</v>
      </c>
      <c r="D7727" s="2" t="str">
        <f t="shared" si="126"/>
        <v>Error?</v>
      </c>
      <c r="E7727" s="2" t="s">
        <v>827</v>
      </c>
    </row>
    <row r="7728" spans="1:6" x14ac:dyDescent="0.2">
      <c r="A7728">
        <v>7667</v>
      </c>
      <c r="B7728" s="138">
        <f>'Revenues 9-14'!E103</f>
        <v>179453</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401607</v>
      </c>
      <c r="D7730" s="2" t="str">
        <f t="shared" si="126"/>
        <v>Error?</v>
      </c>
      <c r="E7730" s="2" t="s">
        <v>827</v>
      </c>
    </row>
    <row r="7731" spans="1:6" x14ac:dyDescent="0.2">
      <c r="A7731">
        <v>7670</v>
      </c>
      <c r="B7731" s="138">
        <f>'Revenues 9-14'!H103</f>
        <v>149610</v>
      </c>
      <c r="D7731" s="2" t="str">
        <f t="shared" si="126"/>
        <v>Error?</v>
      </c>
      <c r="E7731" s="2" t="s">
        <v>827</v>
      </c>
    </row>
    <row r="7732" spans="1:6" x14ac:dyDescent="0.2">
      <c r="A7732">
        <v>7671</v>
      </c>
      <c r="B7732" s="138">
        <f>'Rest Tax Levies-Tort Im 25'!J24</f>
        <v>247555</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247555</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1848</v>
      </c>
    </row>
    <row r="7775" spans="1:5" x14ac:dyDescent="0.2">
      <c r="A7775">
        <v>7714</v>
      </c>
      <c r="B7775" s="138">
        <f>'Expenditures 15-22'!H133</f>
        <v>0</v>
      </c>
      <c r="D7775" s="2" t="str">
        <f t="shared" si="127"/>
        <v>Error?</v>
      </c>
      <c r="E7775" s="4" t="s">
        <v>1848</v>
      </c>
    </row>
    <row r="7776" spans="1:5" x14ac:dyDescent="0.2">
      <c r="A7776">
        <v>7715</v>
      </c>
      <c r="B7776" s="138">
        <f>'Expenditures 15-22'!K133</f>
        <v>0</v>
      </c>
      <c r="D7776" s="2" t="str">
        <f t="shared" si="127"/>
        <v>Error?</v>
      </c>
      <c r="E7776" s="4" t="s">
        <v>1848</v>
      </c>
    </row>
    <row r="7777" spans="1:5" x14ac:dyDescent="0.2">
      <c r="A7777">
        <v>7716</v>
      </c>
      <c r="B7777" s="138">
        <f>'Expenditures 15-22'!H157</f>
        <v>0</v>
      </c>
      <c r="D7777" s="2" t="str">
        <f t="shared" si="127"/>
        <v>Error?</v>
      </c>
      <c r="E7777" s="4" t="s">
        <v>1848</v>
      </c>
    </row>
    <row r="7778" spans="1:5" x14ac:dyDescent="0.2">
      <c r="A7778">
        <v>7717</v>
      </c>
      <c r="B7778" s="138">
        <f>'Expenditures 15-22'!K157</f>
        <v>0</v>
      </c>
      <c r="D7778" s="2" t="str">
        <f t="shared" si="127"/>
        <v>Error?</v>
      </c>
      <c r="E7778" s="4" t="s">
        <v>1848</v>
      </c>
    </row>
    <row r="7779" spans="1:5" x14ac:dyDescent="0.2">
      <c r="A7779">
        <v>7718</v>
      </c>
      <c r="B7779" s="138">
        <f>'Expenditures 15-22'!H158</f>
        <v>0</v>
      </c>
      <c r="D7779" s="2" t="str">
        <f t="shared" si="127"/>
        <v>Error?</v>
      </c>
      <c r="E7779" s="4" t="s">
        <v>1848</v>
      </c>
    </row>
    <row r="7780" spans="1:5" x14ac:dyDescent="0.2">
      <c r="A7780">
        <v>7719</v>
      </c>
      <c r="B7780" s="138">
        <f>'Expenditures 15-22'!K158</f>
        <v>0</v>
      </c>
      <c r="D7780" s="2" t="str">
        <f t="shared" si="127"/>
        <v>Error?</v>
      </c>
      <c r="E7780" s="4" t="s">
        <v>1848</v>
      </c>
    </row>
    <row r="7781" spans="1:5" x14ac:dyDescent="0.2">
      <c r="A7781">
        <v>7720</v>
      </c>
      <c r="B7781" s="138">
        <f>'Expenditures 15-22'!H159</f>
        <v>0</v>
      </c>
      <c r="D7781" s="2" t="str">
        <f t="shared" si="127"/>
        <v>Error?</v>
      </c>
      <c r="E7781" s="4" t="s">
        <v>1848</v>
      </c>
    </row>
    <row r="7782" spans="1:5" x14ac:dyDescent="0.2">
      <c r="A7782">
        <v>7721</v>
      </c>
      <c r="B7782" s="138">
        <f>'Expenditures 15-22'!K159</f>
        <v>0</v>
      </c>
      <c r="D7782" s="2" t="str">
        <f t="shared" si="127"/>
        <v>Error?</v>
      </c>
      <c r="E7782" s="4" t="s">
        <v>1848</v>
      </c>
    </row>
    <row r="7783" spans="1:5" x14ac:dyDescent="0.2">
      <c r="A7783">
        <v>7722</v>
      </c>
      <c r="B7783" s="138">
        <f>'Expenditures 15-22'!D282</f>
        <v>0</v>
      </c>
      <c r="D7783" s="2" t="str">
        <f t="shared" si="127"/>
        <v>Error?</v>
      </c>
      <c r="E7783" s="4" t="s">
        <v>1848</v>
      </c>
    </row>
    <row r="7784" spans="1:5" x14ac:dyDescent="0.2">
      <c r="A7784">
        <v>7723</v>
      </c>
      <c r="B7784" s="138">
        <f>'Expenditures 15-22'!K282</f>
        <v>0</v>
      </c>
      <c r="D7784" s="2" t="str">
        <f t="shared" si="127"/>
        <v>Error?</v>
      </c>
      <c r="E7784" s="4" t="s">
        <v>1848</v>
      </c>
    </row>
    <row r="7785" spans="1:5" x14ac:dyDescent="0.2">
      <c r="A7785">
        <v>7724</v>
      </c>
      <c r="B7785" s="138">
        <f>'Expenditures 15-22'!H332</f>
        <v>0</v>
      </c>
      <c r="D7785" s="2" t="str">
        <f t="shared" si="127"/>
        <v>Error?</v>
      </c>
      <c r="E7785" s="4" t="s">
        <v>1848</v>
      </c>
    </row>
    <row r="7786" spans="1:5" x14ac:dyDescent="0.2">
      <c r="A7786">
        <v>7725</v>
      </c>
      <c r="B7786" s="138">
        <f>'Expenditures 15-22'!K332</f>
        <v>0</v>
      </c>
      <c r="D7786" s="2" t="str">
        <f t="shared" si="127"/>
        <v>Error?</v>
      </c>
      <c r="E7786" s="4" t="s">
        <v>1848</v>
      </c>
    </row>
    <row r="7787" spans="1:5" x14ac:dyDescent="0.2">
      <c r="A7787">
        <v>7726</v>
      </c>
      <c r="B7787" s="138">
        <f>'Expenditures 15-22'!H333</f>
        <v>0</v>
      </c>
      <c r="D7787" s="2" t="str">
        <f t="shared" si="127"/>
        <v>Error?</v>
      </c>
      <c r="E7787" s="4" t="s">
        <v>1848</v>
      </c>
    </row>
    <row r="7788" spans="1:5" x14ac:dyDescent="0.2">
      <c r="A7788">
        <v>7727</v>
      </c>
      <c r="B7788" s="138">
        <f>'Expenditures 15-22'!K333</f>
        <v>0</v>
      </c>
      <c r="D7788" s="2" t="str">
        <f t="shared" si="127"/>
        <v>Error?</v>
      </c>
      <c r="E7788" s="4" t="s">
        <v>1848</v>
      </c>
    </row>
    <row r="7789" spans="1:5" x14ac:dyDescent="0.2">
      <c r="A7789">
        <v>7728</v>
      </c>
      <c r="B7789" s="138">
        <f>'Expenditures 15-22'!H334</f>
        <v>0</v>
      </c>
      <c r="D7789" s="2" t="str">
        <f t="shared" si="127"/>
        <v>Error?</v>
      </c>
      <c r="E7789" s="4" t="s">
        <v>1848</v>
      </c>
    </row>
    <row r="7790" spans="1:5" x14ac:dyDescent="0.2">
      <c r="A7790">
        <v>7729</v>
      </c>
      <c r="B7790" s="138">
        <f>'Expenditures 15-22'!K334</f>
        <v>0</v>
      </c>
      <c r="D7790" s="2" t="str">
        <f t="shared" si="127"/>
        <v>Error?</v>
      </c>
      <c r="E7790" s="4" t="s">
        <v>1848</v>
      </c>
    </row>
    <row r="7791" spans="1:5" x14ac:dyDescent="0.2">
      <c r="A7791">
        <v>7730</v>
      </c>
      <c r="B7791" s="138">
        <f>'Expenditures 15-22'!H354</f>
        <v>0</v>
      </c>
      <c r="D7791" s="2" t="str">
        <f t="shared" si="127"/>
        <v>Error?</v>
      </c>
      <c r="E7791" s="4" t="s">
        <v>1848</v>
      </c>
    </row>
    <row r="7792" spans="1:5" x14ac:dyDescent="0.2">
      <c r="A7792">
        <v>7731</v>
      </c>
      <c r="B7792" s="138">
        <f>'Expenditures 15-22'!K354</f>
        <v>0</v>
      </c>
      <c r="D7792" s="2" t="str">
        <f t="shared" si="127"/>
        <v>Error?</v>
      </c>
      <c r="E7792" s="4" t="s">
        <v>1848</v>
      </c>
    </row>
    <row r="7793" spans="1:5" x14ac:dyDescent="0.2">
      <c r="A7793">
        <v>7732</v>
      </c>
      <c r="B7793" s="138">
        <f>'Expenditures 15-22'!H355</f>
        <v>0</v>
      </c>
      <c r="D7793" s="2" t="str">
        <f t="shared" si="127"/>
        <v>Error?</v>
      </c>
      <c r="E7793" s="4" t="s">
        <v>1848</v>
      </c>
    </row>
    <row r="7794" spans="1:5" x14ac:dyDescent="0.2">
      <c r="A7794">
        <v>7733</v>
      </c>
      <c r="B7794" s="138">
        <f>'Expenditures 15-22'!K355</f>
        <v>0</v>
      </c>
      <c r="D7794" s="2" t="str">
        <f t="shared" si="127"/>
        <v>Error?</v>
      </c>
      <c r="E7794" s="4" t="s">
        <v>1848</v>
      </c>
    </row>
    <row r="7795" spans="1:5" x14ac:dyDescent="0.2">
      <c r="A7795">
        <v>7734</v>
      </c>
      <c r="B7795" s="138">
        <f>'Expenditures 15-22'!E138</f>
        <v>0</v>
      </c>
      <c r="D7795" s="2" t="str">
        <f t="shared" si="127"/>
        <v>Error?</v>
      </c>
      <c r="E7795" s="4" t="s">
        <v>1848</v>
      </c>
    </row>
    <row r="7796" spans="1:5" x14ac:dyDescent="0.2">
      <c r="A7796">
        <v>7735</v>
      </c>
      <c r="B7796" s="138">
        <f>'Acct Summary 7-8'!J15</f>
        <v>0</v>
      </c>
      <c r="D7796" s="2" t="str">
        <f t="shared" si="127"/>
        <v>Error?</v>
      </c>
      <c r="E7796" s="4" t="s">
        <v>1848</v>
      </c>
    </row>
    <row r="7797" spans="1:5" x14ac:dyDescent="0.2">
      <c r="A7797">
        <v>7736</v>
      </c>
      <c r="B7797" s="138">
        <f>'Contracts Paid in CY 29'!D141</f>
        <v>1</v>
      </c>
      <c r="D7797" s="2" t="str">
        <f t="shared" si="127"/>
        <v>Error?</v>
      </c>
      <c r="E7797" s="4" t="s">
        <v>1897</v>
      </c>
    </row>
    <row r="7798" spans="1:5" x14ac:dyDescent="0.2">
      <c r="A7798">
        <v>7737</v>
      </c>
      <c r="B7798" s="138">
        <f>'Contracts Paid in CY 29'!F141</f>
        <v>0</v>
      </c>
      <c r="D7798" s="2" t="str">
        <f t="shared" si="127"/>
        <v>Error?</v>
      </c>
      <c r="E7798" s="4" t="s">
        <v>1897</v>
      </c>
    </row>
    <row r="7799" spans="1:5" x14ac:dyDescent="0.2">
      <c r="A7799">
        <v>7738</v>
      </c>
      <c r="B7799" s="138">
        <f>'Contracts Paid in CY 29'!G141</f>
        <v>0</v>
      </c>
      <c r="D7799" s="2" t="str">
        <f t="shared" si="127"/>
        <v>Error?</v>
      </c>
      <c r="E7799" s="4" t="s">
        <v>1897</v>
      </c>
    </row>
    <row r="7800" spans="1:5" x14ac:dyDescent="0.2">
      <c r="A7800">
        <v>7739</v>
      </c>
      <c r="D7800" s="2" t="str">
        <f t="shared" si="127"/>
        <v>OK</v>
      </c>
    </row>
    <row r="7801" spans="1:5" x14ac:dyDescent="0.2">
      <c r="A7801">
        <v>7740</v>
      </c>
      <c r="B7801" s="138">
        <f>'Revenues 9-14'!C120</f>
        <v>0</v>
      </c>
      <c r="D7801" s="2" t="str">
        <f t="shared" si="127"/>
        <v>Error?</v>
      </c>
      <c r="E7801" s="4" t="s">
        <v>1934</v>
      </c>
    </row>
    <row r="7802" spans="1:5" x14ac:dyDescent="0.2">
      <c r="A7802">
        <v>7741</v>
      </c>
      <c r="B7802" s="138">
        <f>'Revenues 9-14'!D120</f>
        <v>0</v>
      </c>
      <c r="D7802" s="2" t="str">
        <f t="shared" si="127"/>
        <v>Error?</v>
      </c>
      <c r="E7802" s="4" t="s">
        <v>1934</v>
      </c>
    </row>
    <row r="7803" spans="1:5" x14ac:dyDescent="0.2">
      <c r="A7803">
        <v>7742</v>
      </c>
      <c r="B7803" s="138">
        <f>'Revenues 9-14'!E120</f>
        <v>0</v>
      </c>
      <c r="D7803" s="2" t="str">
        <f t="shared" si="127"/>
        <v>Error?</v>
      </c>
      <c r="E7803" s="4" t="s">
        <v>1934</v>
      </c>
    </row>
    <row r="7804" spans="1:5" x14ac:dyDescent="0.2">
      <c r="A7804">
        <v>7743</v>
      </c>
      <c r="B7804" s="138">
        <f>'Revenues 9-14'!F120</f>
        <v>0</v>
      </c>
      <c r="D7804" s="2" t="str">
        <f t="shared" si="127"/>
        <v>Error?</v>
      </c>
      <c r="E7804" s="4" t="s">
        <v>1934</v>
      </c>
    </row>
    <row r="7805" spans="1:5" x14ac:dyDescent="0.2">
      <c r="A7805">
        <v>7744</v>
      </c>
      <c r="B7805" s="138">
        <f>'Revenues 9-14'!G120</f>
        <v>0</v>
      </c>
      <c r="D7805" s="2" t="str">
        <f t="shared" si="127"/>
        <v>Error?</v>
      </c>
      <c r="E7805" s="4" t="s">
        <v>1934</v>
      </c>
    </row>
    <row r="7806" spans="1:5" x14ac:dyDescent="0.2">
      <c r="A7806">
        <v>7745</v>
      </c>
      <c r="B7806" s="138">
        <f>'Revenues 9-14'!H120</f>
        <v>0</v>
      </c>
      <c r="D7806" s="2" t="str">
        <f t="shared" si="127"/>
        <v>Error?</v>
      </c>
      <c r="E7806" s="4" t="s">
        <v>1934</v>
      </c>
    </row>
    <row r="7807" spans="1:5" x14ac:dyDescent="0.2">
      <c r="A7807">
        <v>7746</v>
      </c>
      <c r="B7807" s="138">
        <f>'Revenues 9-14'!J120</f>
        <v>0</v>
      </c>
      <c r="D7807" s="2" t="str">
        <f t="shared" ref="D7807:D7816" si="128">IF(ISBLANK(B7807),"OK",IF(A7807-B7807=0,"OK","Error?"))</f>
        <v>Error?</v>
      </c>
      <c r="E7807" s="4" t="s">
        <v>1934</v>
      </c>
    </row>
    <row r="7808" spans="1:5" x14ac:dyDescent="0.2">
      <c r="A7808">
        <v>7747</v>
      </c>
      <c r="B7808" s="138">
        <f>'Revenues 9-14'!K120</f>
        <v>0</v>
      </c>
      <c r="D7808" s="2" t="str">
        <f t="shared" si="128"/>
        <v>Error?</v>
      </c>
      <c r="E7808" s="4" t="s">
        <v>1934</v>
      </c>
    </row>
    <row r="7809" spans="1:5" x14ac:dyDescent="0.2">
      <c r="A7809">
        <v>7748</v>
      </c>
      <c r="B7809" s="138">
        <f>'Revenues 9-14'!C261</f>
        <v>0</v>
      </c>
      <c r="D7809" s="2" t="str">
        <f t="shared" si="128"/>
        <v>Error?</v>
      </c>
      <c r="E7809" s="4" t="s">
        <v>1935</v>
      </c>
    </row>
    <row r="7810" spans="1:5" x14ac:dyDescent="0.2">
      <c r="A7810">
        <v>7749</v>
      </c>
      <c r="B7810" s="138">
        <f>'Revenues 9-14'!D261</f>
        <v>0</v>
      </c>
      <c r="D7810" s="2" t="str">
        <f t="shared" si="128"/>
        <v>Error?</v>
      </c>
      <c r="E7810" s="4" t="s">
        <v>1935</v>
      </c>
    </row>
    <row r="7811" spans="1:5" x14ac:dyDescent="0.2">
      <c r="A7811">
        <v>7750</v>
      </c>
      <c r="B7811" s="138">
        <f>'Revenues 9-14'!F261</f>
        <v>0</v>
      </c>
      <c r="D7811" s="2" t="str">
        <f t="shared" si="128"/>
        <v>Error?</v>
      </c>
      <c r="E7811" s="4" t="s">
        <v>1935</v>
      </c>
    </row>
    <row r="7812" spans="1:5" x14ac:dyDescent="0.2">
      <c r="A7812">
        <v>7751</v>
      </c>
      <c r="B7812" s="138">
        <f>'Revenues 9-14'!G261</f>
        <v>0</v>
      </c>
      <c r="D7812" s="2" t="str">
        <f t="shared" si="128"/>
        <v>Error?</v>
      </c>
      <c r="E7812" s="4" t="s">
        <v>1935</v>
      </c>
    </row>
    <row r="7813" spans="1:5" x14ac:dyDescent="0.2">
      <c r="A7813">
        <v>7752</v>
      </c>
      <c r="B7813" s="138">
        <f>'Revenues 9-14'!C262</f>
        <v>0</v>
      </c>
      <c r="D7813" s="2" t="str">
        <f t="shared" si="128"/>
        <v>Error?</v>
      </c>
      <c r="E7813" s="4" t="s">
        <v>1936</v>
      </c>
    </row>
    <row r="7814" spans="1:5" x14ac:dyDescent="0.2">
      <c r="A7814">
        <v>7753</v>
      </c>
      <c r="B7814" s="138">
        <f>'Revenues 9-14'!D262</f>
        <v>0</v>
      </c>
      <c r="D7814" s="2" t="str">
        <f t="shared" si="128"/>
        <v>Error?</v>
      </c>
      <c r="E7814" s="4" t="s">
        <v>1936</v>
      </c>
    </row>
    <row r="7815" spans="1:5" x14ac:dyDescent="0.2">
      <c r="A7815">
        <v>7754</v>
      </c>
      <c r="B7815" s="138">
        <f>'Revenues 9-14'!F262</f>
        <v>0</v>
      </c>
      <c r="D7815" s="2" t="str">
        <f t="shared" si="128"/>
        <v>Error?</v>
      </c>
      <c r="E7815" s="4" t="s">
        <v>1936</v>
      </c>
    </row>
    <row r="7816" spans="1:5" x14ac:dyDescent="0.2">
      <c r="A7816">
        <v>7755</v>
      </c>
      <c r="B7816" s="138">
        <f>'Revenues 9-14'!G262</f>
        <v>0</v>
      </c>
      <c r="D7816" s="2" t="str">
        <f t="shared" si="128"/>
        <v>Error?</v>
      </c>
      <c r="E7816" s="4" t="s">
        <v>1936</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2" t="s">
        <v>1191</v>
      </c>
      <c r="B2" s="2382"/>
      <c r="C2" s="2382"/>
      <c r="D2" s="2382"/>
      <c r="E2" s="2382"/>
      <c r="F2" s="2382"/>
      <c r="G2" s="2382"/>
      <c r="H2" s="2382"/>
      <c r="I2" s="2382"/>
      <c r="J2" s="2382"/>
      <c r="K2" s="2382"/>
      <c r="L2" s="2382"/>
    </row>
    <row r="3" spans="1:29" ht="13.5" customHeight="1" x14ac:dyDescent="0.2">
      <c r="A3" s="2413" t="s">
        <v>1190</v>
      </c>
      <c r="B3" s="2413"/>
      <c r="C3" s="2413"/>
      <c r="D3" s="2413"/>
      <c r="E3" s="2413"/>
      <c r="F3" s="2413"/>
      <c r="G3" s="2413"/>
      <c r="H3" s="2413"/>
      <c r="I3" s="2413"/>
      <c r="J3" s="2413"/>
      <c r="K3" s="2413"/>
      <c r="L3" s="2413"/>
    </row>
    <row r="4" spans="1:29" ht="13.5" customHeight="1" x14ac:dyDescent="0.2">
      <c r="A4" s="2382" t="s">
        <v>1982</v>
      </c>
      <c r="B4" s="2403"/>
      <c r="C4" s="2403"/>
      <c r="D4" s="2403"/>
      <c r="E4" s="2403"/>
      <c r="F4" s="2403"/>
      <c r="G4" s="2403"/>
      <c r="H4" s="2403"/>
      <c r="I4" s="2403"/>
      <c r="J4" s="2403"/>
      <c r="K4" s="2403"/>
      <c r="L4" s="240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4" t="str">
        <f>COVER!A17</f>
        <v>Norris City-Omaha-Enfield CUSD 3</v>
      </c>
      <c r="B7" s="2405"/>
      <c r="C7" s="2405"/>
      <c r="D7" s="2406"/>
      <c r="E7" s="2407">
        <f>COVER!A13</f>
        <v>20097003026</v>
      </c>
      <c r="F7" s="2408"/>
      <c r="G7" s="2414" t="str">
        <f>COVER!T23</f>
        <v>066-003590</v>
      </c>
      <c r="H7" s="2415"/>
      <c r="I7" s="2415"/>
      <c r="J7" s="2415"/>
      <c r="K7" s="2415"/>
      <c r="L7" s="241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7"/>
      <c r="B9" s="2418"/>
      <c r="C9" s="2418"/>
      <c r="D9" s="2418"/>
      <c r="E9" s="2418"/>
      <c r="F9" s="2419"/>
      <c r="G9" s="2388" t="str">
        <f>COVER!T13</f>
        <v>C. J. Schlosser &amp; Company, L.L.C.</v>
      </c>
      <c r="H9" s="2420"/>
      <c r="I9" s="2420"/>
      <c r="J9" s="2420"/>
      <c r="K9" s="2420"/>
      <c r="L9" s="2421"/>
    </row>
    <row r="10" spans="1:29" ht="13.5" customHeight="1" x14ac:dyDescent="0.2">
      <c r="A10" s="2394" t="str">
        <f>COVER!A38</f>
        <v>Matthew J. Vollman</v>
      </c>
      <c r="B10" s="2395"/>
      <c r="C10" s="2395"/>
      <c r="D10" s="2395"/>
      <c r="E10" s="2395"/>
      <c r="F10" s="2396"/>
      <c r="G10" s="2388" t="str">
        <f>COVER!T17</f>
        <v>233 EastCenter Drive</v>
      </c>
      <c r="H10" s="2389"/>
      <c r="I10" s="2389"/>
      <c r="J10" s="2389"/>
      <c r="K10" s="2389"/>
      <c r="L10" s="2390"/>
    </row>
    <row r="11" spans="1:29" ht="13.5" customHeight="1" x14ac:dyDescent="0.2">
      <c r="A11" s="1184" t="s">
        <v>1519</v>
      </c>
      <c r="B11" s="1185"/>
      <c r="C11" s="1186"/>
      <c r="D11" s="1191"/>
      <c r="E11" s="1186"/>
      <c r="F11" s="1190"/>
      <c r="G11" s="2388" t="str">
        <f>COVER!T19</f>
        <v>Alton</v>
      </c>
      <c r="H11" s="2389"/>
      <c r="I11" s="2389"/>
      <c r="J11" s="2389"/>
      <c r="K11" s="2389"/>
      <c r="L11" s="2390"/>
    </row>
    <row r="12" spans="1:29" ht="13.5" customHeight="1" x14ac:dyDescent="0.2">
      <c r="A12" s="2397" t="s">
        <v>1518</v>
      </c>
      <c r="B12" s="2398"/>
      <c r="C12" s="2398"/>
      <c r="D12" s="2398"/>
      <c r="E12" s="2398"/>
      <c r="F12" s="2399"/>
      <c r="G12" s="2391"/>
      <c r="H12" s="2392"/>
      <c r="I12" s="2392"/>
      <c r="J12" s="2392"/>
      <c r="K12" s="2392"/>
      <c r="L12" s="2393"/>
    </row>
    <row r="13" spans="1:29" ht="13.5" customHeight="1" x14ac:dyDescent="0.2">
      <c r="A13" s="2388"/>
      <c r="B13" s="2389"/>
      <c r="C13" s="2389"/>
      <c r="D13" s="2389"/>
      <c r="E13" s="2389"/>
      <c r="F13" s="2390"/>
      <c r="G13" s="2383" t="s">
        <v>1520</v>
      </c>
      <c r="H13" s="2384"/>
      <c r="I13" s="2400" t="str">
        <f>COVER!T25</f>
        <v>ktepen@cjsco.com</v>
      </c>
      <c r="J13" s="2401"/>
      <c r="K13" s="2401"/>
      <c r="L13" s="2402"/>
    </row>
    <row r="14" spans="1:29" ht="13.5" customHeight="1" x14ac:dyDescent="0.2">
      <c r="A14" s="2388" t="str">
        <f>COVER!A19</f>
        <v>409 East Third Street</v>
      </c>
      <c r="B14" s="2389"/>
      <c r="C14" s="2389"/>
      <c r="D14" s="2389"/>
      <c r="E14" s="2389"/>
      <c r="F14" s="2390"/>
      <c r="G14" s="1195" t="s">
        <v>1185</v>
      </c>
      <c r="H14" s="1193"/>
      <c r="I14" s="1193"/>
      <c r="J14" s="1193"/>
      <c r="K14" s="1193"/>
      <c r="L14" s="1194"/>
    </row>
    <row r="15" spans="1:29" ht="13.5" customHeight="1" x14ac:dyDescent="0.2">
      <c r="A15" s="2388" t="str">
        <f>COVER!A21</f>
        <v>Norris City</v>
      </c>
      <c r="B15" s="2389"/>
      <c r="C15" s="2389"/>
      <c r="D15" s="2389"/>
      <c r="E15" s="2389"/>
      <c r="F15" s="2390"/>
      <c r="G15" s="2385" t="str">
        <f>COVER!T15</f>
        <v>Kevin Tepen</v>
      </c>
      <c r="H15" s="2386"/>
      <c r="I15" s="2386"/>
      <c r="J15" s="2386"/>
      <c r="K15" s="2386"/>
      <c r="L15" s="2387"/>
    </row>
    <row r="16" spans="1:29" ht="12.2" customHeight="1" x14ac:dyDescent="0.2">
      <c r="A16" s="2410">
        <f>COVER!A25</f>
        <v>62869</v>
      </c>
      <c r="B16" s="2411"/>
      <c r="C16" s="2411"/>
      <c r="D16" s="2411"/>
      <c r="E16" s="2411"/>
      <c r="F16" s="2412"/>
      <c r="G16" s="2422"/>
      <c r="H16" s="2423"/>
      <c r="I16" s="2423"/>
      <c r="J16" s="2423"/>
      <c r="K16" s="2423"/>
      <c r="L16" s="2424"/>
    </row>
    <row r="17" spans="1:13" ht="12.2" customHeight="1" x14ac:dyDescent="0.2">
      <c r="A17" s="2425"/>
      <c r="B17" s="2411"/>
      <c r="C17" s="2411"/>
      <c r="D17" s="2411"/>
      <c r="E17" s="2411"/>
      <c r="F17" s="2412"/>
      <c r="G17" s="1195" t="s">
        <v>1184</v>
      </c>
      <c r="H17" s="1193"/>
      <c r="I17" s="1193"/>
      <c r="J17" s="1193"/>
      <c r="K17" s="1197" t="s">
        <v>1183</v>
      </c>
      <c r="L17" s="1190"/>
      <c r="M17" s="1183"/>
    </row>
    <row r="18" spans="1:13" ht="12.2" customHeight="1" x14ac:dyDescent="0.2">
      <c r="A18" s="2394"/>
      <c r="B18" s="2395"/>
      <c r="C18" s="2395"/>
      <c r="D18" s="2395"/>
      <c r="E18" s="2395"/>
      <c r="F18" s="2396"/>
      <c r="G18" s="2404" t="str">
        <f>COVER!T21</f>
        <v>(618) 465-7717</v>
      </c>
      <c r="H18" s="2405"/>
      <c r="I18" s="2405"/>
      <c r="J18" s="2405"/>
      <c r="K18" s="2404" t="str">
        <f>COVER!X21</f>
        <v>(618) 465-7710</v>
      </c>
      <c r="L18" s="240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1830</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Norris City-Omaha-Enfield CUSD 3</v>
      </c>
      <c r="B1" s="2403"/>
      <c r="C1" s="2403"/>
      <c r="D1" s="2403"/>
    </row>
    <row r="2" spans="1:11" s="1212" customFormat="1" ht="12.75" x14ac:dyDescent="0.2">
      <c r="A2" s="2427">
        <f>'Single Audit Cover'!E7</f>
        <v>20097003026</v>
      </c>
      <c r="B2" s="2428"/>
      <c r="C2" s="2428"/>
      <c r="D2" s="2428"/>
    </row>
    <row r="3" spans="1:11" s="1212" customFormat="1" ht="12.75" x14ac:dyDescent="0.2">
      <c r="A3" s="2426" t="s">
        <v>1513</v>
      </c>
      <c r="B3" s="2403"/>
      <c r="C3" s="2403"/>
      <c r="D3" s="240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1831</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Norris City-Omaha-Enfield CUSD 3</v>
      </c>
      <c r="B1" s="2430"/>
      <c r="C1" s="2430"/>
      <c r="D1" s="2430"/>
      <c r="E1" s="2430"/>
    </row>
    <row r="2" spans="1:5" x14ac:dyDescent="0.2">
      <c r="A2" s="2431">
        <f>'Single Audit Cover'!E7</f>
        <v>20097003026</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423008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17421</v>
      </c>
    </row>
    <row r="15" spans="1:5" x14ac:dyDescent="0.2">
      <c r="A15" s="1258"/>
      <c r="B15" s="1259"/>
      <c r="C15" s="1259"/>
    </row>
    <row r="16" spans="1:5" x14ac:dyDescent="0.2">
      <c r="A16" s="1258" t="s">
        <v>1837</v>
      </c>
      <c r="B16" s="1259"/>
      <c r="C16" s="1259"/>
    </row>
    <row r="17" spans="1:4" x14ac:dyDescent="0.2">
      <c r="A17" s="1258" t="s">
        <v>2054</v>
      </c>
      <c r="B17" s="1259" t="s">
        <v>1236</v>
      </c>
      <c r="C17" s="1259"/>
      <c r="D17" s="1261">
        <f>-SUM('Revenues 9-14'!C264:D264,'Revenues 9-14'!F264:G264)</f>
        <v>-44824</v>
      </c>
    </row>
    <row r="19" spans="1:4" ht="13.5" thickBot="1" x14ac:dyDescent="0.25">
      <c r="A19" s="1262" t="s">
        <v>1235</v>
      </c>
      <c r="D19" s="1263">
        <f>SUM(D10:D17)</f>
        <v>395605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395605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395605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3" t="str">
        <f>'Single Audit Cover'!A7</f>
        <v>Norris City-Omaha-Enfield CUSD 3</v>
      </c>
      <c r="C1" s="2434"/>
      <c r="D1" s="2434"/>
      <c r="E1" s="2434"/>
      <c r="F1" s="2434"/>
      <c r="G1" s="2434"/>
      <c r="H1" s="2434"/>
      <c r="I1" s="2434"/>
      <c r="J1" s="2434"/>
      <c r="K1" s="2434"/>
      <c r="L1" s="2434"/>
      <c r="M1" s="2434"/>
    </row>
    <row r="2" spans="2:14" ht="15" x14ac:dyDescent="0.2">
      <c r="B2" s="2435">
        <f>'Single Audit Cover'!E7</f>
        <v>20097003026</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1833</v>
      </c>
      <c r="I8" s="1316" t="s">
        <v>1262</v>
      </c>
      <c r="J8" s="1315" t="s">
        <v>1983</v>
      </c>
      <c r="K8" s="1316" t="s">
        <v>1261</v>
      </c>
      <c r="L8" s="1317" t="s">
        <v>1257</v>
      </c>
      <c r="M8" s="1318" t="s">
        <v>30</v>
      </c>
    </row>
    <row r="9" spans="2:14" ht="14.25" x14ac:dyDescent="0.2">
      <c r="B9" s="1322" t="s">
        <v>1259</v>
      </c>
      <c r="C9" s="1310" t="s">
        <v>1735</v>
      </c>
      <c r="D9" s="1311" t="s">
        <v>1736</v>
      </c>
      <c r="E9" s="1319" t="s">
        <v>1833</v>
      </c>
      <c r="F9" s="1320" t="s">
        <v>1983</v>
      </c>
      <c r="G9" s="1321" t="s">
        <v>1833</v>
      </c>
      <c r="H9" s="1314" t="s">
        <v>1582</v>
      </c>
      <c r="I9" s="1316" t="s">
        <v>1983</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1834</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Norris City-Omaha-Enfield CUSD 3</v>
      </c>
      <c r="B1" s="2447"/>
      <c r="C1" s="2447"/>
      <c r="D1" s="2447"/>
      <c r="E1" s="2447"/>
      <c r="F1" s="2447"/>
    </row>
    <row r="2" spans="1:7" ht="13.5" customHeight="1" x14ac:dyDescent="0.2">
      <c r="A2" s="2435">
        <f>'Single Audit Cover'!E7</f>
        <v>20097003026</v>
      </c>
      <c r="B2" s="2435"/>
      <c r="C2" s="2435"/>
      <c r="D2" s="2435"/>
      <c r="E2" s="2435"/>
      <c r="F2" s="2435"/>
      <c r="G2" s="1272"/>
    </row>
    <row r="3" spans="1:7" ht="15.75" customHeight="1" x14ac:dyDescent="0.2">
      <c r="A3" s="2448" t="s">
        <v>1271</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3" t="s">
        <v>1728</v>
      </c>
      <c r="C6" s="317"/>
      <c r="D6" s="317"/>
    </row>
    <row r="7" spans="1:7" ht="60.95" customHeight="1" x14ac:dyDescent="0.2">
      <c r="A7" s="2446" t="s">
        <v>1729</v>
      </c>
      <c r="B7" s="2446"/>
      <c r="C7" s="2446"/>
      <c r="D7" s="2446"/>
      <c r="E7" s="2446"/>
      <c r="F7" s="244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6" t="s">
        <v>1731</v>
      </c>
      <c r="B13" s="2446"/>
      <c r="C13" s="2446"/>
      <c r="D13" s="2446"/>
      <c r="E13" s="2446"/>
      <c r="F13" s="2446"/>
    </row>
    <row r="14" spans="1:7" ht="9.75" customHeight="1" x14ac:dyDescent="0.2">
      <c r="C14" s="1257"/>
      <c r="D14" s="1257"/>
    </row>
    <row r="15" spans="1:7" ht="13.5" customHeight="1" x14ac:dyDescent="0.2">
      <c r="C15" s="1846" t="s">
        <v>1270</v>
      </c>
      <c r="D15" s="2444" t="s">
        <v>1269</v>
      </c>
      <c r="E15" s="2444"/>
      <c r="F15" s="2444"/>
    </row>
    <row r="16" spans="1:7" ht="13.5" customHeight="1" x14ac:dyDescent="0.2">
      <c r="A16" s="1279"/>
      <c r="B16" s="1273" t="s">
        <v>1268</v>
      </c>
      <c r="C16" s="1846" t="s">
        <v>1267</v>
      </c>
      <c r="D16" s="2445" t="s">
        <v>1588</v>
      </c>
      <c r="E16" s="2445"/>
      <c r="F16" s="2445"/>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0" t="s">
        <v>1732</v>
      </c>
      <c r="B32" s="2440"/>
      <c r="C32" s="2440"/>
      <c r="D32" s="2440"/>
      <c r="E32" s="2440"/>
      <c r="F32" s="2440"/>
    </row>
    <row r="33" spans="1:6" ht="13.5" customHeight="1" x14ac:dyDescent="0.2">
      <c r="A33" s="328" t="s">
        <v>1434</v>
      </c>
      <c r="B33" s="328"/>
      <c r="C33" s="1285">
        <v>0</v>
      </c>
      <c r="D33" s="1903"/>
      <c r="E33" s="1283"/>
    </row>
    <row r="34" spans="1:6" ht="13.5" customHeight="1" x14ac:dyDescent="0.2">
      <c r="A34" s="328" t="s">
        <v>1832</v>
      </c>
      <c r="B34" s="328"/>
      <c r="C34" s="1286">
        <v>0</v>
      </c>
      <c r="D34" s="1903" t="s">
        <v>1589</v>
      </c>
      <c r="E34" s="2441">
        <f>+C33+C34</f>
        <v>0</v>
      </c>
      <c r="F34" s="2442"/>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3" t="s">
        <v>1590</v>
      </c>
      <c r="C49" s="2443"/>
      <c r="D49" s="2443"/>
      <c r="E49" s="1396"/>
    </row>
    <row r="50" spans="1:5" s="1297" customFormat="1" ht="3.75" customHeight="1" x14ac:dyDescent="0.2">
      <c r="A50" s="1296"/>
      <c r="B50" s="1845"/>
      <c r="C50" s="1845"/>
      <c r="D50" s="1845"/>
      <c r="E50" s="1396"/>
    </row>
    <row r="51" spans="1:5" s="1297" customFormat="1" ht="20.25" customHeight="1" x14ac:dyDescent="0.2">
      <c r="A51" s="1298">
        <v>6</v>
      </c>
      <c r="B51" s="2438" t="s">
        <v>1551</v>
      </c>
      <c r="C51" s="2438"/>
      <c r="D51" s="2438"/>
    </row>
    <row r="52" spans="1:5" ht="14.25" customHeight="1" x14ac:dyDescent="0.2">
      <c r="A52" s="1298"/>
      <c r="B52" s="2438"/>
      <c r="C52" s="2438"/>
      <c r="D52" s="243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1852</v>
      </c>
      <c r="C4" s="162" t="s">
        <v>1169</v>
      </c>
      <c r="D4" s="169" t="s">
        <v>10</v>
      </c>
      <c r="E4" s="170" t="s">
        <v>22</v>
      </c>
    </row>
    <row r="5" spans="1:5" x14ac:dyDescent="0.2">
      <c r="A5" s="168" t="s">
        <v>1854</v>
      </c>
      <c r="C5" s="162" t="s">
        <v>1169</v>
      </c>
      <c r="D5" s="169" t="s">
        <v>10</v>
      </c>
      <c r="E5" s="170" t="s">
        <v>22</v>
      </c>
    </row>
    <row r="6" spans="1:5" x14ac:dyDescent="0.2">
      <c r="A6" s="168" t="s">
        <v>1853</v>
      </c>
      <c r="C6" s="162" t="s">
        <v>1169</v>
      </c>
      <c r="D6" s="167" t="s">
        <v>11</v>
      </c>
      <c r="E6" s="170" t="s">
        <v>941</v>
      </c>
    </row>
    <row r="7" spans="1:5" x14ac:dyDescent="0.2">
      <c r="A7" s="168" t="s">
        <v>1855</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1856</v>
      </c>
      <c r="C11" s="162" t="s">
        <v>1169</v>
      </c>
      <c r="D11" s="169" t="s">
        <v>14</v>
      </c>
      <c r="E11" s="170" t="s">
        <v>1156</v>
      </c>
    </row>
    <row r="12" spans="1:5" x14ac:dyDescent="0.2">
      <c r="B12" s="169" t="s">
        <v>1857</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1858</v>
      </c>
      <c r="C15" s="162" t="s">
        <v>1169</v>
      </c>
      <c r="D15" s="169" t="s">
        <v>17</v>
      </c>
      <c r="E15" s="170" t="s">
        <v>636</v>
      </c>
    </row>
    <row r="16" spans="1:5" x14ac:dyDescent="0.2">
      <c r="A16" s="172"/>
      <c r="B16" s="162" t="s">
        <v>1859</v>
      </c>
      <c r="C16" s="162" t="s">
        <v>1169</v>
      </c>
      <c r="D16" s="169" t="s">
        <v>681</v>
      </c>
      <c r="E16" s="170" t="s">
        <v>1040</v>
      </c>
    </row>
    <row r="17" spans="1:5" x14ac:dyDescent="0.2">
      <c r="B17" s="167" t="s">
        <v>988</v>
      </c>
      <c r="C17" s="162" t="s">
        <v>1169</v>
      </c>
    </row>
    <row r="18" spans="1:5" x14ac:dyDescent="0.2">
      <c r="B18" s="167" t="s">
        <v>1865</v>
      </c>
      <c r="D18" s="169" t="s">
        <v>18</v>
      </c>
      <c r="E18" s="170" t="s">
        <v>1041</v>
      </c>
    </row>
    <row r="19" spans="1:5" x14ac:dyDescent="0.2">
      <c r="A19" s="168" t="s">
        <v>1099</v>
      </c>
      <c r="C19" s="162" t="s">
        <v>1169</v>
      </c>
      <c r="D19" s="169"/>
      <c r="E19" s="171"/>
    </row>
    <row r="20" spans="1:5" x14ac:dyDescent="0.2">
      <c r="B20" s="167" t="s">
        <v>1860</v>
      </c>
      <c r="C20" s="162" t="s">
        <v>1169</v>
      </c>
      <c r="D20" s="169" t="s">
        <v>19</v>
      </c>
      <c r="E20" s="170" t="s">
        <v>51</v>
      </c>
    </row>
    <row r="21" spans="1:5" x14ac:dyDescent="0.2">
      <c r="B21" s="167" t="s">
        <v>1861</v>
      </c>
      <c r="C21" s="162" t="s">
        <v>1169</v>
      </c>
      <c r="D21" s="169" t="s">
        <v>20</v>
      </c>
      <c r="E21" s="170" t="s">
        <v>1610</v>
      </c>
    </row>
    <row r="22" spans="1:5" x14ac:dyDescent="0.2">
      <c r="A22" s="168"/>
      <c r="B22" s="162" t="s">
        <v>1849</v>
      </c>
      <c r="C22" s="162" t="s">
        <v>1169</v>
      </c>
      <c r="D22" s="167" t="s">
        <v>1851</v>
      </c>
      <c r="E22" s="1836" t="s">
        <v>1611</v>
      </c>
    </row>
    <row r="23" spans="1:5" x14ac:dyDescent="0.2">
      <c r="A23" s="168"/>
      <c r="B23" s="162" t="s">
        <v>1850</v>
      </c>
      <c r="D23" s="167" t="s">
        <v>637</v>
      </c>
      <c r="E23" s="1836" t="s">
        <v>959</v>
      </c>
    </row>
    <row r="24" spans="1:5" x14ac:dyDescent="0.2">
      <c r="A24" s="168" t="s">
        <v>1609</v>
      </c>
      <c r="C24" s="162" t="s">
        <v>1169</v>
      </c>
      <c r="D24" s="167" t="s">
        <v>1393</v>
      </c>
      <c r="E24" s="170" t="s">
        <v>960</v>
      </c>
    </row>
    <row r="25" spans="1:5" x14ac:dyDescent="0.2">
      <c r="A25" s="168" t="s">
        <v>1862</v>
      </c>
      <c r="C25" s="162" t="s">
        <v>1169</v>
      </c>
      <c r="D25" s="169" t="s">
        <v>21</v>
      </c>
      <c r="E25" s="170" t="s">
        <v>1042</v>
      </c>
    </row>
    <row r="26" spans="1:5" x14ac:dyDescent="0.2">
      <c r="A26" s="168" t="s">
        <v>1863</v>
      </c>
      <c r="C26" s="162" t="s">
        <v>1169</v>
      </c>
      <c r="D26" s="169" t="s">
        <v>563</v>
      </c>
      <c r="E26" s="170" t="s">
        <v>1043</v>
      </c>
    </row>
    <row r="27" spans="1:5" x14ac:dyDescent="0.2">
      <c r="A27" s="168" t="s">
        <v>1864</v>
      </c>
      <c r="C27" s="162" t="s">
        <v>1169</v>
      </c>
      <c r="D27" s="169" t="s">
        <v>557</v>
      </c>
      <c r="E27" s="170" t="s">
        <v>683</v>
      </c>
    </row>
    <row r="28" spans="1:5" x14ac:dyDescent="0.2">
      <c r="A28" s="168" t="s">
        <v>1866</v>
      </c>
      <c r="D28" s="169" t="s">
        <v>684</v>
      </c>
      <c r="E28" s="170" t="s">
        <v>1366</v>
      </c>
    </row>
    <row r="29" spans="1:5" x14ac:dyDescent="0.2">
      <c r="A29" s="168" t="s">
        <v>1867</v>
      </c>
      <c r="D29" s="169" t="s">
        <v>1394</v>
      </c>
      <c r="E29" s="170" t="s">
        <v>1375</v>
      </c>
    </row>
    <row r="30" spans="1:5" x14ac:dyDescent="0.2">
      <c r="A30" s="173" t="s">
        <v>1868</v>
      </c>
      <c r="C30" s="162" t="s">
        <v>1169</v>
      </c>
      <c r="D30" s="169" t="s">
        <v>40</v>
      </c>
      <c r="E30" s="170" t="s">
        <v>982</v>
      </c>
    </row>
    <row r="31" spans="1:5" x14ac:dyDescent="0.2">
      <c r="A31" s="168" t="s">
        <v>1521</v>
      </c>
      <c r="C31" s="162" t="s">
        <v>1169</v>
      </c>
      <c r="D31" s="167"/>
      <c r="E31" s="171"/>
    </row>
    <row r="32" spans="1:5" x14ac:dyDescent="0.2">
      <c r="B32" s="167" t="s">
        <v>1869</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3" t="s">
        <v>1065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691</v>
      </c>
      <c r="B40" s="2070"/>
      <c r="C40" s="2070"/>
      <c r="D40" s="2070"/>
      <c r="E40" s="2070"/>
    </row>
    <row r="41" spans="1:5" x14ac:dyDescent="0.2">
      <c r="A41" s="2071" t="s">
        <v>1608</v>
      </c>
      <c r="B41" s="2071"/>
      <c r="C41" s="2071"/>
      <c r="D41" s="2071"/>
      <c r="E41" s="2071"/>
    </row>
    <row r="42" spans="1:5" ht="12.75" customHeight="1" x14ac:dyDescent="0.2">
      <c r="A42" s="2072" t="s">
        <v>1022</v>
      </c>
      <c r="B42" s="2072"/>
      <c r="C42" s="2072"/>
      <c r="D42" s="2072"/>
      <c r="E42" s="2072"/>
    </row>
    <row r="43" spans="1:5" ht="6.75" customHeight="1" x14ac:dyDescent="0.2">
      <c r="A43" s="167"/>
      <c r="B43" s="176"/>
    </row>
    <row r="44" spans="1:5" x14ac:dyDescent="0.2">
      <c r="A44" s="185" t="s">
        <v>983</v>
      </c>
      <c r="B44" s="186" t="s">
        <v>1895</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1765</v>
      </c>
    </row>
    <row r="52" spans="1:3" x14ac:dyDescent="0.2">
      <c r="A52" s="190"/>
      <c r="B52" s="188" t="s">
        <v>1785</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1766</v>
      </c>
    </row>
    <row r="57" spans="1:3" x14ac:dyDescent="0.2">
      <c r="A57" s="193"/>
      <c r="B57" s="190" t="s">
        <v>1768</v>
      </c>
    </row>
    <row r="58" spans="1:3" x14ac:dyDescent="0.2">
      <c r="A58" s="194"/>
      <c r="B58" s="190" t="s">
        <v>1769</v>
      </c>
    </row>
    <row r="59" spans="1:3" x14ac:dyDescent="0.2">
      <c r="A59" s="195"/>
      <c r="B59" s="1485" t="s">
        <v>1770</v>
      </c>
    </row>
    <row r="60" spans="1:3" x14ac:dyDescent="0.2">
      <c r="A60" s="196"/>
      <c r="B60" s="1485" t="s">
        <v>1771</v>
      </c>
    </row>
    <row r="61" spans="1:3" ht="6" customHeight="1" x14ac:dyDescent="0.2">
      <c r="A61" s="197"/>
      <c r="B61" s="189"/>
    </row>
    <row r="62" spans="1:3" x14ac:dyDescent="0.2">
      <c r="A62" s="169" t="s">
        <v>1616</v>
      </c>
      <c r="B62" s="198" t="s">
        <v>1767</v>
      </c>
    </row>
    <row r="63" spans="1:3" x14ac:dyDescent="0.2">
      <c r="A63" s="188"/>
      <c r="B63" s="169" t="s">
        <v>1782</v>
      </c>
    </row>
    <row r="64" spans="1:3" x14ac:dyDescent="0.2">
      <c r="A64" s="195"/>
      <c r="B64" s="1487" t="s">
        <v>1772</v>
      </c>
    </row>
    <row r="65" spans="1:9" x14ac:dyDescent="0.2">
      <c r="A65" s="188"/>
      <c r="B65" s="169" t="s">
        <v>1783</v>
      </c>
    </row>
    <row r="66" spans="1:9" x14ac:dyDescent="0.2">
      <c r="A66" s="190"/>
      <c r="B66" s="190" t="s">
        <v>1773</v>
      </c>
    </row>
    <row r="67" spans="1:9" ht="12" customHeight="1" x14ac:dyDescent="0.2">
      <c r="A67" s="188"/>
      <c r="B67" s="169" t="s">
        <v>1784</v>
      </c>
    </row>
    <row r="68" spans="1:9" x14ac:dyDescent="0.2">
      <c r="A68" s="189"/>
      <c r="B68" s="190" t="s">
        <v>1774</v>
      </c>
    </row>
    <row r="69" spans="1:9" x14ac:dyDescent="0.2">
      <c r="A69" s="190"/>
      <c r="B69" s="188" t="s">
        <v>1775</v>
      </c>
    </row>
    <row r="70" spans="1:9" ht="13.5" customHeight="1" x14ac:dyDescent="0.2">
      <c r="A70" s="190"/>
      <c r="B70" s="188" t="s">
        <v>1776</v>
      </c>
    </row>
    <row r="71" spans="1:9" ht="12" customHeight="1" x14ac:dyDescent="0.2">
      <c r="A71" s="192"/>
      <c r="B71" s="1486" t="s">
        <v>1619</v>
      </c>
    </row>
    <row r="72" spans="1:9" ht="9" customHeight="1" x14ac:dyDescent="0.2">
      <c r="A72" s="192"/>
      <c r="B72" s="199"/>
    </row>
    <row r="73" spans="1:9" x14ac:dyDescent="0.2">
      <c r="A73" s="189" t="s">
        <v>1620</v>
      </c>
      <c r="B73" s="169" t="s">
        <v>1778</v>
      </c>
    </row>
    <row r="74" spans="1:9" x14ac:dyDescent="0.2">
      <c r="A74" s="189"/>
      <c r="B74" s="169" t="s">
        <v>1777</v>
      </c>
    </row>
    <row r="75" spans="1:9" ht="8.25" customHeight="1" x14ac:dyDescent="0.2">
      <c r="A75" s="189"/>
      <c r="B75" s="189"/>
    </row>
    <row r="76" spans="1:9" ht="12.2" customHeight="1" x14ac:dyDescent="0.2">
      <c r="A76" s="189" t="s">
        <v>1621</v>
      </c>
      <c r="B76" s="198" t="s">
        <v>1779</v>
      </c>
    </row>
    <row r="77" spans="1:9" ht="12.2" customHeight="1" x14ac:dyDescent="0.2">
      <c r="A77" s="190"/>
      <c r="B77" s="169" t="s">
        <v>1622</v>
      </c>
      <c r="C77" s="179"/>
      <c r="D77" s="180"/>
      <c r="E77" s="181"/>
      <c r="F77" s="181"/>
      <c r="G77" s="181"/>
      <c r="H77" s="181"/>
      <c r="I77" s="181"/>
    </row>
    <row r="78" spans="1:9" ht="11.25" customHeight="1" x14ac:dyDescent="0.2">
      <c r="A78" s="190"/>
      <c r="B78" s="190" t="s">
        <v>1781</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1780</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0" zoomScale="110" zoomScaleNormal="110" workbookViewId="0">
      <selection activeCell="B45" sqref="B45"/>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Norris City-Omaha-Enfield CUSD 3</v>
      </c>
      <c r="C1" s="2462"/>
      <c r="D1" s="2462"/>
      <c r="E1" s="2462"/>
      <c r="F1" s="2462"/>
      <c r="G1" s="2462"/>
      <c r="H1" s="2462"/>
      <c r="I1" s="2462"/>
      <c r="J1" s="1406"/>
    </row>
    <row r="2" spans="2:10" s="317" customFormat="1" ht="12.75" customHeight="1" x14ac:dyDescent="0.2">
      <c r="B2" s="2463">
        <f>'Single Audit Cover'!E7</f>
        <v>20097003026</v>
      </c>
      <c r="C2" s="2464"/>
      <c r="D2" s="2464"/>
      <c r="E2" s="2464"/>
      <c r="F2" s="2464"/>
      <c r="G2" s="2464"/>
      <c r="H2" s="2464"/>
      <c r="I2" s="2464"/>
      <c r="J2" s="1406"/>
    </row>
    <row r="3" spans="2:10" s="317" customFormat="1" ht="12.75" customHeight="1" x14ac:dyDescent="0.2">
      <c r="B3" s="2465" t="s">
        <v>1285</v>
      </c>
      <c r="C3" s="2466"/>
      <c r="D3" s="2466"/>
      <c r="E3" s="2466"/>
      <c r="F3" s="2466"/>
      <c r="G3" s="2466"/>
      <c r="H3" s="2466"/>
      <c r="I3" s="2466"/>
      <c r="J3" s="1407"/>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5" t="s">
        <v>1284</v>
      </c>
      <c r="C7" s="2466"/>
      <c r="D7" s="2466"/>
      <c r="E7" s="2466"/>
      <c r="F7" s="2466"/>
      <c r="G7" s="2466"/>
      <c r="H7" s="2466"/>
      <c r="I7" s="246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7" t="s">
        <v>2082</v>
      </c>
      <c r="D11" s="246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2057</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2057</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2057</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8"/>
      <c r="E29" s="2468"/>
      <c r="F29" s="2468"/>
      <c r="G29" s="2468"/>
      <c r="H29" s="2468"/>
      <c r="I29" s="2468"/>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9" t="s">
        <v>1748</v>
      </c>
      <c r="D37" s="2470"/>
      <c r="E37" s="2470"/>
      <c r="F37" s="2471"/>
      <c r="G37" s="2469" t="s">
        <v>1592</v>
      </c>
      <c r="H37" s="2470"/>
      <c r="I37" s="2471"/>
    </row>
    <row r="38" spans="2:9" ht="16.5" customHeight="1" x14ac:dyDescent="0.2">
      <c r="B38" s="1428"/>
      <c r="C38" s="2457"/>
      <c r="D38" s="2458"/>
      <c r="E38" s="2458"/>
      <c r="F38" s="2459"/>
      <c r="G38" s="2472"/>
      <c r="H38" s="2473"/>
      <c r="I38" s="2474"/>
    </row>
    <row r="39" spans="2:9" ht="16.5" customHeight="1" x14ac:dyDescent="0.2">
      <c r="B39" s="1428"/>
      <c r="C39" s="2457"/>
      <c r="D39" s="2458"/>
      <c r="E39" s="2458"/>
      <c r="F39" s="2459"/>
      <c r="G39" s="2460"/>
      <c r="H39" s="2460"/>
      <c r="I39" s="2460"/>
    </row>
    <row r="40" spans="2:9" ht="16.5" customHeight="1" x14ac:dyDescent="0.2">
      <c r="B40" s="1428"/>
      <c r="C40" s="2457"/>
      <c r="D40" s="2458"/>
      <c r="E40" s="2458"/>
      <c r="F40" s="2459"/>
      <c r="G40" s="2460"/>
      <c r="H40" s="2460"/>
      <c r="I40" s="2460"/>
    </row>
    <row r="41" spans="2:9" ht="16.5" customHeight="1" x14ac:dyDescent="0.2">
      <c r="B41" s="1428"/>
      <c r="C41" s="2457"/>
      <c r="D41" s="2458"/>
      <c r="E41" s="2458"/>
      <c r="F41" s="2459"/>
      <c r="G41" s="2460"/>
      <c r="H41" s="2460"/>
      <c r="I41" s="2460"/>
    </row>
    <row r="42" spans="2:9" ht="16.5" customHeight="1" x14ac:dyDescent="0.2">
      <c r="B42" s="1428"/>
      <c r="C42" s="2457"/>
      <c r="D42" s="2458"/>
      <c r="E42" s="2458"/>
      <c r="F42" s="2459"/>
      <c r="G42" s="2460"/>
      <c r="H42" s="2460"/>
      <c r="I42" s="2460"/>
    </row>
    <row r="43" spans="2:9" ht="16.5" customHeight="1" x14ac:dyDescent="0.2">
      <c r="B43" s="1428"/>
      <c r="C43" s="2450" t="s">
        <v>1593</v>
      </c>
      <c r="D43" s="2451"/>
      <c r="E43" s="2451"/>
      <c r="F43" s="2452"/>
      <c r="G43" s="2453">
        <f>SUM(G38:I42)</f>
        <v>0</v>
      </c>
      <c r="H43" s="2453"/>
      <c r="I43" s="2453"/>
    </row>
    <row r="44" spans="2:9" ht="12.75" customHeight="1" x14ac:dyDescent="0.2"/>
    <row r="45" spans="2:9" ht="12.75" customHeight="1" x14ac:dyDescent="0.2">
      <c r="B45" s="1419" t="s">
        <v>2087</v>
      </c>
      <c r="D45" s="2454">
        <v>0</v>
      </c>
      <c r="E45" s="2455"/>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6"/>
      <c r="F49" s="2456"/>
      <c r="G49" s="2456"/>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8" zoomScale="110" zoomScaleNormal="110" workbookViewId="0">
      <selection activeCell="B32" sqref="A1: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Norris City-Omaha-Enfield CUSD 3</v>
      </c>
      <c r="C1" s="2461"/>
      <c r="D1" s="2461"/>
      <c r="E1" s="2461"/>
      <c r="F1" s="2461"/>
      <c r="G1" s="2461"/>
      <c r="H1" s="2461"/>
      <c r="I1" s="2461"/>
      <c r="J1" s="2461"/>
      <c r="K1" s="2461"/>
      <c r="L1" s="1371"/>
      <c r="M1" s="1371"/>
    </row>
    <row r="2" spans="1:13" ht="12" customHeight="1" x14ac:dyDescent="0.2">
      <c r="B2" s="2463">
        <f>'Single Audit Cover'!E7</f>
        <v>20097003026</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2090</v>
      </c>
      <c r="C10" s="1382" t="s">
        <v>1984</v>
      </c>
      <c r="D10" s="1383">
        <v>1</v>
      </c>
      <c r="E10" s="322"/>
      <c r="F10" s="1384" t="s">
        <v>1295</v>
      </c>
      <c r="G10" s="1385"/>
      <c r="H10" s="1386" t="s">
        <v>1294</v>
      </c>
      <c r="I10" s="1385" t="s">
        <v>2057</v>
      </c>
      <c r="J10" s="1387" t="s">
        <v>1293</v>
      </c>
      <c r="K10" s="322"/>
      <c r="L10" s="1378"/>
    </row>
    <row r="11" spans="1:13" ht="13.5" customHeight="1" x14ac:dyDescent="0.2">
      <c r="B11" s="322"/>
      <c r="C11" s="322"/>
      <c r="D11" s="322"/>
      <c r="E11" s="322"/>
      <c r="F11" s="322"/>
      <c r="G11" s="1380"/>
      <c r="H11" s="322"/>
      <c r="I11" s="1388" t="s">
        <v>1292</v>
      </c>
      <c r="J11" s="322"/>
      <c r="K11" s="1389">
        <v>2009</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0" t="s">
        <v>2083</v>
      </c>
      <c r="C14" s="2480"/>
      <c r="D14" s="2480"/>
      <c r="E14" s="2480"/>
      <c r="F14" s="2480"/>
      <c r="G14" s="2480"/>
      <c r="H14" s="2480"/>
      <c r="I14" s="2480"/>
      <c r="J14" s="2480"/>
      <c r="K14" s="248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0" t="s">
        <v>2084</v>
      </c>
      <c r="C17" s="2480"/>
      <c r="D17" s="2480"/>
      <c r="E17" s="2480"/>
      <c r="F17" s="2480"/>
      <c r="G17" s="2480"/>
      <c r="H17" s="2480"/>
      <c r="I17" s="2480"/>
      <c r="J17" s="2480"/>
      <c r="K17" s="2480"/>
      <c r="L17" s="1378"/>
    </row>
    <row r="18" spans="2:12" ht="4.5" customHeight="1" x14ac:dyDescent="0.2">
      <c r="B18" s="1395"/>
      <c r="C18" s="1395"/>
      <c r="L18" s="1378"/>
    </row>
    <row r="19" spans="2:12" s="1279" customFormat="1" ht="13.5" customHeight="1" x14ac:dyDescent="0.2">
      <c r="B19" s="1390" t="s">
        <v>2089</v>
      </c>
      <c r="C19" s="1390"/>
      <c r="D19" s="1391"/>
      <c r="E19" s="1391"/>
      <c r="F19" s="1391"/>
      <c r="G19" s="1392"/>
      <c r="H19" s="1391"/>
      <c r="I19" s="1392"/>
      <c r="J19" s="1391"/>
      <c r="K19" s="1391"/>
      <c r="L19" s="1393"/>
    </row>
    <row r="20" spans="2:12" ht="45.75" customHeight="1" x14ac:dyDescent="0.2">
      <c r="B20" s="2481" t="s">
        <v>2079</v>
      </c>
      <c r="C20" s="2481"/>
      <c r="D20" s="2480"/>
      <c r="E20" s="2480"/>
      <c r="F20" s="2480"/>
      <c r="G20" s="2480"/>
      <c r="H20" s="2480"/>
      <c r="I20" s="2480"/>
      <c r="J20" s="2480"/>
      <c r="K20" s="248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0" t="s">
        <v>2084</v>
      </c>
      <c r="C23" s="2480"/>
      <c r="D23" s="2480"/>
      <c r="E23" s="2480"/>
      <c r="F23" s="2480"/>
      <c r="G23" s="2480"/>
      <c r="H23" s="2480"/>
      <c r="I23" s="2480"/>
      <c r="J23" s="2480"/>
      <c r="K23" s="248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0" t="s">
        <v>2084</v>
      </c>
      <c r="C26" s="2480"/>
      <c r="D26" s="2480"/>
      <c r="E26" s="2480"/>
      <c r="F26" s="2480"/>
      <c r="G26" s="2480"/>
      <c r="H26" s="2480"/>
      <c r="I26" s="2480"/>
      <c r="J26" s="2480"/>
      <c r="K26" s="248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32.25" customHeight="1" x14ac:dyDescent="0.2">
      <c r="B29" s="2482" t="s">
        <v>2085</v>
      </c>
      <c r="C29" s="2482"/>
      <c r="D29" s="2480"/>
      <c r="E29" s="2480"/>
      <c r="F29" s="2480"/>
      <c r="G29" s="2480"/>
      <c r="H29" s="2480"/>
      <c r="I29" s="2480"/>
      <c r="J29" s="2480"/>
      <c r="K29" s="248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2088</v>
      </c>
      <c r="C31" s="1400"/>
      <c r="D31" s="1375"/>
      <c r="E31" s="1376"/>
      <c r="F31" s="1376"/>
      <c r="G31" s="1377"/>
      <c r="H31" s="1376"/>
      <c r="I31" s="1377"/>
      <c r="J31" s="1376"/>
      <c r="K31" s="1376"/>
      <c r="L31" s="1378"/>
    </row>
    <row r="32" spans="2:12" s="322" customFormat="1" ht="87.75" customHeight="1" x14ac:dyDescent="0.2">
      <c r="B32" s="2475" t="s">
        <v>2091</v>
      </c>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1835</v>
      </c>
      <c r="C36" s="1297"/>
      <c r="L36" s="1378"/>
    </row>
    <row r="37" spans="1:13" ht="9.6" customHeight="1" x14ac:dyDescent="0.2">
      <c r="B37" s="1297" t="s">
        <v>1836</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Norris City-Omaha-Enfield CUSD 3</v>
      </c>
      <c r="C1" s="2486"/>
      <c r="D1" s="2486"/>
      <c r="E1" s="2486"/>
      <c r="F1" s="2486"/>
      <c r="G1" s="2486"/>
      <c r="H1" s="2486"/>
      <c r="I1" s="2486"/>
      <c r="J1" s="2486"/>
      <c r="K1" s="2486"/>
      <c r="L1" s="1449"/>
    </row>
    <row r="2" spans="1:12" ht="12.75" customHeight="1" x14ac:dyDescent="0.2">
      <c r="B2" s="2487">
        <f>'Single Audit Cover'!E7</f>
        <v>20097003026</v>
      </c>
      <c r="C2" s="2487"/>
      <c r="D2" s="2487"/>
      <c r="E2" s="2487"/>
      <c r="F2" s="2487"/>
      <c r="G2" s="2487"/>
      <c r="H2" s="2487"/>
      <c r="I2" s="2487"/>
      <c r="J2" s="2487"/>
      <c r="K2" s="2487"/>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1984</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8"/>
      <c r="G12" s="2468"/>
      <c r="H12" s="2468"/>
      <c r="I12" s="2468"/>
      <c r="J12" s="2468"/>
      <c r="K12" s="246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0"/>
      <c r="C20" s="2480"/>
      <c r="D20" s="2480"/>
      <c r="E20" s="2480"/>
      <c r="F20" s="2480"/>
      <c r="G20" s="2480"/>
      <c r="H20" s="2480"/>
      <c r="I20" s="2480"/>
      <c r="J20" s="2480"/>
      <c r="K20" s="248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0"/>
      <c r="C23" s="2480"/>
      <c r="D23" s="2480"/>
      <c r="E23" s="2480"/>
      <c r="F23" s="2480"/>
      <c r="G23" s="2480"/>
      <c r="H23" s="2480"/>
      <c r="I23" s="2480"/>
      <c r="J23" s="2480"/>
      <c r="K23" s="248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0"/>
      <c r="C26" s="2480"/>
      <c r="D26" s="2480"/>
      <c r="E26" s="2480"/>
      <c r="F26" s="2480"/>
      <c r="G26" s="2480"/>
      <c r="H26" s="2480"/>
      <c r="I26" s="2480"/>
      <c r="J26" s="2480"/>
      <c r="K26" s="248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0"/>
      <c r="C29" s="2480"/>
      <c r="D29" s="2480"/>
      <c r="E29" s="2480"/>
      <c r="F29" s="2480"/>
      <c r="G29" s="2480"/>
      <c r="H29" s="2480"/>
      <c r="I29" s="2480"/>
      <c r="J29" s="2480"/>
      <c r="K29" s="248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0"/>
      <c r="C32" s="2480"/>
      <c r="D32" s="2480"/>
      <c r="E32" s="2480"/>
      <c r="F32" s="2480"/>
      <c r="G32" s="2480"/>
      <c r="H32" s="2480"/>
      <c r="I32" s="2480"/>
      <c r="J32" s="2480"/>
      <c r="K32" s="248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0"/>
      <c r="C35" s="2480"/>
      <c r="D35" s="2480"/>
      <c r="E35" s="2480"/>
      <c r="F35" s="2480"/>
      <c r="G35" s="2480"/>
      <c r="H35" s="2480"/>
      <c r="I35" s="2480"/>
      <c r="J35" s="2480"/>
      <c r="K35" s="248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0"/>
      <c r="C38" s="2480"/>
      <c r="D38" s="2480"/>
      <c r="E38" s="2480"/>
      <c r="F38" s="2480"/>
      <c r="G38" s="2480"/>
      <c r="H38" s="2480"/>
      <c r="I38" s="2480"/>
      <c r="J38" s="2480"/>
      <c r="K38" s="248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0"/>
      <c r="C41" s="2480"/>
      <c r="D41" s="2480"/>
      <c r="E41" s="2480"/>
      <c r="F41" s="2480"/>
      <c r="G41" s="2480"/>
      <c r="H41" s="2480"/>
      <c r="I41" s="2480"/>
      <c r="J41" s="2480"/>
      <c r="K41" s="248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F73"/>
  <sheetViews>
    <sheetView showGridLines="0" topLeftCell="A23" zoomScale="110" zoomScaleNormal="110" workbookViewId="0">
      <selection activeCell="E43" sqref="A1:E43"/>
    </sheetView>
  </sheetViews>
  <sheetFormatPr defaultColWidth="9.140625" defaultRowHeight="12.75" x14ac:dyDescent="0.2"/>
  <cols>
    <col min="1" max="1" width="1.5703125" style="317" customWidth="1"/>
    <col min="2" max="2" width="10.85546875" style="317" customWidth="1"/>
    <col min="3" max="3" width="40.7109375" style="317" customWidth="1"/>
    <col min="4" max="4" width="3.28515625" style="317" customWidth="1"/>
    <col min="5" max="5" width="42.28515625" style="317" customWidth="1"/>
    <col min="6" max="6" width="8.140625" style="317" customWidth="1"/>
    <col min="7" max="10" width="9.140625" style="317"/>
    <col min="11" max="11" width="6.7109375" style="317" customWidth="1"/>
    <col min="12" max="16384" width="9.140625" style="317"/>
  </cols>
  <sheetData>
    <row r="1" spans="2:6" s="1279" customFormat="1" ht="12.75" customHeight="1" x14ac:dyDescent="0.2">
      <c r="B1" s="2461" t="str">
        <f>'Single Audit Cover'!A7</f>
        <v>Norris City-Omaha-Enfield CUSD 3</v>
      </c>
      <c r="C1" s="2461"/>
      <c r="D1" s="2461"/>
      <c r="E1" s="2461"/>
      <c r="F1" s="1469"/>
    </row>
    <row r="2" spans="2:6" s="1279" customFormat="1" ht="12.75" customHeight="1" x14ac:dyDescent="0.2">
      <c r="B2" s="2463">
        <f>'Single Audit Cover'!E7</f>
        <v>20097003026</v>
      </c>
      <c r="C2" s="2463"/>
      <c r="D2" s="2463"/>
      <c r="E2" s="2463"/>
      <c r="F2" s="1470"/>
    </row>
    <row r="3" spans="2:6" ht="12.75" customHeight="1" x14ac:dyDescent="0.2">
      <c r="B3" s="2477" t="s">
        <v>2095</v>
      </c>
      <c r="C3" s="2477"/>
      <c r="D3" s="2477"/>
      <c r="E3" s="2477"/>
      <c r="F3" s="1271"/>
    </row>
    <row r="4" spans="2:6" s="1279" customFormat="1" ht="12.75" customHeight="1" x14ac:dyDescent="0.2">
      <c r="B4" s="2489" t="str">
        <f>'Single Audit Cover'!A4</f>
        <v>Year Ending June 30, 2019</v>
      </c>
      <c r="C4" s="2489"/>
      <c r="D4" s="2489"/>
      <c r="E4" s="2489"/>
      <c r="F4" s="1471"/>
    </row>
    <row r="5" spans="2:6" s="1279" customFormat="1" ht="40.15" customHeight="1" x14ac:dyDescent="0.2">
      <c r="B5" s="1472"/>
      <c r="C5" s="328"/>
      <c r="D5" s="328"/>
      <c r="E5" s="328"/>
      <c r="F5" s="328"/>
    </row>
    <row r="6" spans="2:6" s="1279" customFormat="1" ht="13.5" customHeight="1" x14ac:dyDescent="0.2">
      <c r="B6" s="1473" t="s">
        <v>1315</v>
      </c>
      <c r="C6" s="1473" t="s">
        <v>1314</v>
      </c>
      <c r="D6" s="1473"/>
      <c r="E6" s="1473" t="s">
        <v>2092</v>
      </c>
    </row>
    <row r="7" spans="2:6" ht="13.5" customHeight="1" x14ac:dyDescent="0.2">
      <c r="B7" s="1474"/>
      <c r="C7" s="324"/>
      <c r="D7" s="324"/>
      <c r="E7" s="324"/>
      <c r="F7" s="324"/>
    </row>
    <row r="8" spans="2:6" ht="72" customHeight="1" x14ac:dyDescent="0.2">
      <c r="B8" s="1940" t="s">
        <v>2086</v>
      </c>
      <c r="C8" s="1941" t="s">
        <v>2094</v>
      </c>
      <c r="D8" s="1941"/>
      <c r="E8" s="1941" t="s">
        <v>2093</v>
      </c>
      <c r="F8" s="324"/>
    </row>
    <row r="9" spans="2:6" ht="13.5" customHeight="1" x14ac:dyDescent="0.2">
      <c r="B9" s="1475"/>
      <c r="C9" s="323"/>
      <c r="D9" s="323"/>
      <c r="E9" s="323"/>
      <c r="F9" s="323"/>
    </row>
    <row r="10" spans="2:6" ht="13.5" customHeight="1" x14ac:dyDescent="0.2">
      <c r="B10" s="1474"/>
      <c r="C10" s="323"/>
      <c r="D10" s="323"/>
      <c r="E10" s="323"/>
      <c r="F10" s="323"/>
    </row>
    <row r="11" spans="2:6" ht="13.5" customHeight="1" x14ac:dyDescent="0.2">
      <c r="B11" s="1474"/>
      <c r="C11" s="323"/>
      <c r="D11" s="323"/>
      <c r="E11" s="323"/>
      <c r="F11" s="323"/>
    </row>
    <row r="12" spans="2:6" ht="13.5" customHeight="1" x14ac:dyDescent="0.2">
      <c r="B12" s="1474"/>
      <c r="C12" s="323"/>
      <c r="D12" s="323"/>
      <c r="E12" s="323"/>
      <c r="F12" s="323"/>
    </row>
    <row r="13" spans="2:6" ht="13.5" customHeight="1" x14ac:dyDescent="0.2">
      <c r="B13" s="1474"/>
      <c r="C13" s="323"/>
      <c r="D13" s="323"/>
      <c r="E13" s="323"/>
      <c r="F13" s="323"/>
    </row>
    <row r="14" spans="2:6" ht="13.5" customHeight="1" x14ac:dyDescent="0.2">
      <c r="B14" s="1474"/>
      <c r="C14" s="323"/>
      <c r="D14" s="323"/>
      <c r="E14" s="323"/>
      <c r="F14" s="323"/>
    </row>
    <row r="15" spans="2:6" ht="13.5" customHeight="1" x14ac:dyDescent="0.2">
      <c r="B15" s="1474"/>
      <c r="C15" s="323"/>
      <c r="D15" s="323"/>
      <c r="E15" s="323"/>
      <c r="F15" s="323"/>
    </row>
    <row r="16" spans="2:6" ht="13.5" customHeight="1" x14ac:dyDescent="0.2">
      <c r="B16" s="1474"/>
      <c r="C16" s="323"/>
      <c r="D16" s="323"/>
      <c r="E16" s="323"/>
      <c r="F16" s="323"/>
    </row>
    <row r="17" spans="2:6" ht="13.5" customHeight="1" x14ac:dyDescent="0.2">
      <c r="B17" s="1474"/>
      <c r="C17" s="323"/>
      <c r="D17" s="323"/>
      <c r="E17" s="323"/>
      <c r="F17" s="323"/>
    </row>
    <row r="18" spans="2:6" ht="13.5" customHeight="1" x14ac:dyDescent="0.2">
      <c r="B18" s="1474"/>
      <c r="C18" s="323"/>
      <c r="D18" s="323"/>
      <c r="E18" s="323"/>
      <c r="F18" s="323"/>
    </row>
    <row r="19" spans="2:6" ht="13.5" customHeight="1" x14ac:dyDescent="0.2">
      <c r="B19" s="1474"/>
      <c r="C19" s="323"/>
      <c r="D19" s="323"/>
      <c r="E19" s="323"/>
      <c r="F19" s="323"/>
    </row>
    <row r="20" spans="2:6" ht="13.5" customHeight="1" x14ac:dyDescent="0.2">
      <c r="B20" s="1474"/>
      <c r="C20" s="323"/>
      <c r="D20" s="323"/>
      <c r="E20" s="323"/>
      <c r="F20" s="323"/>
    </row>
    <row r="21" spans="2:6" ht="13.5" customHeight="1" x14ac:dyDescent="0.2">
      <c r="B21" s="1474"/>
      <c r="C21" s="323"/>
      <c r="D21" s="323"/>
      <c r="E21" s="323"/>
      <c r="F21" s="323"/>
    </row>
    <row r="22" spans="2:6" ht="13.5" customHeight="1" x14ac:dyDescent="0.2">
      <c r="B22" s="1474"/>
      <c r="C22" s="323"/>
      <c r="D22" s="323"/>
      <c r="E22" s="323"/>
      <c r="F22" s="323"/>
    </row>
    <row r="23" spans="2:6" ht="13.5" customHeight="1" x14ac:dyDescent="0.2">
      <c r="B23" s="1474"/>
      <c r="C23" s="323"/>
      <c r="D23" s="323"/>
      <c r="E23" s="323"/>
      <c r="F23" s="323"/>
    </row>
    <row r="24" spans="2:6" ht="13.5" customHeight="1" x14ac:dyDescent="0.2">
      <c r="B24" s="1474"/>
      <c r="C24" s="323"/>
      <c r="D24" s="323"/>
      <c r="E24" s="323"/>
      <c r="F24" s="323"/>
    </row>
    <row r="25" spans="2:6" ht="13.5" customHeight="1" x14ac:dyDescent="0.2">
      <c r="B25" s="1474"/>
      <c r="C25" s="323"/>
      <c r="D25" s="323"/>
      <c r="E25" s="323"/>
      <c r="F25" s="323"/>
    </row>
    <row r="26" spans="2:6" ht="13.5" customHeight="1" x14ac:dyDescent="0.2">
      <c r="B26" s="1474"/>
      <c r="C26" s="323"/>
      <c r="D26" s="323"/>
      <c r="E26" s="323"/>
      <c r="F26" s="323"/>
    </row>
    <row r="27" spans="2:6" ht="13.5" customHeight="1" x14ac:dyDescent="0.2">
      <c r="B27" s="1474"/>
      <c r="C27" s="323"/>
      <c r="D27" s="323"/>
      <c r="E27" s="323"/>
      <c r="F27" s="323"/>
    </row>
    <row r="28" spans="2:6" ht="13.5" customHeight="1" x14ac:dyDescent="0.2">
      <c r="B28" s="1474"/>
      <c r="C28" s="323"/>
      <c r="D28" s="323"/>
      <c r="E28" s="323"/>
      <c r="F28" s="323"/>
    </row>
    <row r="29" spans="2:6" ht="13.5" customHeight="1" x14ac:dyDescent="0.2">
      <c r="B29" s="1474"/>
      <c r="C29" s="323"/>
      <c r="D29" s="323"/>
      <c r="E29" s="323"/>
      <c r="F29" s="323"/>
    </row>
    <row r="30" spans="2:6" ht="13.5" customHeight="1" x14ac:dyDescent="0.2">
      <c r="B30" s="1474"/>
      <c r="C30" s="323"/>
      <c r="D30" s="323"/>
      <c r="E30" s="323"/>
      <c r="F30" s="323"/>
    </row>
    <row r="31" spans="2:6" ht="13.5" customHeight="1" x14ac:dyDescent="0.2">
      <c r="B31" s="1474"/>
      <c r="C31" s="323"/>
      <c r="D31" s="323"/>
      <c r="E31" s="323"/>
      <c r="F31" s="323"/>
    </row>
    <row r="32" spans="2:6" ht="13.5" customHeight="1" x14ac:dyDescent="0.2">
      <c r="B32" s="1476"/>
      <c r="C32" s="323"/>
      <c r="D32" s="323"/>
      <c r="E32" s="323"/>
      <c r="F32" s="323"/>
    </row>
    <row r="33" spans="2:6" ht="13.5" customHeight="1" x14ac:dyDescent="0.2">
      <c r="B33" s="1477"/>
      <c r="C33" s="323"/>
      <c r="D33" s="323"/>
      <c r="E33" s="323"/>
      <c r="F33" s="323"/>
    </row>
    <row r="34" spans="2:6" ht="13.5" customHeight="1" x14ac:dyDescent="0.2">
      <c r="B34" s="1478"/>
      <c r="C34" s="323"/>
      <c r="D34" s="323"/>
      <c r="E34" s="323"/>
      <c r="F34" s="323"/>
    </row>
    <row r="35" spans="2:6" ht="13.5" customHeight="1" x14ac:dyDescent="0.2">
      <c r="B35" s="1477"/>
      <c r="C35" s="323"/>
      <c r="D35" s="323"/>
      <c r="E35" s="323"/>
      <c r="F35" s="323"/>
    </row>
    <row r="36" spans="2:6" ht="13.5" customHeight="1" x14ac:dyDescent="0.2">
      <c r="B36" s="1478"/>
      <c r="C36" s="323"/>
      <c r="D36" s="323"/>
      <c r="E36" s="323"/>
      <c r="F36" s="323"/>
    </row>
    <row r="37" spans="2:6" ht="13.5" customHeight="1" x14ac:dyDescent="0.2">
      <c r="B37" s="1478"/>
      <c r="C37" s="323"/>
      <c r="D37" s="323"/>
      <c r="E37" s="323"/>
      <c r="F37" s="323"/>
    </row>
    <row r="38" spans="2:6" ht="13.5" customHeight="1" x14ac:dyDescent="0.2">
      <c r="B38" s="1477"/>
      <c r="C38" s="323"/>
      <c r="D38" s="323"/>
      <c r="E38" s="323"/>
      <c r="F38" s="323"/>
    </row>
    <row r="39" spans="2:6" ht="13.5" customHeight="1" x14ac:dyDescent="0.2">
      <c r="B39" s="1478"/>
      <c r="C39" s="323"/>
      <c r="D39" s="323"/>
      <c r="E39" s="323"/>
      <c r="F39" s="323"/>
    </row>
    <row r="40" spans="2:6" ht="13.5" customHeight="1" x14ac:dyDescent="0.2">
      <c r="B40" s="1477"/>
      <c r="C40" s="323"/>
      <c r="D40" s="323"/>
      <c r="E40" s="323"/>
      <c r="F40" s="323"/>
    </row>
    <row r="41" spans="2:6" ht="13.5" customHeight="1" x14ac:dyDescent="0.2">
      <c r="B41" s="1479"/>
      <c r="C41" s="323"/>
      <c r="D41" s="323"/>
      <c r="E41" s="323"/>
      <c r="F41" s="323"/>
    </row>
    <row r="42" spans="2:6" ht="13.5" customHeight="1" x14ac:dyDescent="0.2">
      <c r="B42" s="1480"/>
      <c r="C42" s="323"/>
      <c r="D42" s="323"/>
      <c r="E42" s="323"/>
      <c r="F42" s="323"/>
    </row>
    <row r="43" spans="2:6" ht="12.75" customHeight="1" x14ac:dyDescent="0.2">
      <c r="B43" s="1481"/>
      <c r="C43" s="1482"/>
      <c r="D43" s="1482"/>
      <c r="E43" s="1482"/>
      <c r="F43" s="323"/>
    </row>
    <row r="44" spans="2:6" ht="12.2" customHeight="1" x14ac:dyDescent="0.2">
      <c r="B44" s="1254" t="s">
        <v>1313</v>
      </c>
      <c r="C44" s="322"/>
      <c r="D44" s="322"/>
    </row>
    <row r="45" spans="2:6" ht="12.2" customHeight="1" x14ac:dyDescent="0.2">
      <c r="B45" s="1483" t="s">
        <v>1763</v>
      </c>
    </row>
    <row r="46" spans="2:6" ht="12.2" customHeight="1" x14ac:dyDescent="0.2">
      <c r="B46" s="1483" t="s">
        <v>1764</v>
      </c>
    </row>
    <row r="47" spans="2:6" ht="12.2" customHeight="1" x14ac:dyDescent="0.2">
      <c r="B47" s="1484" t="s">
        <v>1312</v>
      </c>
    </row>
    <row r="48" spans="2:6" ht="12.2" customHeight="1" x14ac:dyDescent="0.2">
      <c r="B48" s="1484" t="s">
        <v>1311</v>
      </c>
    </row>
    <row r="49" spans="2:6" ht="12.2" customHeight="1" x14ac:dyDescent="0.2">
      <c r="B49" s="1484" t="s">
        <v>1310</v>
      </c>
    </row>
    <row r="50" spans="2:6" ht="12.2" customHeight="1" x14ac:dyDescent="0.2">
      <c r="B50" s="1484" t="s">
        <v>1309</v>
      </c>
    </row>
    <row r="53" spans="2:6" ht="12.75" customHeight="1" x14ac:dyDescent="0.2"/>
    <row r="54" spans="2:6" ht="12.75" customHeight="1" x14ac:dyDescent="0.2">
      <c r="B54" s="1264"/>
    </row>
    <row r="55" spans="2:6" ht="12.75" customHeight="1" x14ac:dyDescent="0.2"/>
    <row r="56" spans="2:6" ht="12.75" customHeight="1" x14ac:dyDescent="0.2">
      <c r="B56" s="322"/>
      <c r="C56" s="322"/>
      <c r="D56" s="322"/>
      <c r="E56" s="322"/>
      <c r="F56" s="322"/>
    </row>
    <row r="57" spans="2:6" ht="12.75" customHeight="1" x14ac:dyDescent="0.2">
      <c r="B57" s="322"/>
      <c r="C57" s="322"/>
      <c r="D57" s="322"/>
      <c r="E57" s="322"/>
      <c r="F57" s="322"/>
    </row>
    <row r="58" spans="2:6" ht="12.75" customHeight="1" x14ac:dyDescent="0.2">
      <c r="B58" s="322"/>
      <c r="C58" s="322"/>
      <c r="D58" s="322"/>
      <c r="E58" s="322"/>
      <c r="F58" s="322"/>
    </row>
    <row r="59" spans="2:6" ht="12.75" customHeight="1" x14ac:dyDescent="0.2">
      <c r="B59" s="322"/>
      <c r="C59" s="322"/>
      <c r="D59" s="322"/>
      <c r="E59" s="322"/>
      <c r="F59" s="322"/>
    </row>
    <row r="60" spans="2:6" ht="12.75" customHeight="1" x14ac:dyDescent="0.2">
      <c r="B60" s="322"/>
      <c r="C60" s="322"/>
      <c r="D60" s="322"/>
      <c r="E60" s="322"/>
      <c r="F60" s="322"/>
    </row>
    <row r="61" spans="2:6" ht="12.75" customHeight="1" x14ac:dyDescent="0.2">
      <c r="B61" s="322"/>
      <c r="C61" s="322"/>
      <c r="D61" s="322"/>
      <c r="E61" s="322"/>
      <c r="F61" s="322"/>
    </row>
    <row r="62" spans="2:6" ht="12.75" customHeight="1" x14ac:dyDescent="0.2">
      <c r="B62" s="322"/>
      <c r="C62" s="322"/>
      <c r="D62" s="322"/>
      <c r="E62" s="322"/>
      <c r="F62" s="322"/>
    </row>
    <row r="63" spans="2:6" ht="12.75" customHeight="1" x14ac:dyDescent="0.2">
      <c r="B63" s="322"/>
      <c r="C63" s="322"/>
      <c r="D63" s="322"/>
      <c r="E63" s="322"/>
      <c r="F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E1"/>
    <mergeCell ref="B2:E2"/>
    <mergeCell ref="B3:E3"/>
    <mergeCell ref="B4:E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35"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1168</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1939</v>
      </c>
    </row>
    <row r="32" spans="1:4" s="181" customFormat="1" x14ac:dyDescent="0.2">
      <c r="A32" s="219"/>
      <c r="B32" s="236"/>
      <c r="C32" s="227"/>
      <c r="D32" s="237" t="s">
        <v>1787</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8" t="s">
        <v>1633</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8" t="s">
        <v>313</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1786</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1323</v>
      </c>
      <c r="B70" s="2091"/>
      <c r="C70" s="2091"/>
      <c r="D70" s="2091"/>
      <c r="E70" s="2092"/>
      <c r="F70" s="2092"/>
      <c r="G70" s="2092"/>
      <c r="H70" s="2092"/>
      <c r="I70" s="209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1923</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1940</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1898</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1320</v>
      </c>
      <c r="B83" s="2093"/>
      <c r="C83" s="2093"/>
      <c r="D83" s="209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1921</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1921</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1922</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2058</v>
      </c>
      <c r="D114" s="208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1330</v>
      </c>
      <c r="D117" s="2086"/>
      <c r="E117" s="2087"/>
      <c r="F117" s="2087"/>
      <c r="G117" s="2087"/>
      <c r="H117" s="208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1899</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386</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1941</v>
      </c>
      <c r="E7" s="222"/>
      <c r="F7" s="351" t="s">
        <v>272</v>
      </c>
      <c r="G7" s="222"/>
      <c r="H7" s="222"/>
      <c r="I7" s="222"/>
      <c r="J7" s="352">
        <v>55302325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1.60859E-2</v>
      </c>
      <c r="E10" s="356" t="s">
        <v>1005</v>
      </c>
      <c r="F10" s="355">
        <v>3.6806999999999999E-3</v>
      </c>
      <c r="G10" s="356" t="s">
        <v>1005</v>
      </c>
      <c r="H10" s="355">
        <v>1.8946E-3</v>
      </c>
      <c r="I10" s="356" t="s">
        <v>1006</v>
      </c>
      <c r="J10" s="1732">
        <f>ROUND(D10+F10+H10,5)</f>
        <v>2.1659999999999999E-2</v>
      </c>
      <c r="K10" s="222"/>
      <c r="L10" s="355">
        <v>4.6470000000000002E-4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6200142</v>
      </c>
      <c r="E16" s="356"/>
      <c r="F16" s="1733">
        <f>SUM('Acct Summary 7-8'!C17,'Acct Summary 7-8'!D17,'Acct Summary 7-8'!F17)</f>
        <v>6414896</v>
      </c>
      <c r="G16" s="356"/>
      <c r="H16" s="1733">
        <f>SUM(D16-F16)</f>
        <v>-214754</v>
      </c>
      <c r="I16" s="222"/>
      <c r="J16" s="1733">
        <f>SUM('Acct Summary 7-8'!C81,'Acct Summary 7-8'!D81,'Acct Summary 7-8'!F81,'Acct Summary 7-8'!I81)</f>
        <v>2498065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2056</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7631720.8500000006</v>
      </c>
      <c r="I31" s="368"/>
      <c r="J31" s="222"/>
      <c r="K31" s="222"/>
      <c r="L31" s="222"/>
      <c r="M31" s="222"/>
    </row>
    <row r="32" spans="1:13" ht="13.35" customHeight="1" x14ac:dyDescent="0.2">
      <c r="B32" s="369" t="s">
        <v>2057</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1646710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topLeftCell="A4"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556</v>
      </c>
      <c r="B2" s="2123"/>
      <c r="C2" s="2123"/>
      <c r="D2" s="2123"/>
      <c r="E2" s="2123"/>
      <c r="F2" s="2123"/>
      <c r="G2" s="2123"/>
      <c r="H2" s="2123"/>
      <c r="I2" s="2123"/>
      <c r="J2" s="2123"/>
      <c r="K2" s="2123"/>
      <c r="L2" s="2123"/>
      <c r="M2" s="2123"/>
      <c r="N2" s="2123"/>
      <c r="O2" s="2123"/>
      <c r="P2" s="2123"/>
      <c r="Q2" s="2123"/>
      <c r="R2" s="2123"/>
    </row>
    <row r="3" spans="1:18" ht="12.75" x14ac:dyDescent="0.2">
      <c r="A3" s="2124" t="s">
        <v>1413</v>
      </c>
      <c r="B3" s="2124"/>
      <c r="C3" s="2124"/>
      <c r="D3" s="2124"/>
      <c r="E3" s="2124"/>
      <c r="F3" s="2124"/>
      <c r="G3" s="2124"/>
      <c r="H3" s="2124"/>
      <c r="I3" s="2124"/>
      <c r="J3" s="2124"/>
      <c r="K3" s="2124"/>
      <c r="L3" s="2124"/>
      <c r="M3" s="2124"/>
      <c r="N3" s="2124"/>
      <c r="O3" s="2124"/>
      <c r="P3" s="2124"/>
      <c r="Q3" s="2124"/>
      <c r="R3" s="2124"/>
    </row>
    <row r="4" spans="1:18" x14ac:dyDescent="0.2">
      <c r="A4" s="2125" t="s">
        <v>1554</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Norris City-Omaha-Enfield CUSD 3</v>
      </c>
      <c r="E7" s="391"/>
      <c r="G7" s="252"/>
      <c r="H7" s="387"/>
      <c r="I7" s="387"/>
      <c r="J7" s="387"/>
      <c r="K7" s="387"/>
      <c r="L7" s="329"/>
      <c r="M7" s="329"/>
      <c r="N7" s="329"/>
      <c r="O7" s="329"/>
      <c r="P7" s="329"/>
    </row>
    <row r="8" spans="1:18" ht="12.75" x14ac:dyDescent="0.2">
      <c r="A8" s="329"/>
      <c r="B8" s="329"/>
      <c r="C8" s="389" t="s">
        <v>1125</v>
      </c>
      <c r="D8" s="392">
        <f>COVER!A13</f>
        <v>20097003026</v>
      </c>
      <c r="E8" s="393"/>
      <c r="G8" s="329"/>
      <c r="H8" s="329"/>
      <c r="I8" s="329"/>
      <c r="J8" s="329"/>
      <c r="K8" s="329"/>
      <c r="L8" s="329"/>
      <c r="M8" s="329"/>
      <c r="N8" s="329"/>
      <c r="O8" s="329"/>
      <c r="P8" s="329"/>
    </row>
    <row r="9" spans="1:18" ht="12.75" x14ac:dyDescent="0.2">
      <c r="A9" s="329"/>
      <c r="B9" s="329"/>
      <c r="C9" s="389" t="s">
        <v>713</v>
      </c>
      <c r="D9" s="394" t="str">
        <f>COVER!A15</f>
        <v>White, Hamilton, and Gallatin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2498065</v>
      </c>
      <c r="I12" s="404"/>
      <c r="J12" s="404"/>
      <c r="K12" s="405">
        <f>TRUNC((H12/H13*100000),5)/100000</f>
        <v>0.40290448179999999</v>
      </c>
      <c r="L12" s="406"/>
      <c r="M12" s="360" t="s">
        <v>1144</v>
      </c>
      <c r="N12" s="360"/>
      <c r="O12" s="407">
        <v>0.35</v>
      </c>
      <c r="P12" s="218"/>
      <c r="Q12" s="218"/>
    </row>
    <row r="13" spans="1:18" s="408" customFormat="1" ht="12.75" x14ac:dyDescent="0.2">
      <c r="A13" s="218"/>
      <c r="B13" s="401"/>
      <c r="C13" s="2121" t="s">
        <v>1324</v>
      </c>
      <c r="D13" s="2122"/>
      <c r="E13" s="218"/>
      <c r="F13" s="409" t="s">
        <v>793</v>
      </c>
      <c r="G13" s="402"/>
      <c r="H13" s="403">
        <f>SUM('Acct Summary 7-8'!C8+'Acct Summary 7-8'!D8+'Acct Summary 7-8'!F8+'Acct Summary 7-8'!I8)+H14</f>
        <v>6200142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6414896</v>
      </c>
      <c r="I17" s="404"/>
      <c r="J17" s="416"/>
      <c r="K17" s="405">
        <f>TRUNC((H17/H18*100000),5)/100000</f>
        <v>1.0346369486</v>
      </c>
      <c r="L17" s="406"/>
      <c r="M17" s="417" t="s">
        <v>1171</v>
      </c>
      <c r="O17" s="418" t="str">
        <f>IF(AND(O16="2", J20 &gt; 2),"1",IF(AND(O16 = "1", J20 &gt; 2),"2",IF(AND(O16="1", J20 &gt;1),"1","0")))</f>
        <v>0</v>
      </c>
      <c r="P17" s="218"/>
    </row>
    <row r="18" spans="1:18" s="408" customFormat="1" ht="11.25" x14ac:dyDescent="0.2">
      <c r="A18" s="218"/>
      <c r="B18" s="401"/>
      <c r="C18" s="2121" t="s">
        <v>1317</v>
      </c>
      <c r="D18" s="2122"/>
      <c r="E18" s="218"/>
      <c r="F18" s="419" t="s">
        <v>794</v>
      </c>
      <c r="G18" s="402"/>
      <c r="H18" s="403">
        <f>SUM('Acct Summary 7-8'!C8+'Acct Summary 7-8'!D8+'Acct Summary 7-8'!F8+'Acct Summary 7-8'!I8)+H19</f>
        <v>6200142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8.7451260000000008</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18" t="s">
        <v>1412</v>
      </c>
      <c r="D24" s="2118"/>
      <c r="E24" s="218"/>
      <c r="F24" s="218" t="s">
        <v>445</v>
      </c>
      <c r="G24" s="402"/>
      <c r="H24" s="403">
        <f>SUM('Assets-Liab 5-6'!C4+'Assets-Liab 5-6'!D4+'Assets-Liab 5-6'!F4+'Assets-Liab 5-6'!I4+'Assets-Liab 5-6'!C5+'Assets-Liab 5-6'!D5+'Assets-Liab 5-6'!F5+'Assets-Liab 5-6'!I5)</f>
        <v>2498065</v>
      </c>
      <c r="I24" s="422"/>
      <c r="J24" s="422"/>
      <c r="K24" s="423">
        <f>TRUNC(((H24/H25*100000)/100000),2)</f>
        <v>140.18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17819.155559999999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1924</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1018171.10558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1646710</v>
      </c>
      <c r="I32" s="420"/>
      <c r="J32" s="420"/>
      <c r="K32" s="423">
        <f>TRUNC(100-((((H32/H33*100))*100)/100),2)</f>
        <v>78.42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7631720.8500000006</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3" activePane="bottomLeft" state="frozen"/>
      <selection pane="bottomLeft" activeCell="L5" sqref="L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8" t="s">
        <v>973</v>
      </c>
      <c r="B3" s="2129"/>
      <c r="C3" s="1559"/>
      <c r="D3" s="1560"/>
      <c r="E3" s="1560"/>
      <c r="F3" s="1560"/>
      <c r="G3" s="1560"/>
      <c r="H3" s="1560"/>
      <c r="I3" s="1560"/>
      <c r="J3" s="1560"/>
      <c r="K3" s="1560"/>
      <c r="L3" s="1560"/>
      <c r="M3" s="1561"/>
      <c r="N3" s="1562"/>
    </row>
    <row r="4" spans="1:14" ht="13.5" customHeight="1" x14ac:dyDescent="0.2">
      <c r="A4" s="463" t="s">
        <v>1651</v>
      </c>
      <c r="B4" s="464"/>
      <c r="C4" s="465">
        <v>4100</v>
      </c>
      <c r="D4" s="466"/>
      <c r="E4" s="466"/>
      <c r="F4" s="466"/>
      <c r="G4" s="466"/>
      <c r="H4" s="466"/>
      <c r="I4" s="466"/>
      <c r="J4" s="467"/>
      <c r="K4" s="466"/>
      <c r="L4" s="466"/>
      <c r="M4" s="468"/>
      <c r="N4" s="469"/>
    </row>
    <row r="5" spans="1:14" x14ac:dyDescent="0.2">
      <c r="A5" s="463" t="s">
        <v>992</v>
      </c>
      <c r="B5" s="470">
        <v>120</v>
      </c>
      <c r="C5" s="465">
        <f>1199149+259274</f>
        <v>1458423</v>
      </c>
      <c r="D5" s="466">
        <f>24973+227368</f>
        <v>252341</v>
      </c>
      <c r="E5" s="466">
        <v>27374</v>
      </c>
      <c r="F5" s="466">
        <f>123558-19218</f>
        <v>104340</v>
      </c>
      <c r="G5" s="466">
        <v>59018</v>
      </c>
      <c r="H5" s="466">
        <f>166602+80953</f>
        <v>247555</v>
      </c>
      <c r="I5" s="466">
        <f>416257+262604</f>
        <v>678861</v>
      </c>
      <c r="J5" s="467">
        <f>19218+23523</f>
        <v>42741</v>
      </c>
      <c r="K5" s="471">
        <f>39789+22566</f>
        <v>62355</v>
      </c>
      <c r="L5" s="472">
        <v>598374</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v>143600</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1462523</v>
      </c>
      <c r="D13" s="1737">
        <f t="shared" ref="D13:L13" si="0">SUM(D4:D12)</f>
        <v>252341</v>
      </c>
      <c r="E13" s="1737">
        <f t="shared" si="0"/>
        <v>27374</v>
      </c>
      <c r="F13" s="1737">
        <f t="shared" si="0"/>
        <v>104340</v>
      </c>
      <c r="G13" s="1737">
        <f t="shared" si="0"/>
        <v>59018</v>
      </c>
      <c r="H13" s="1737">
        <f t="shared" si="0"/>
        <v>247555</v>
      </c>
      <c r="I13" s="1737">
        <f t="shared" si="0"/>
        <v>822461</v>
      </c>
      <c r="J13" s="1737">
        <f t="shared" si="0"/>
        <v>42741</v>
      </c>
      <c r="K13" s="1737">
        <f t="shared" si="0"/>
        <v>62355</v>
      </c>
      <c r="L13" s="1737">
        <f t="shared" si="0"/>
        <v>598374</v>
      </c>
      <c r="M13" s="468"/>
      <c r="N13" s="469"/>
    </row>
    <row r="14" spans="1:14" ht="18" customHeight="1" thickTop="1" x14ac:dyDescent="0.2">
      <c r="A14" s="2130" t="s">
        <v>147</v>
      </c>
      <c r="B14" s="213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26'!F5</f>
        <v>141338</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26'!F8</f>
        <v>9824256</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26'!F10</f>
        <v>219366</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26'!F12+'Cap Outlay Deprec 26'!F13</f>
        <v>1540522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+E39</f>
        <v>27374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1619336</v>
      </c>
    </row>
    <row r="23" spans="1:14" ht="13.5" customHeight="1" thickBot="1" x14ac:dyDescent="0.25">
      <c r="A23" s="1736" t="s">
        <v>643</v>
      </c>
      <c r="B23" s="1741"/>
      <c r="C23" s="468"/>
      <c r="D23" s="468"/>
      <c r="E23" s="468"/>
      <c r="F23" s="468"/>
      <c r="G23" s="468"/>
      <c r="H23" s="468"/>
      <c r="I23" s="468"/>
      <c r="J23" s="468"/>
      <c r="K23" s="468"/>
      <c r="L23" s="468"/>
      <c r="M23" s="1688">
        <f>SUM(M15:M22)</f>
        <v>11725482</v>
      </c>
      <c r="N23" s="1688">
        <f>SUM(N21:N22)</f>
        <v>1646710</v>
      </c>
    </row>
    <row r="24" spans="1:14" ht="18" customHeight="1" thickTop="1" x14ac:dyDescent="0.2">
      <c r="A24" s="2132" t="s">
        <v>598</v>
      </c>
      <c r="B24" s="213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v>143600</v>
      </c>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f>+L13</f>
        <v>598374</v>
      </c>
      <c r="M33" s="468"/>
      <c r="N33" s="469"/>
    </row>
    <row r="34" spans="1:14" ht="13.5" customHeight="1" thickBot="1" x14ac:dyDescent="0.25">
      <c r="A34" s="1738" t="s">
        <v>654</v>
      </c>
      <c r="B34" s="1739"/>
      <c r="C34" s="1740">
        <f>SUM(C25:C33)</f>
        <v>0</v>
      </c>
      <c r="D34" s="1740">
        <f t="shared" ref="D34:K34" si="1">SUM(D25:D33)</f>
        <v>0</v>
      </c>
      <c r="E34" s="1740">
        <f t="shared" si="1"/>
        <v>0</v>
      </c>
      <c r="F34" s="1740">
        <f t="shared" si="1"/>
        <v>143600</v>
      </c>
      <c r="G34" s="1740">
        <f t="shared" si="1"/>
        <v>0</v>
      </c>
      <c r="H34" s="1740">
        <f t="shared" si="1"/>
        <v>0</v>
      </c>
      <c r="I34" s="1740">
        <f t="shared" si="1"/>
        <v>0</v>
      </c>
      <c r="J34" s="1740">
        <f t="shared" si="1"/>
        <v>0</v>
      </c>
      <c r="K34" s="1740">
        <f t="shared" si="1"/>
        <v>0</v>
      </c>
      <c r="L34" s="1721">
        <f>SUM(L33)</f>
        <v>598374</v>
      </c>
      <c r="M34" s="468"/>
      <c r="N34" s="480"/>
    </row>
    <row r="35" spans="1:14" ht="18" customHeight="1" thickTop="1" x14ac:dyDescent="0.2">
      <c r="A35" s="2134" t="s">
        <v>529</v>
      </c>
      <c r="B35" s="213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1646710</v>
      </c>
    </row>
    <row r="37" spans="1:14" ht="13.5" thickBot="1" x14ac:dyDescent="0.25">
      <c r="A37" s="1736" t="s">
        <v>653</v>
      </c>
      <c r="B37" s="1741"/>
      <c r="C37" s="477"/>
      <c r="D37" s="477"/>
      <c r="E37" s="477"/>
      <c r="F37" s="477"/>
      <c r="G37" s="477"/>
      <c r="H37" s="477"/>
      <c r="I37" s="477"/>
      <c r="J37" s="477"/>
      <c r="K37" s="477"/>
      <c r="L37" s="480"/>
      <c r="M37" s="468"/>
      <c r="N37" s="1688">
        <f>SUM(N36:N36)</f>
        <v>1646710</v>
      </c>
    </row>
    <row r="38" spans="1:14" s="329" customFormat="1" ht="13.5" customHeight="1" thickTop="1" x14ac:dyDescent="0.2">
      <c r="A38" s="496" t="s">
        <v>420</v>
      </c>
      <c r="B38" s="483">
        <v>714</v>
      </c>
      <c r="C38" s="466"/>
      <c r="D38" s="466"/>
      <c r="E38" s="466"/>
      <c r="F38" s="466"/>
      <c r="G38" s="466"/>
      <c r="H38" s="466">
        <v>247555</v>
      </c>
      <c r="I38" s="466"/>
      <c r="J38" s="467"/>
      <c r="K38" s="466"/>
      <c r="L38" s="481"/>
      <c r="M38" s="497"/>
      <c r="N38" s="497"/>
    </row>
    <row r="39" spans="1:14" s="329" customFormat="1" ht="13.5" customHeight="1" x14ac:dyDescent="0.2">
      <c r="A39" s="496" t="s">
        <v>342</v>
      </c>
      <c r="B39" s="483">
        <v>730</v>
      </c>
      <c r="C39" s="466">
        <v>1462523</v>
      </c>
      <c r="D39" s="466">
        <v>252341</v>
      </c>
      <c r="E39" s="466">
        <v>27374</v>
      </c>
      <c r="F39" s="466">
        <v>-39260</v>
      </c>
      <c r="G39" s="466">
        <v>59018</v>
      </c>
      <c r="H39" s="466"/>
      <c r="I39" s="466">
        <v>822461</v>
      </c>
      <c r="J39" s="467">
        <v>42741</v>
      </c>
      <c r="K39" s="466">
        <v>62355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11725482</v>
      </c>
      <c r="N40" s="497"/>
    </row>
    <row r="41" spans="1:14" ht="13.5" customHeight="1" thickBot="1" x14ac:dyDescent="0.25">
      <c r="A41" s="1736" t="s">
        <v>655</v>
      </c>
      <c r="B41" s="1706"/>
      <c r="C41" s="1688">
        <f>(SUM(C34,C37,C38,C39))</f>
        <v>1462523</v>
      </c>
      <c r="D41" s="1688">
        <f t="shared" ref="D41:L41" si="2">SUM(D34,D37,D38:D39)</f>
        <v>252341</v>
      </c>
      <c r="E41" s="1688">
        <f t="shared" si="2"/>
        <v>27374</v>
      </c>
      <c r="F41" s="1688">
        <f t="shared" si="2"/>
        <v>104340</v>
      </c>
      <c r="G41" s="1688">
        <f t="shared" si="2"/>
        <v>59018</v>
      </c>
      <c r="H41" s="1688">
        <f t="shared" si="2"/>
        <v>247555</v>
      </c>
      <c r="I41" s="1688">
        <f t="shared" si="2"/>
        <v>822461</v>
      </c>
      <c r="J41" s="1688">
        <f t="shared" si="2"/>
        <v>42741</v>
      </c>
      <c r="K41" s="1688">
        <f t="shared" si="2"/>
        <v>62355</v>
      </c>
      <c r="L41" s="1688">
        <f t="shared" si="2"/>
        <v>598374</v>
      </c>
      <c r="M41" s="1688">
        <f>SUM(M40)</f>
        <v>11725482</v>
      </c>
      <c r="N41" s="1688">
        <f>SUM(N37)</f>
        <v>1646710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6" activePane="bottomLeft" state="frozen"/>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6" t="s">
        <v>1175</v>
      </c>
      <c r="B3" s="2157"/>
      <c r="C3" s="1573"/>
      <c r="D3" s="1574"/>
      <c r="E3" s="1574"/>
      <c r="F3" s="1574"/>
      <c r="G3" s="1574"/>
      <c r="H3" s="1574"/>
      <c r="I3" s="1574"/>
      <c r="J3" s="1574"/>
      <c r="K3" s="1575"/>
      <c r="L3" s="506"/>
    </row>
    <row r="4" spans="1:13" ht="15.75" customHeight="1" x14ac:dyDescent="0.2">
      <c r="A4" s="1928" t="s">
        <v>1499</v>
      </c>
      <c r="B4" s="1929">
        <v>1000</v>
      </c>
      <c r="C4" s="1742">
        <f>'Revenues 9-14'!C109</f>
        <v>1138589</v>
      </c>
      <c r="D4" s="1742">
        <f>'Revenues 9-14'!D109</f>
        <v>240518</v>
      </c>
      <c r="E4" s="1742">
        <f>'Revenues 9-14'!E109</f>
        <v>360018</v>
      </c>
      <c r="F4" s="1742">
        <f>'Revenues 9-14'!F109</f>
        <v>139731</v>
      </c>
      <c r="G4" s="1742">
        <f>'Revenues 9-14'!G109</f>
        <v>321541</v>
      </c>
      <c r="H4" s="1742">
        <f>'Revenues 9-14'!H109</f>
        <v>161456</v>
      </c>
      <c r="I4" s="1742">
        <f>'Revenues 9-14'!I109</f>
        <v>11693</v>
      </c>
      <c r="J4" s="1742">
        <f>'Revenues 9-14'!J109</f>
        <v>98065</v>
      </c>
      <c r="K4" s="1742">
        <f>'Revenues 9-14'!K109</f>
        <v>19959</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3921473</v>
      </c>
      <c r="D6" s="1743">
        <f>'Revenues 9-14'!D170</f>
        <v>0</v>
      </c>
      <c r="E6" s="1743">
        <f>'Revenues 9-14'!E170</f>
        <v>0</v>
      </c>
      <c r="F6" s="1743">
        <f>'Revenues 9-14'!F170</f>
        <v>325130</v>
      </c>
      <c r="G6" s="1743">
        <f>'Revenues 9-14'!G170</f>
        <v>0</v>
      </c>
      <c r="H6" s="1743">
        <f>'Revenues 9-14'!H170</f>
        <v>5000</v>
      </c>
      <c r="I6" s="1743">
        <f>'Revenues 9-14'!I170</f>
        <v>0</v>
      </c>
      <c r="J6" s="1743">
        <f>'Revenues 9-14'!J170</f>
        <v>0</v>
      </c>
      <c r="K6" s="1743">
        <f>'Revenues 9-14'!K170</f>
        <v>0</v>
      </c>
      <c r="L6" s="347"/>
      <c r="M6" s="513"/>
    </row>
    <row r="7" spans="1:13" ht="15.75" customHeight="1" x14ac:dyDescent="0.2">
      <c r="A7" s="1576" t="s">
        <v>1502</v>
      </c>
      <c r="B7" s="1578">
        <v>4000</v>
      </c>
      <c r="C7" s="1743">
        <f>'Revenues 9-14'!C267</f>
        <v>423008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5483070</v>
      </c>
      <c r="D8" s="1688">
        <f t="shared" ref="D8:K8" si="0">SUM(D4:D7)</f>
        <v>240518</v>
      </c>
      <c r="E8" s="1688">
        <f t="shared" si="0"/>
        <v>360018</v>
      </c>
      <c r="F8" s="1688">
        <f t="shared" si="0"/>
        <v>464861</v>
      </c>
      <c r="G8" s="1688">
        <f t="shared" si="0"/>
        <v>321541</v>
      </c>
      <c r="H8" s="1688">
        <f t="shared" si="0"/>
        <v>166456</v>
      </c>
      <c r="I8" s="1688">
        <f t="shared" si="0"/>
        <v>11693</v>
      </c>
      <c r="J8" s="1688">
        <f t="shared" si="0"/>
        <v>98065</v>
      </c>
      <c r="K8" s="1688">
        <f t="shared" si="0"/>
        <v>19959</v>
      </c>
      <c r="L8" s="347"/>
    </row>
    <row r="9" spans="1:13" ht="15.75" thickTop="1" x14ac:dyDescent="0.2">
      <c r="A9" s="514" t="s">
        <v>1653</v>
      </c>
      <c r="B9" s="515">
        <v>3998</v>
      </c>
      <c r="C9" s="481">
        <v>1776368</v>
      </c>
      <c r="D9" s="516"/>
      <c r="E9" s="481"/>
      <c r="F9" s="481"/>
      <c r="G9" s="517"/>
      <c r="H9" s="481"/>
      <c r="I9" s="509" t="s">
        <v>1169</v>
      </c>
      <c r="J9" s="478"/>
      <c r="K9" s="481"/>
      <c r="L9" s="347"/>
    </row>
    <row r="10" spans="1:13" s="519" customFormat="1" ht="13.5" thickBot="1" x14ac:dyDescent="0.25">
      <c r="A10" s="1736" t="s">
        <v>1173</v>
      </c>
      <c r="B10" s="1709"/>
      <c r="C10" s="1688">
        <f>SUM(C8:C9)</f>
        <v>7259438</v>
      </c>
      <c r="D10" s="1688">
        <f t="shared" ref="D10:K10" si="1">SUM(D8:D9)</f>
        <v>240518</v>
      </c>
      <c r="E10" s="1688">
        <f t="shared" si="1"/>
        <v>360018</v>
      </c>
      <c r="F10" s="1688">
        <f t="shared" si="1"/>
        <v>464861</v>
      </c>
      <c r="G10" s="1688">
        <f t="shared" si="1"/>
        <v>321541</v>
      </c>
      <c r="H10" s="1688">
        <f t="shared" si="1"/>
        <v>166456</v>
      </c>
      <c r="I10" s="1688">
        <f t="shared" si="1"/>
        <v>11693</v>
      </c>
      <c r="J10" s="1688">
        <f t="shared" si="1"/>
        <v>98065</v>
      </c>
      <c r="K10" s="1688">
        <f t="shared" si="1"/>
        <v>19959</v>
      </c>
      <c r="L10" s="518"/>
    </row>
    <row r="11" spans="1:13" s="519" customFormat="1" ht="16.7" customHeight="1" thickTop="1" x14ac:dyDescent="0.2">
      <c r="A11" s="2130" t="s">
        <v>1176</v>
      </c>
      <c r="B11" s="2131"/>
      <c r="C11" s="1570"/>
      <c r="D11" s="1571"/>
      <c r="E11" s="1571"/>
      <c r="F11" s="1571"/>
      <c r="G11" s="1571"/>
      <c r="H11" s="1571"/>
      <c r="I11" s="1571"/>
      <c r="J11" s="1571"/>
      <c r="K11" s="1572"/>
      <c r="L11" s="518"/>
    </row>
    <row r="12" spans="1:13" ht="15.75" customHeight="1" x14ac:dyDescent="0.2">
      <c r="A12" s="1576" t="s">
        <v>456</v>
      </c>
      <c r="B12" s="1578">
        <v>1000</v>
      </c>
      <c r="C12" s="1742">
        <f>'Expenditures 15-22'!K33</f>
        <v>3359783</v>
      </c>
      <c r="D12" s="520" t="s">
        <v>1169</v>
      </c>
      <c r="E12" s="468" t="s">
        <v>1169</v>
      </c>
      <c r="F12" s="468" t="s">
        <v>1169</v>
      </c>
      <c r="G12" s="1742">
        <f>'Expenditures 15-22'!K229</f>
        <v>111820</v>
      </c>
      <c r="H12" s="521"/>
      <c r="I12" s="468" t="s">
        <v>1169</v>
      </c>
      <c r="J12" s="468" t="s">
        <v>1169</v>
      </c>
      <c r="K12" s="521" t="s">
        <v>1169</v>
      </c>
      <c r="L12" s="347"/>
    </row>
    <row r="13" spans="1:13" ht="15.75" customHeight="1" x14ac:dyDescent="0.2">
      <c r="A13" s="1576" t="s">
        <v>457</v>
      </c>
      <c r="B13" s="1578">
        <v>2000</v>
      </c>
      <c r="C13" s="1743">
        <f>'Expenditures 15-22'!K74</f>
        <v>1555756</v>
      </c>
      <c r="D13" s="1743">
        <f>'Expenditures 15-22'!K129</f>
        <v>234168</v>
      </c>
      <c r="E13" s="469" t="s">
        <v>1169</v>
      </c>
      <c r="F13" s="1743">
        <f>'Expenditures 15-22'!K184</f>
        <v>1006511</v>
      </c>
      <c r="G13" s="1743">
        <f>'Expenditures 15-22'!K279</f>
        <v>158294</v>
      </c>
      <c r="H13" s="1743">
        <f>'Expenditures 15-22'!K303</f>
        <v>244000</v>
      </c>
      <c r="I13" s="468" t="s">
        <v>1169</v>
      </c>
      <c r="J13" s="1743">
        <f>'Expenditures 15-22'!K330</f>
        <v>72882</v>
      </c>
      <c r="K13" s="1747">
        <f>'Expenditures 15-22'!K352</f>
        <v>27262</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258678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354289</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5174217</v>
      </c>
      <c r="D17" s="1688">
        <f t="shared" si="2"/>
        <v>234168</v>
      </c>
      <c r="E17" s="1688">
        <f t="shared" si="2"/>
        <v>354289</v>
      </c>
      <c r="F17" s="1688">
        <f t="shared" si="2"/>
        <v>1006511</v>
      </c>
      <c r="G17" s="1688">
        <f t="shared" si="2"/>
        <v>270114</v>
      </c>
      <c r="H17" s="1688">
        <f t="shared" si="2"/>
        <v>244000</v>
      </c>
      <c r="I17" s="468"/>
      <c r="J17" s="1688">
        <f>SUM(J12:J16)</f>
        <v>72882</v>
      </c>
      <c r="K17" s="1688">
        <f>SUM(K12:K16)</f>
        <v>27262</v>
      </c>
      <c r="L17" s="347"/>
    </row>
    <row r="18" spans="1:12" ht="15" customHeight="1" thickTop="1" x14ac:dyDescent="0.2">
      <c r="A18" s="1744" t="s">
        <v>1654</v>
      </c>
      <c r="B18" s="1745">
        <v>4180</v>
      </c>
      <c r="C18" s="1742">
        <f t="shared" ref="C18:H18" si="3">C9</f>
        <v>1776368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6950585</v>
      </c>
      <c r="D19" s="1688">
        <f t="shared" si="4"/>
        <v>234168</v>
      </c>
      <c r="E19" s="1688">
        <f t="shared" si="4"/>
        <v>354289</v>
      </c>
      <c r="F19" s="1688">
        <f t="shared" si="4"/>
        <v>1006511</v>
      </c>
      <c r="G19" s="1688">
        <f t="shared" si="4"/>
        <v>270114</v>
      </c>
      <c r="H19" s="1688">
        <f t="shared" si="4"/>
        <v>244000</v>
      </c>
      <c r="I19" s="468"/>
      <c r="J19" s="1688">
        <f>SUM(J17:J18)</f>
        <v>72882</v>
      </c>
      <c r="K19" s="1688">
        <f>SUM(K17:K18)</f>
        <v>27262</v>
      </c>
      <c r="L19" s="347"/>
    </row>
    <row r="20" spans="1:12" ht="16.5" thickTop="1" thickBot="1" x14ac:dyDescent="0.25">
      <c r="A20" s="2146" t="s">
        <v>1655</v>
      </c>
      <c r="B20" s="2147"/>
      <c r="C20" s="1746">
        <f>C8-C17</f>
        <v>308853</v>
      </c>
      <c r="D20" s="1746">
        <f t="shared" ref="D20:K20" si="5">D8-D17</f>
        <v>6350</v>
      </c>
      <c r="E20" s="1746">
        <f t="shared" si="5"/>
        <v>5729</v>
      </c>
      <c r="F20" s="1746">
        <f t="shared" si="5"/>
        <v>-541650</v>
      </c>
      <c r="G20" s="1746">
        <f t="shared" si="5"/>
        <v>51427</v>
      </c>
      <c r="H20" s="1746">
        <f t="shared" si="5"/>
        <v>-77544</v>
      </c>
      <c r="I20" s="1746">
        <f t="shared" si="5"/>
        <v>11693</v>
      </c>
      <c r="J20" s="1746">
        <f t="shared" si="5"/>
        <v>25183</v>
      </c>
      <c r="K20" s="1746">
        <f t="shared" si="5"/>
        <v>-7303</v>
      </c>
      <c r="L20" s="347"/>
    </row>
    <row r="21" spans="1:12" ht="16.7" customHeight="1" thickTop="1" x14ac:dyDescent="0.2">
      <c r="A21" s="2158" t="s">
        <v>595</v>
      </c>
      <c r="B21" s="2159"/>
      <c r="C21" s="1570"/>
      <c r="D21" s="1571"/>
      <c r="E21" s="1571"/>
      <c r="F21" s="1571"/>
      <c r="G21" s="1571"/>
      <c r="H21" s="1571"/>
      <c r="I21" s="1571"/>
      <c r="J21" s="1571"/>
      <c r="K21" s="1572"/>
      <c r="L21" s="524"/>
    </row>
    <row r="22" spans="1:12" ht="15.75" customHeight="1" collapsed="1" x14ac:dyDescent="0.2">
      <c r="A22" s="2154" t="s">
        <v>596</v>
      </c>
      <c r="B22" s="2155"/>
      <c r="C22" s="477"/>
      <c r="D22" s="477"/>
      <c r="E22" s="477"/>
      <c r="F22" s="477"/>
      <c r="G22" s="477"/>
      <c r="H22" s="477"/>
      <c r="I22" s="477"/>
      <c r="J22" s="477"/>
      <c r="K22" s="477"/>
      <c r="L22" s="347"/>
    </row>
    <row r="23" spans="1:12" s="485" customFormat="1" ht="15.75" customHeight="1" x14ac:dyDescent="0.2">
      <c r="A23" s="2150" t="s">
        <v>293</v>
      </c>
      <c r="B23" s="215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1788</v>
      </c>
      <c r="B30" s="527">
        <v>7160</v>
      </c>
      <c r="C30" s="477"/>
      <c r="D30" s="467"/>
      <c r="E30" s="477"/>
      <c r="F30" s="477"/>
      <c r="G30" s="477"/>
      <c r="H30" s="477"/>
      <c r="I30" s="477"/>
      <c r="J30" s="477"/>
      <c r="K30" s="477"/>
      <c r="L30" s="524"/>
    </row>
    <row r="31" spans="1:12" s="485" customFormat="1" ht="26.25" x14ac:dyDescent="0.2">
      <c r="A31" s="1489" t="s">
        <v>1792</v>
      </c>
      <c r="B31" s="527">
        <v>7170</v>
      </c>
      <c r="C31" s="477"/>
      <c r="D31" s="477"/>
      <c r="E31" s="474"/>
      <c r="F31" s="477"/>
      <c r="G31" s="477"/>
      <c r="H31" s="477"/>
      <c r="I31" s="477"/>
      <c r="J31" s="477"/>
      <c r="K31" s="477"/>
      <c r="L31" s="524"/>
    </row>
    <row r="32" spans="1:12" s="485" customFormat="1" ht="15.75" customHeight="1" x14ac:dyDescent="0.2">
      <c r="A32" s="2152" t="s">
        <v>981</v>
      </c>
      <c r="B32" s="2153"/>
      <c r="C32" s="477"/>
      <c r="D32" s="477"/>
      <c r="E32" s="475"/>
      <c r="F32" s="477"/>
      <c r="G32" s="477"/>
      <c r="H32" s="477"/>
      <c r="I32" s="477"/>
      <c r="J32" s="477"/>
      <c r="K32" s="477"/>
      <c r="L32" s="524"/>
    </row>
    <row r="33" spans="1:12" s="485" customFormat="1" x14ac:dyDescent="0.2">
      <c r="A33" s="1489" t="s">
        <v>412</v>
      </c>
      <c r="B33" s="525">
        <v>7210</v>
      </c>
      <c r="C33" s="467"/>
      <c r="D33" s="467"/>
      <c r="E33" s="467"/>
      <c r="F33" s="467">
        <v>549710</v>
      </c>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60" t="s">
        <v>374</v>
      </c>
      <c r="B44" s="2161"/>
      <c r="C44" s="1703">
        <f>SUM(C24:C43)</f>
        <v>0</v>
      </c>
      <c r="D44" s="1703">
        <f t="shared" ref="D44:K44" si="6">SUM(D24:D43)</f>
        <v>0</v>
      </c>
      <c r="E44" s="1703">
        <f t="shared" si="6"/>
        <v>0</v>
      </c>
      <c r="F44" s="1703">
        <f t="shared" si="6"/>
        <v>549710</v>
      </c>
      <c r="G44" s="1703">
        <f t="shared" si="6"/>
        <v>0</v>
      </c>
      <c r="H44" s="1703">
        <f t="shared" si="6"/>
        <v>0</v>
      </c>
      <c r="I44" s="1703">
        <f t="shared" si="6"/>
        <v>0</v>
      </c>
      <c r="J44" s="1703">
        <f t="shared" si="6"/>
        <v>0</v>
      </c>
      <c r="K44" s="1703">
        <f t="shared" si="6"/>
        <v>0</v>
      </c>
      <c r="L44" s="524"/>
    </row>
    <row r="45" spans="1:12" ht="15.75" customHeight="1" thickTop="1" x14ac:dyDescent="0.2">
      <c r="A45" s="2154" t="s">
        <v>108</v>
      </c>
      <c r="B45" s="2155"/>
      <c r="C45" s="528"/>
      <c r="D45" s="528"/>
      <c r="E45" s="528"/>
      <c r="F45" s="528"/>
      <c r="G45" s="528"/>
      <c r="H45" s="528"/>
      <c r="I45" s="528"/>
      <c r="J45" s="528"/>
      <c r="K45" s="528"/>
      <c r="L45" s="347"/>
    </row>
    <row r="46" spans="1:12" s="485" customFormat="1" ht="15.75" customHeight="1" x14ac:dyDescent="0.2">
      <c r="A46" s="2162" t="s">
        <v>109</v>
      </c>
      <c r="B46" s="216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1791</v>
      </c>
      <c r="B52" s="483">
        <v>8160</v>
      </c>
      <c r="C52" s="477"/>
      <c r="D52" s="477"/>
      <c r="E52" s="477"/>
      <c r="F52" s="477"/>
      <c r="G52" s="477"/>
      <c r="H52" s="477"/>
      <c r="I52" s="477"/>
      <c r="J52" s="477"/>
      <c r="K52" s="1743">
        <f>D30</f>
        <v>0</v>
      </c>
      <c r="L52" s="524"/>
    </row>
    <row r="53" spans="1:12" s="485" customFormat="1" ht="26.25" x14ac:dyDescent="0.2">
      <c r="A53" s="1490" t="s">
        <v>1790</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36" t="s">
        <v>440</v>
      </c>
      <c r="B76" s="213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38" t="s">
        <v>1177</v>
      </c>
      <c r="B77" s="2139"/>
      <c r="C77" s="1703">
        <f t="shared" ref="C77:K77" si="8">C44-C76</f>
        <v>0</v>
      </c>
      <c r="D77" s="1703">
        <f t="shared" si="8"/>
        <v>0</v>
      </c>
      <c r="E77" s="1703">
        <f t="shared" si="8"/>
        <v>0</v>
      </c>
      <c r="F77" s="1703">
        <f t="shared" si="8"/>
        <v>549710</v>
      </c>
      <c r="G77" s="1703">
        <f t="shared" si="8"/>
        <v>0</v>
      </c>
      <c r="H77" s="1703">
        <f t="shared" si="8"/>
        <v>0</v>
      </c>
      <c r="I77" s="1703">
        <f t="shared" si="8"/>
        <v>0</v>
      </c>
      <c r="J77" s="1703">
        <f t="shared" si="8"/>
        <v>0</v>
      </c>
      <c r="K77" s="1703">
        <f t="shared" si="8"/>
        <v>0</v>
      </c>
      <c r="L77" s="347"/>
    </row>
    <row r="78" spans="1:12" ht="21.75" customHeight="1" thickTop="1" thickBot="1" x14ac:dyDescent="0.25">
      <c r="A78" s="2142" t="s">
        <v>597</v>
      </c>
      <c r="B78" s="2143"/>
      <c r="C78" s="1702">
        <f t="shared" ref="C78:K78" si="9">C20+C77</f>
        <v>308853</v>
      </c>
      <c r="D78" s="1702">
        <f t="shared" si="9"/>
        <v>6350</v>
      </c>
      <c r="E78" s="1702">
        <f t="shared" si="9"/>
        <v>5729</v>
      </c>
      <c r="F78" s="1702">
        <f t="shared" si="9"/>
        <v>8060</v>
      </c>
      <c r="G78" s="1702">
        <f t="shared" si="9"/>
        <v>51427</v>
      </c>
      <c r="H78" s="1702">
        <f t="shared" si="9"/>
        <v>-77544</v>
      </c>
      <c r="I78" s="1702">
        <f t="shared" si="9"/>
        <v>11693</v>
      </c>
      <c r="J78" s="1702">
        <f t="shared" si="9"/>
        <v>25183</v>
      </c>
      <c r="K78" s="1702">
        <f t="shared" si="9"/>
        <v>-7303</v>
      </c>
      <c r="L78" s="533"/>
    </row>
    <row r="79" spans="1:12" ht="13.5" thickTop="1" x14ac:dyDescent="0.2">
      <c r="A79" s="1494" t="s">
        <v>1942</v>
      </c>
      <c r="B79" s="534"/>
      <c r="C79" s="478">
        <v>1153670</v>
      </c>
      <c r="D79" s="535">
        <v>245991</v>
      </c>
      <c r="E79" s="535">
        <v>21645</v>
      </c>
      <c r="F79" s="535">
        <v>-47320</v>
      </c>
      <c r="G79" s="535">
        <v>7591</v>
      </c>
      <c r="H79" s="535">
        <v>325099</v>
      </c>
      <c r="I79" s="535">
        <v>810768</v>
      </c>
      <c r="J79" s="535">
        <v>17558</v>
      </c>
      <c r="K79" s="535">
        <v>69658</v>
      </c>
      <c r="L79" s="347"/>
    </row>
    <row r="80" spans="1:12" x14ac:dyDescent="0.2">
      <c r="A80" s="2148" t="s">
        <v>1789</v>
      </c>
      <c r="B80" s="2149"/>
      <c r="C80" s="467"/>
      <c r="D80" s="467"/>
      <c r="E80" s="467"/>
      <c r="F80" s="467"/>
      <c r="G80" s="467"/>
      <c r="H80" s="467"/>
      <c r="I80" s="467"/>
      <c r="J80" s="467"/>
      <c r="K80" s="467"/>
      <c r="L80" s="347"/>
    </row>
    <row r="81" spans="1:12" ht="13.5" thickBot="1" x14ac:dyDescent="0.25">
      <c r="A81" s="2140" t="s">
        <v>1943</v>
      </c>
      <c r="B81" s="2141"/>
      <c r="C81" s="1688">
        <f>(SUM(C78:C80))</f>
        <v>1462523</v>
      </c>
      <c r="D81" s="1688">
        <f>SUM(D78:D80)</f>
        <v>252341</v>
      </c>
      <c r="E81" s="1688">
        <f t="shared" ref="E81:K81" si="10">SUM(E78:E80)</f>
        <v>27374</v>
      </c>
      <c r="F81" s="1688">
        <f t="shared" si="10"/>
        <v>-39260</v>
      </c>
      <c r="G81" s="1688">
        <f t="shared" si="10"/>
        <v>59018</v>
      </c>
      <c r="H81" s="1688">
        <f t="shared" si="10"/>
        <v>247555</v>
      </c>
      <c r="I81" s="1688">
        <f t="shared" si="10"/>
        <v>822461</v>
      </c>
      <c r="J81" s="1688">
        <f t="shared" si="10"/>
        <v>42741</v>
      </c>
      <c r="K81" s="1688">
        <f t="shared" si="10"/>
        <v>62355</v>
      </c>
      <c r="L81" s="347"/>
    </row>
    <row r="82" spans="1:12" ht="0.75" customHeight="1" thickTop="1" thickBot="1" x14ac:dyDescent="0.25">
      <c r="A82" s="536" t="s">
        <v>343</v>
      </c>
      <c r="B82" s="537"/>
      <c r="C82" s="538">
        <f>(C81-C79)</f>
        <v>308853</v>
      </c>
      <c r="D82" s="538">
        <f t="shared" ref="D82:K82" si="11">(D81-D79)</f>
        <v>6350</v>
      </c>
      <c r="E82" s="538">
        <f t="shared" si="11"/>
        <v>5729</v>
      </c>
      <c r="F82" s="538">
        <f t="shared" si="11"/>
        <v>8060</v>
      </c>
      <c r="G82" s="538">
        <f t="shared" si="11"/>
        <v>51427</v>
      </c>
      <c r="H82" s="538">
        <f t="shared" si="11"/>
        <v>-77544</v>
      </c>
      <c r="I82" s="538">
        <f t="shared" si="11"/>
        <v>11693</v>
      </c>
      <c r="J82" s="538">
        <f t="shared" si="11"/>
        <v>25183</v>
      </c>
      <c r="K82" s="538">
        <f t="shared" si="11"/>
        <v>-7303</v>
      </c>
    </row>
    <row r="83" spans="1:12" ht="14.25" hidden="1" thickTop="1" thickBot="1" x14ac:dyDescent="0.25">
      <c r="A83" s="539" t="s">
        <v>344</v>
      </c>
      <c r="B83" s="464"/>
      <c r="C83" s="540">
        <f>C82/C81</f>
        <v>0.2111782173682055</v>
      </c>
      <c r="D83" s="540">
        <f t="shared" ref="D83:K83" si="12">D82/D81</f>
        <v>2.516436092430481E-2</v>
      </c>
      <c r="E83" s="540">
        <f t="shared" si="12"/>
        <v>0.20928618397019069</v>
      </c>
      <c r="F83" s="540">
        <f t="shared" si="12"/>
        <v>-0.20529801324503311</v>
      </c>
      <c r="G83" s="540">
        <f t="shared" si="12"/>
        <v>0.87137822359280215</v>
      </c>
      <c r="H83" s="540">
        <f t="shared" si="12"/>
        <v>-0.31323948213528308</v>
      </c>
      <c r="I83" s="540">
        <f t="shared" si="12"/>
        <v>1.4217087497157921E-2</v>
      </c>
      <c r="J83" s="540">
        <f t="shared" si="12"/>
        <v>0.58920006551086779</v>
      </c>
      <c r="K83" s="540">
        <f t="shared" si="12"/>
        <v>-0.11711971774516879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110" zoomScaleNormal="110" zoomScaleSheetLayoutView="75" workbookViewId="0">
      <pane ySplit="2" topLeftCell="A124" activePane="bottomLeft" state="frozen"/>
      <selection pane="bottomLeft" activeCell="C264" sqref="C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4" t="s">
        <v>1796</v>
      </c>
      <c r="B1" s="452"/>
      <c r="C1" s="453" t="s">
        <v>425</v>
      </c>
      <c r="D1" s="453" t="s">
        <v>426</v>
      </c>
      <c r="E1" s="453" t="s">
        <v>427</v>
      </c>
      <c r="F1" s="453" t="s">
        <v>428</v>
      </c>
      <c r="G1" s="453" t="s">
        <v>429</v>
      </c>
      <c r="H1" s="453" t="s">
        <v>430</v>
      </c>
      <c r="I1" s="453" t="s">
        <v>431</v>
      </c>
      <c r="J1" s="453" t="s">
        <v>432</v>
      </c>
      <c r="K1" s="453" t="s">
        <v>756</v>
      </c>
    </row>
    <row r="2" spans="1:12" ht="36" x14ac:dyDescent="0.2">
      <c r="A2" s="214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900084</v>
      </c>
      <c r="D5" s="481">
        <v>184485</v>
      </c>
      <c r="E5" s="466">
        <v>180463</v>
      </c>
      <c r="F5" s="548">
        <v>103127</v>
      </c>
      <c r="G5" s="466">
        <v>159552</v>
      </c>
      <c r="H5" s="466"/>
      <c r="I5" s="466">
        <v>11687</v>
      </c>
      <c r="J5" s="467">
        <v>98008</v>
      </c>
      <c r="K5" s="466">
        <v>19947</v>
      </c>
    </row>
    <row r="6" spans="1:12" ht="15" x14ac:dyDescent="0.2">
      <c r="A6" s="463" t="s">
        <v>1662</v>
      </c>
      <c r="B6" s="470">
        <v>1130</v>
      </c>
      <c r="C6" s="466"/>
      <c r="D6" s="466"/>
      <c r="E6" s="475"/>
      <c r="F6" s="475"/>
      <c r="G6" s="468"/>
      <c r="H6" s="468"/>
      <c r="I6" s="468"/>
      <c r="J6" s="468"/>
      <c r="K6" s="468"/>
    </row>
    <row r="7" spans="1:12" x14ac:dyDescent="0.2">
      <c r="A7" s="463" t="s">
        <v>110</v>
      </c>
      <c r="B7" s="549">
        <v>1140</v>
      </c>
      <c r="C7" s="466">
        <v>20619</v>
      </c>
      <c r="D7" s="466"/>
      <c r="E7" s="468"/>
      <c r="F7" s="467"/>
      <c r="G7" s="467"/>
      <c r="H7" s="467"/>
      <c r="I7" s="468"/>
      <c r="J7" s="468"/>
      <c r="K7" s="468"/>
    </row>
    <row r="8" spans="1:12" x14ac:dyDescent="0.2">
      <c r="A8" s="463" t="s">
        <v>413</v>
      </c>
      <c r="B8" s="470">
        <v>1150</v>
      </c>
      <c r="C8" s="475"/>
      <c r="D8" s="475"/>
      <c r="E8" s="477"/>
      <c r="F8" s="477"/>
      <c r="G8" s="481">
        <v>124653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920703</v>
      </c>
      <c r="D12" s="1707">
        <f t="shared" si="0"/>
        <v>184485</v>
      </c>
      <c r="E12" s="1707">
        <f t="shared" si="0"/>
        <v>180463</v>
      </c>
      <c r="F12" s="1707">
        <f t="shared" si="0"/>
        <v>103127</v>
      </c>
      <c r="G12" s="1707">
        <f t="shared" si="0"/>
        <v>284205</v>
      </c>
      <c r="H12" s="1707">
        <f t="shared" si="0"/>
        <v>0</v>
      </c>
      <c r="I12" s="1707">
        <f t="shared" si="0"/>
        <v>11687</v>
      </c>
      <c r="J12" s="1707">
        <f t="shared" si="0"/>
        <v>98008</v>
      </c>
      <c r="K12" s="1688">
        <f t="shared" si="0"/>
        <v>19947</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522</v>
      </c>
      <c r="D14" s="466">
        <v>105</v>
      </c>
      <c r="E14" s="466">
        <v>102</v>
      </c>
      <c r="F14" s="466">
        <v>60</v>
      </c>
      <c r="G14" s="466">
        <v>161</v>
      </c>
      <c r="H14" s="466"/>
      <c r="I14" s="466">
        <v>6</v>
      </c>
      <c r="J14" s="467">
        <v>57</v>
      </c>
      <c r="K14" s="466">
        <v>12</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46533</v>
      </c>
      <c r="E16" s="466"/>
      <c r="F16" s="466">
        <v>36490</v>
      </c>
      <c r="G16" s="466">
        <v>37175</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522</v>
      </c>
      <c r="D18" s="1710">
        <f t="shared" ref="D18:K18" si="1">SUM(D14:D17)</f>
        <v>46638</v>
      </c>
      <c r="E18" s="1710">
        <f t="shared" si="1"/>
        <v>102</v>
      </c>
      <c r="F18" s="1710">
        <f t="shared" si="1"/>
        <v>36550</v>
      </c>
      <c r="G18" s="1710">
        <f t="shared" si="1"/>
        <v>37336</v>
      </c>
      <c r="H18" s="1710">
        <f t="shared" si="1"/>
        <v>0</v>
      </c>
      <c r="I18" s="1710">
        <f t="shared" si="1"/>
        <v>6</v>
      </c>
      <c r="J18" s="1710">
        <f t="shared" si="1"/>
        <v>57</v>
      </c>
      <c r="K18" s="1711">
        <f t="shared" si="1"/>
        <v>12</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v>2300</v>
      </c>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2300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778</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778</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f>35543+7290+1023</f>
        <v>43856</v>
      </c>
      <c r="D69" s="468"/>
      <c r="E69" s="468"/>
      <c r="F69" s="468"/>
      <c r="G69" s="468"/>
      <c r="H69" s="468"/>
      <c r="I69" s="468"/>
      <c r="J69" s="468"/>
      <c r="K69" s="468"/>
    </row>
    <row r="70" spans="1:11" ht="12.75" customHeight="1" x14ac:dyDescent="0.2">
      <c r="A70" s="463" t="s">
        <v>997</v>
      </c>
      <c r="B70" s="470">
        <v>1612</v>
      </c>
      <c r="C70" s="551">
        <f>112+1285+111</f>
        <v>1508</v>
      </c>
      <c r="D70" s="468"/>
      <c r="E70" s="468"/>
      <c r="F70" s="468"/>
      <c r="G70" s="468"/>
      <c r="H70" s="468"/>
      <c r="I70" s="468"/>
      <c r="J70" s="468"/>
      <c r="K70" s="468"/>
    </row>
    <row r="71" spans="1:11" ht="12.75" customHeight="1" x14ac:dyDescent="0.2">
      <c r="A71" s="463" t="s">
        <v>273</v>
      </c>
      <c r="B71" s="470">
        <v>1613</v>
      </c>
      <c r="C71" s="551">
        <f>1299+1022+3</f>
        <v>2324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f>3208+1365+169</f>
        <v>4742</v>
      </c>
      <c r="D73" s="468"/>
      <c r="E73" s="468"/>
      <c r="F73" s="468"/>
      <c r="G73" s="468"/>
      <c r="H73" s="468"/>
      <c r="I73" s="468"/>
      <c r="J73" s="468"/>
      <c r="K73" s="468"/>
    </row>
    <row r="74" spans="1:11" ht="12.75" customHeight="1" x14ac:dyDescent="0.2">
      <c r="A74" s="463" t="s">
        <v>25</v>
      </c>
      <c r="B74" s="470">
        <v>1690</v>
      </c>
      <c r="C74" s="551">
        <v>64905</v>
      </c>
      <c r="D74" s="468"/>
      <c r="E74" s="468"/>
      <c r="F74" s="468"/>
      <c r="G74" s="468"/>
      <c r="H74" s="468"/>
      <c r="I74" s="468"/>
      <c r="J74" s="468"/>
      <c r="K74" s="468"/>
    </row>
    <row r="75" spans="1:11" ht="12.75" customHeight="1" thickBot="1" x14ac:dyDescent="0.25">
      <c r="A75" s="1708" t="s">
        <v>548</v>
      </c>
      <c r="B75" s="1709"/>
      <c r="C75" s="1688">
        <f>SUM(C69:C74)</f>
        <v>117335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16524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14650</v>
      </c>
      <c r="D81" s="466"/>
      <c r="E81" s="468"/>
      <c r="F81" s="468"/>
      <c r="G81" s="468"/>
      <c r="H81" s="468"/>
      <c r="I81" s="468"/>
      <c r="J81" s="468"/>
      <c r="K81" s="468"/>
    </row>
    <row r="82" spans="1:11" ht="12.75" customHeight="1" thickBot="1" x14ac:dyDescent="0.25">
      <c r="A82" s="1708" t="s">
        <v>241</v>
      </c>
      <c r="B82" s="1709"/>
      <c r="C82" s="1707">
        <f>SUM(C77:C81)</f>
        <v>31174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13710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13710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17273</v>
      </c>
      <c r="D96" s="551">
        <v>9395</v>
      </c>
      <c r="E96" s="479"/>
      <c r="F96" s="478"/>
      <c r="G96" s="478"/>
      <c r="H96" s="478">
        <f>16846-5000</f>
        <v>11846</v>
      </c>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325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179453</v>
      </c>
      <c r="F103" s="468"/>
      <c r="G103" s="468"/>
      <c r="H103" s="489">
        <f>68657+80953</f>
        <v>149610</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v>145</v>
      </c>
      <c r="D105" s="561"/>
      <c r="E105" s="468"/>
      <c r="F105" s="468"/>
      <c r="G105" s="468"/>
      <c r="H105" s="510"/>
      <c r="I105" s="468"/>
      <c r="J105" s="468"/>
      <c r="K105" s="468"/>
    </row>
    <row r="106" spans="1:12" ht="12.75" customHeight="1" x14ac:dyDescent="0.2">
      <c r="A106" s="463" t="s">
        <v>1430</v>
      </c>
      <c r="B106" s="470">
        <v>1993</v>
      </c>
      <c r="C106" s="466">
        <v>865</v>
      </c>
      <c r="D106" s="489"/>
      <c r="E106" s="467"/>
      <c r="F106" s="467"/>
      <c r="G106" s="467"/>
      <c r="H106" s="467"/>
      <c r="I106" s="521"/>
      <c r="J106" s="467"/>
      <c r="K106" s="467"/>
    </row>
    <row r="107" spans="1:12" ht="12.75" customHeight="1" x14ac:dyDescent="0.2">
      <c r="A107" s="463" t="s">
        <v>78</v>
      </c>
      <c r="B107" s="470">
        <v>1999</v>
      </c>
      <c r="C107" s="551">
        <f>14250+19209</f>
        <v>33459</v>
      </c>
      <c r="D107" s="466"/>
      <c r="E107" s="466"/>
      <c r="F107" s="466">
        <v>54</v>
      </c>
      <c r="G107" s="466"/>
      <c r="H107" s="466"/>
      <c r="I107" s="466"/>
      <c r="J107" s="467"/>
      <c r="K107" s="466"/>
    </row>
    <row r="108" spans="1:12" ht="12.75" customHeight="1" thickBot="1" x14ac:dyDescent="0.25">
      <c r="A108" s="1708" t="s">
        <v>487</v>
      </c>
      <c r="B108" s="1712"/>
      <c r="C108" s="1707">
        <f>SUM(C95:C107)</f>
        <v>52067</v>
      </c>
      <c r="D108" s="1707">
        <f t="shared" ref="D108:K108" si="3">SUM(D95:D107)</f>
        <v>9395</v>
      </c>
      <c r="E108" s="1707">
        <f t="shared" si="3"/>
        <v>179453</v>
      </c>
      <c r="F108" s="1707">
        <f t="shared" si="3"/>
        <v>54</v>
      </c>
      <c r="G108" s="1707">
        <f t="shared" si="3"/>
        <v>0</v>
      </c>
      <c r="H108" s="1707">
        <f t="shared" si="3"/>
        <v>161456</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1138589</v>
      </c>
      <c r="D109" s="1715">
        <f t="shared" si="4"/>
        <v>240518</v>
      </c>
      <c r="E109" s="1715">
        <f t="shared" si="4"/>
        <v>360018</v>
      </c>
      <c r="F109" s="1715">
        <f t="shared" si="4"/>
        <v>139731</v>
      </c>
      <c r="G109" s="1715">
        <f t="shared" si="4"/>
        <v>321541</v>
      </c>
      <c r="H109" s="1715">
        <f t="shared" si="4"/>
        <v>161456</v>
      </c>
      <c r="I109" s="1715">
        <f t="shared" si="4"/>
        <v>11693</v>
      </c>
      <c r="J109" s="1715">
        <f t="shared" si="4"/>
        <v>98065</v>
      </c>
      <c r="K109" s="1702">
        <f t="shared" si="4"/>
        <v>19959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3588218</v>
      </c>
      <c r="D117" s="481"/>
      <c r="E117" s="466"/>
      <c r="F117" s="481"/>
      <c r="G117" s="481"/>
      <c r="H117" s="466"/>
      <c r="I117" s="468"/>
      <c r="J117" s="467"/>
      <c r="K117" s="466"/>
    </row>
    <row r="118" spans="1:11" ht="12.75" customHeight="1" x14ac:dyDescent="0.2">
      <c r="A118" s="463" t="s">
        <v>1793</v>
      </c>
      <c r="B118" s="562">
        <v>3002</v>
      </c>
      <c r="C118" s="551"/>
      <c r="D118" s="466"/>
      <c r="E118" s="466"/>
      <c r="F118" s="466"/>
      <c r="G118" s="466"/>
      <c r="H118" s="466"/>
      <c r="I118" s="468"/>
      <c r="J118" s="467"/>
      <c r="K118" s="466"/>
    </row>
    <row r="119" spans="1:11" ht="12.75" customHeight="1" x14ac:dyDescent="0.2">
      <c r="A119" s="463" t="s">
        <v>1794</v>
      </c>
      <c r="B119" s="562">
        <v>3005</v>
      </c>
      <c r="C119" s="551"/>
      <c r="D119" s="466"/>
      <c r="E119" s="466"/>
      <c r="F119" s="466"/>
      <c r="G119" s="466"/>
      <c r="H119" s="466"/>
      <c r="I119" s="468"/>
      <c r="J119" s="467"/>
      <c r="K119" s="466"/>
    </row>
    <row r="120" spans="1:11" ht="12.75" customHeight="1" x14ac:dyDescent="0.2">
      <c r="A120" s="1930" t="s">
        <v>1929</v>
      </c>
      <c r="B120" s="562">
        <v>3030</v>
      </c>
      <c r="C120" s="551"/>
      <c r="D120" s="466"/>
      <c r="E120" s="466"/>
      <c r="F120" s="466"/>
      <c r="G120" s="466"/>
      <c r="H120" s="466"/>
      <c r="I120" s="468"/>
      <c r="J120" s="467"/>
      <c r="K120" s="466"/>
    </row>
    <row r="121" spans="1:11" x14ac:dyDescent="0.2">
      <c r="A121" s="1496" t="s">
        <v>1795</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3588218</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2089</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2089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7863</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17530</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25393</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2933</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10538</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221301</v>
      </c>
      <c r="G152" s="467"/>
      <c r="H152" s="468"/>
      <c r="I152" s="468"/>
      <c r="J152" s="468"/>
      <c r="K152" s="468"/>
    </row>
    <row r="153" spans="1:11" ht="12.75" customHeight="1" x14ac:dyDescent="0.2">
      <c r="A153" s="463" t="s">
        <v>1057</v>
      </c>
      <c r="B153" s="562">
        <v>3510</v>
      </c>
      <c r="C153" s="551"/>
      <c r="D153" s="466"/>
      <c r="E153" s="561"/>
      <c r="F153" s="466">
        <v>103829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325130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292302</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v>5000</v>
      </c>
      <c r="I168" s="581"/>
      <c r="J168" s="581"/>
      <c r="K168" s="582"/>
    </row>
    <row r="169" spans="1:11" ht="12.75" customHeight="1" thickTop="1" thickBot="1" x14ac:dyDescent="0.25">
      <c r="A169" s="2164" t="s">
        <v>398</v>
      </c>
      <c r="B169" s="2165"/>
      <c r="C169" s="1722">
        <f t="shared" ref="C169:K169" si="6">SUM(C132,C141,C145,C146:C150,C155,C156:C167,C168)</f>
        <v>333255</v>
      </c>
      <c r="D169" s="1722">
        <f t="shared" si="6"/>
        <v>0</v>
      </c>
      <c r="E169" s="1722">
        <f t="shared" si="6"/>
        <v>0</v>
      </c>
      <c r="F169" s="1722">
        <f t="shared" si="6"/>
        <v>325130</v>
      </c>
      <c r="G169" s="1722">
        <f t="shared" si="6"/>
        <v>0</v>
      </c>
      <c r="H169" s="1722">
        <f t="shared" si="6"/>
        <v>5000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3921473</v>
      </c>
      <c r="D170" s="1715">
        <f t="shared" si="7"/>
        <v>0</v>
      </c>
      <c r="E170" s="1715">
        <f t="shared" si="7"/>
        <v>0</v>
      </c>
      <c r="F170" s="1715">
        <f t="shared" si="7"/>
        <v>325130</v>
      </c>
      <c r="G170" s="1715">
        <f t="shared" si="7"/>
        <v>0</v>
      </c>
      <c r="H170" s="1715">
        <f t="shared" si="7"/>
        <v>5000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66" t="s">
        <v>1492</v>
      </c>
      <c r="B172" s="216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70" t="s">
        <v>1665</v>
      </c>
      <c r="B175" s="217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74" t="s">
        <v>1664</v>
      </c>
      <c r="B176" s="217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72" t="s">
        <v>785</v>
      </c>
      <c r="B181" s="217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68" t="s">
        <v>1797</v>
      </c>
      <c r="B182" s="216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115401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41935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157336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159697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159697</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10000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10000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44422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1930</v>
      </c>
      <c r="B261" s="470">
        <v>4981</v>
      </c>
      <c r="C261" s="575"/>
      <c r="D261" s="576"/>
      <c r="E261" s="468"/>
      <c r="F261" s="576"/>
      <c r="G261" s="576"/>
      <c r="H261" s="468"/>
      <c r="I261" s="468"/>
      <c r="J261" s="468"/>
      <c r="K261" s="468"/>
    </row>
    <row r="262" spans="1:11" ht="12.75" customHeight="1" thickTop="1" thickBot="1" x14ac:dyDescent="0.25">
      <c r="A262" s="1931" t="s">
        <v>1931</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6729</v>
      </c>
      <c r="D263" s="576"/>
      <c r="E263" s="468"/>
      <c r="F263" s="576"/>
      <c r="G263" s="576"/>
      <c r="H263" s="468"/>
      <c r="I263" s="468"/>
      <c r="J263" s="468"/>
      <c r="K263" s="468"/>
    </row>
    <row r="264" spans="1:11" ht="12.75" customHeight="1" thickTop="1" thickBot="1" x14ac:dyDescent="0.25">
      <c r="A264" s="463" t="s">
        <v>377</v>
      </c>
      <c r="B264" s="470">
        <v>4992</v>
      </c>
      <c r="C264" s="575">
        <f>51553-6729</f>
        <v>44824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423008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423008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5483070</v>
      </c>
      <c r="D268" s="1715">
        <f t="shared" si="12"/>
        <v>240518</v>
      </c>
      <c r="E268" s="1715">
        <f t="shared" si="12"/>
        <v>360018</v>
      </c>
      <c r="F268" s="1715">
        <f t="shared" si="12"/>
        <v>464861</v>
      </c>
      <c r="G268" s="1715">
        <f t="shared" si="12"/>
        <v>321541</v>
      </c>
      <c r="H268" s="1715">
        <f t="shared" si="12"/>
        <v>166456</v>
      </c>
      <c r="I268" s="1715">
        <f t="shared" si="12"/>
        <v>11693</v>
      </c>
      <c r="J268" s="1715">
        <f t="shared" si="12"/>
        <v>98065</v>
      </c>
      <c r="K268" s="1702">
        <f t="shared" si="12"/>
        <v>19959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elements/1.1/"/>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4d435f69-8686-490b-bd6d-b153bf22ab50"/>
    <ds:schemaRef ds:uri="6ce3111e-7420-4802-b50a-75d4e9a0b980"/>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AUDITCHECK</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Sec-2'!Print_Area</vt:lpstr>
      <vt:lpstr>'SF&amp;QC Sec-3'!Print_Area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2019-09-04T22:21:27Z</cp:lastPrinted>
  <dcterms:created xsi:type="dcterms:W3CDTF">2003-10-29T19:06:34Z</dcterms:created>
  <dcterms:modified xsi:type="dcterms:W3CDTF">2019-11-19T19:46:18Z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