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F561CEA-7463-4763-AC59-F6C0A32B662F}" xr6:coauthVersionLast="36" xr6:coauthVersionMax="36" xr10:uidLastSave="{00000000-0000-0000-0000-000000000000}"/>
  <bookViews>
    <workbookView xWindow="-120" yWindow="-120" windowWidth="23280" windowHeight="12600" tabRatio="9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1" i="181"/>
  <c r="F20"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G21" i="181" s="1"/>
  <c r="E20" i="181"/>
  <c r="E19" i="181"/>
  <c r="F19" i="181" s="1"/>
  <c r="F25" i="181" l="1"/>
  <c r="G25" i="181" s="1"/>
  <c r="F24" i="181"/>
  <c r="G24" i="181" s="1"/>
  <c r="F23" i="181"/>
  <c r="G23" i="181" s="1"/>
  <c r="F22" i="181"/>
  <c r="G22" i="181" s="1"/>
  <c r="G44" i="18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13" i="11" l="1"/>
  <c r="B2060" i="106" s="1"/>
  <c r="D2060" i="106" s="1"/>
  <c r="G210" i="29"/>
  <c r="F77" i="4"/>
  <c r="B3255" i="106" s="1"/>
  <c r="D3255" i="106" s="1"/>
  <c r="C342" i="29"/>
  <c r="B7216" i="106" s="1"/>
  <c r="D7216" i="106" s="1"/>
  <c r="J41" i="3"/>
  <c r="K76" i="4"/>
  <c r="B3586" i="106" s="1"/>
  <c r="D3586" i="106" s="1"/>
  <c r="L367" i="29"/>
  <c r="L5" i="11"/>
  <c r="B2056" i="106" s="1"/>
  <c r="D2056" i="106" s="1"/>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B1365" i="106"/>
  <c r="D1365" i="106" s="1"/>
  <c r="F65" i="34"/>
  <c r="C114" i="29"/>
  <c r="B757" i="106" s="1"/>
  <c r="D757" i="106" s="1"/>
  <c r="B5527" i="106"/>
  <c r="D5527" i="106" s="1"/>
  <c r="K342" i="29"/>
  <c r="F13" i="34" s="1"/>
  <c r="D41" i="108"/>
  <c r="E43" i="108" s="1"/>
  <c r="D7250" i="106"/>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<sst xmlns="http://schemas.openxmlformats.org/spreadsheetml/2006/main" count="5137" uniqueCount="2141">
  <si>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</si>
  <si>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</si>
  <si>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</si>
  <si>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</si>
  <si>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</si>
  <si>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</si>
  <si>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</si>
  <si>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</si>
  <si>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</si>
  <si>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</si>
  <si>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</si>
  <si>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</si>
  <si>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</si>
  <si>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</si>
  <si>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</si>
  <si>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</si>
  <si>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</si>
  <si>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</si>
  <si>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</si>
  <si>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</si>
  <si>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</si>
  <si>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</si>
  <si>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</si>
  <si>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</si>
  <si>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</si>
  <si>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</si>
  <si>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</si>
  <si>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</si>
  <si>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</si>
  <si>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</si>
  <si>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</si>
  <si>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</si>
  <si>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</si>
  <si>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</si>
  <si>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</si>
  <si>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</si>
  <si>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</si>
  <si>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</si>
  <si>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</si>
  <si>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</si>
  <si>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</si>
  <si>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</si>
  <si>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</si>
  <si>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</si>
  <si>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</si>
  <si>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</si>
  <si>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</si>
  <si>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</si>
  <si>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</si>
  <si>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</si>
  <si>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</si>
  <si>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</si>
  <si>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</si>
  <si>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</si>
  <si>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</si>
  <si>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</si>
  <si>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</si>
  <si>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</si>
  <si>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</si>
  <si>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</si>
  <si>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</si>
  <si>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</si>
  <si>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</si>
  <si>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</si>
  <si>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</si>
  <si>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</si>
  <si>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</si>
  <si>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</si>
  <si>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</si>
  <si>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</si>
  <si>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</si>
  <si>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</si>
  <si>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</si>
  <si>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</si>
  <si>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</si>
  <si>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</si>
  <si>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</si>
  <si>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</si>
  <si>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</si>
  <si>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</si>
  <si>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</si>
  <si>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</si>
  <si>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</si>
  <si>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</si>
  <si>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</si>
  <si>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</si>
  <si>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</si>
  <si>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</si>
  <si>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</si>
  <si>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</si>
  <si>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</si>
  <si>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</si>
  <si>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</si>
  <si>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</si>
  <si>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</si>
  <si>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</si>
  <si>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</si>
  <si>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</si>
  <si>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</si>
  <si>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</si>
  <si>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</si>
  <si>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</si>
  <si>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</si>
  <si>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</si>
  <si>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</si>
  <si>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</si>
  <si>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</si>
  <si>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</si>
  <si>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</si>
  <si>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</si>
  <si>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</si>
  <si>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</si>
  <si>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</si>
  <si>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</si>
  <si>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</si>
  <si>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</si>
  <si>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</si>
  <si>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</si>
  <si>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</si>
  <si>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</si>
  <si>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</si>
  <si>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</si>
  <si>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</si>
  <si>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</si>
  <si>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</si>
  <si>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</si>
  <si>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</si>
  <si>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</si>
  <si>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</si>
  <si>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</si>
  <si>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</si>
  <si>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</si>
  <si>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</si>
  <si>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</si>
  <si>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</si>
  <si>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</si>
  <si>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</si>
  <si>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</si>
  <si>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</si>
  <si>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</si>
  <si>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</si>
  <si>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</si>
  <si>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</si>
  <si>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</si>
  <si>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</si>
  <si>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</si>
  <si>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</si>
  <si>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</si>
  <si>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</si>
  <si>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</si>
  <si>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</si>
  <si>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</si>
  <si>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</si>
  <si>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</si>
  <si>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</si>
  <si>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</si>
  <si>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</si>
  <si>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</si>
  <si>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</si>
  <si>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</si>
  <si>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</si>
  <si>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</si>
  <si>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</si>
  <si>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</si>
  <si>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</si>
  <si>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</si>
  <si>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</si>
  <si>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</si>
  <si>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</si>
  <si>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</si>
  <si>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</si>
  <si>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</si>
  <si>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</si>
  <si>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</si>
  <si>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</si>
  <si>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</si>
  <si>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</si>
  <si>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</si>
  <si>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</si>
  <si>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</si>
  <si>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</si>
  <si>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</si>
  <si>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</si>
  <si>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</si>
  <si>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</si>
  <si>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</si>
  <si>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</si>
  <si>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</si>
  <si>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</si>
  <si>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</si>
  <si>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</si>
  <si>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</si>
  <si>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</si>
  <si>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</si>
  <si>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</si>
  <si>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</si>
  <si>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</si>
  <si>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</si>
  <si>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</si>
  <si>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</si>
  <si>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</si>
  <si>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</si>
  <si>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</si>
  <si>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</si>
  <si>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</si>
  <si>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</si>
  <si>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</si>
  <si>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</si>
  <si>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</si>
  <si>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</si>
  <si>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</si>
  <si>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</si>
  <si>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</si>
  <si>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</si>
  <si>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</si>
  <si>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</si>
  <si>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</si>
  <si>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</si>
  <si>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</si>
  <si>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</si>
  <si>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</si>
  <si>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</si>
  <si>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</si>
  <si>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</si>
  <si>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</si>
  <si>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</si>
  <si>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</si>
  <si>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</si>
  <si>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</si>
  <si>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</si>
  <si>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</si>
  <si>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</si>
  <si>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</si>
  <si>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</si>
  <si>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</si>
  <si>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</si>
  <si>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</si>
  <si>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</si>
  <si>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</si>
  <si>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</si>
  <si>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</si>
  <si>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</si>
  <si>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</si>
  <si>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</si>
  <si>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</si>
  <si>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</si>
  <si>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</si>
  <si>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</si>
  <si>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</si>
  <si>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</si>
  <si>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</si>
  <si>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</si>
  <si>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</si>
  <si>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</si>
  <si>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</si>
  <si>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</si>
  <si>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</si>
  <si>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</si>
  <si>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</si>
  <si>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</si>
  <si>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</si>
  <si>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</si>
  <si>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</si>
  <si>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</si>
  <si>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</si>
  <si>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</si>
  <si>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</si>
  <si>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</si>
  <si>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</si>
  <si>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</si>
  <si>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</si>
  <si>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</si>
  <si>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</si>
  <si>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</si>
  <si>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</si>
  <si>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</si>
  <si>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</si>
  <si>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</si>
  <si>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</si>
  <si>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</si>
  <si>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</si>
  <si>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</si>
  <si>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</si>
  <si>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</si>
  <si>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</si>
  <si>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</si>
  <si>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</si>
  <si>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</si>
  <si>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</si>
  <si>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</si>
  <si>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</si>
  <si>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</si>
  <si>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</si>
  <si>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</si>
  <si>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</si>
  <si>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</si>
  <si>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</si>
  <si>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</si>
  <si>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</si>
  <si>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</si>
  <si>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</si>
  <si>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</si>
  <si>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</si>
  <si>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</si>
  <si>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</si>
  <si>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</si>
  <si>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</si>
  <si>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</si>
  <si>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</si>
  <si>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</si>
  <si>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</si>
  <si>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</si>
  <si>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</si>
  <si>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</si>
  <si>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</si>
  <si>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</si>
  <si>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</si>
  <si>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</si>
  <si>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</si>
  <si>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</si>
  <si>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</si>
  <si>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</si>
  <si>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</si>
  <si>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</si>
  <si>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</si>
  <si>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</si>
  <si>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</si>
  <si>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</si>
  <si>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</si>
  <si>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</si>
  <si>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</si>
  <si>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</si>
  <si>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</si>
  <si>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</si>
  <si>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</si>
  <si>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</si>
  <si>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</si>
  <si>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</si>
  <si>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</si>
  <si>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</si>
  <si>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</si>
  <si>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</si>
  <si>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</si>
  <si>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</si>
  <si>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</si>
  <si>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</si>
  <si>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</si>
  <si>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</si>
  <si>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</si>
  <si>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</si>
  <si>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</si>
  <si>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</si>
  <si>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</si>
  <si>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</si>
  <si>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</si>
  <si>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</si>
  <si>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</si>
  <si>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</si>
  <si>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</si>
  <si>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</si>
  <si>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</si>
  <si>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</si>
  <si>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</si>
  <si>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</si>
  <si>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</si>
  <si>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</si>
  <si>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</si>
  <si>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</si>
  <si>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</si>
  <si>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</si>
  <si>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</si>
  <si>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</si>
  <si>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</si>
  <si>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</si>
  <si>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</si>
  <si>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</si>
  <si>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</si>
  <si>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</si>
  <si>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</si>
  <si>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</si>
  <si>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</si>
  <si>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</si>
  <si>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</si>
  <si>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</si>
  <si>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</si>
  <si>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</si>
  <si>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</si>
  <si>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</si>
  <si>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</si>
  <si>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</si>
  <si>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</si>
  <si>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</si>
  <si>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</si>
  <si>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</si>
  <si>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</si>
  <si>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</si>
  <si>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</si>
  <si>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</si>
  <si>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</si>
  <si>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</si>
  <si>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</si>
  <si>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</si>
  <si>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</si>
  <si>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</si>
  <si>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</si>
  <si>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</si>
  <si>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</si>
  <si>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</si>
  <si>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</si>
  <si>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</si>
  <si>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</si>
  <si>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</si>
  <si>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</si>
  <si>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</si>
  <si>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</si>
  <si>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</si>
  <si>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</si>
  <si>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</si>
  <si>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</si>
  <si>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</si>
  <si>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</si>
  <si>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</si>
  <si>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</si>
  <si>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</si>
  <si>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</si>
  <si>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</si>
  <si>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</si>
  <si>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</si>
  <si>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</si>
  <si>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</si>
  <si>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</si>
  <si>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</si>
  <si>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</si>
  <si>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</si>
  <si>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</si>
  <si>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</si>
  <si>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</si>
  <si>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</si>
  <si>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</si>
  <si>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</si>
  <si>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</si>
  <si>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</si>
  <si>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</si>
  <si>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</si>
  <si>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</si>
  <si>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</si>
  <si>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</si>
  <si>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</si>
  <si>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</si>
  <si>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</si>
  <si>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</si>
  <si>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</si>
  <si>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</si>
  <si>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</si>
  <si>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</si>
  <si>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</si>
  <si>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</si>
  <si>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</si>
  <si>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</si>
  <si>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</si>
  <si>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</si>
  <si>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</si>
  <si>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</si>
  <si>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</si>
  <si>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</si>
  <si>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</si>
  <si>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</si>
  <si>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</si>
  <si>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</si>
  <si>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</si>
  <si>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</si>
  <si>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</si>
  <si>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</si>
  <si>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</si>
  <si>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</si>
  <si>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</si>
  <si>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</si>
  <si>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</si>
  <si>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</si>
  <si>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</si>
  <si>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</si>
  <si>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</si>
  <si>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</si>
  <si>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</si>
  <si>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</si>
  <si>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</si>
  <si>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</si>
  <si>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</si>
  <si>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</si>
  <si>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</si>
  <si>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</si>
  <si>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</si>
  <si>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</si>
  <si>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</si>
  <si>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</si>
  <si>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</si>
  <si>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</si>
  <si>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</si>
  <si>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</si>
  <si>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</si>
  <si>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</si>
  <si>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</si>
  <si>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</si>
  <si>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</si>
  <si>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</si>
  <si>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</si>
  <si>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</si>
  <si>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</si>
  <si>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</si>
  <si>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</si>
  <si>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</si>
  <si>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</si>
  <si>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</si>
  <si>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</si>
  <si>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</si>
  <si>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</si>
  <si>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</si>
  <si>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</si>
  <si>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</si>
  <si>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</si>
  <si>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</si>
  <si>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</si>
  <si>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</si>
  <si>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</si>
  <si>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</si>
  <si>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</si>
  <si>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</si>
  <si>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</si>
  <si>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</si>
  <si>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</si>
  <si>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</si>
  <si>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</si>
  <si>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</si>
  <si>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</si>
  <si>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</si>
  <si>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</si>
  <si>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</si>
  <si>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</si>
  <si>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</si>
  <si>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</si>
  <si>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</si>
  <si>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</si>
  <si>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</si>
  <si>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</si>
  <si>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</si>
  <si>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</si>
  <si>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</si>
  <si>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</si>
  <si>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</si>
  <si>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</si>
  <si>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</si>
  <si>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</si>
  <si>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</si>
  <si>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</si>
  <si>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</si>
  <si>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</si>
  <si>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</si>
  <si>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</si>
  <si>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</si>
  <si>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</si>
  <si>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</si>
  <si>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</si>
  <si>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</si>
  <si>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</si>
  <si>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</si>
  <si>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</si>
  <si>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</si>
  <si>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</si>
  <si>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</si>
  <si>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</si>
  <si>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</si>
  <si>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</si>
  <si>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</si>
  <si>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</si>
  <si>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</si>
  <si>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</si>
  <si>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</si>
  <si>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</si>
  <si>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</si>
  <si>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</si>
  <si>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</si>
  <si>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</si>
  <si>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</si>
  <si>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</si>
  <si>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</si>
  <si>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</si>
  <si>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</si>
  <si>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</si>
  <si>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</si>
  <si>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</si>
  <si>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</si>
  <si>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</si>
  <si>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</si>
  <si>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</si>
  <si>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</si>
  <si>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</si>
  <si>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</si>
  <si>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</si>
  <si>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</si>
  <si>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</si>
  <si>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</si>
  <si>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</si>
  <si>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</si>
  <si>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</si>
  <si>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</si>
  <si>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</si>
  <si>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</si>
  <si>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</si>
  <si>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</si>
  <si>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</si>
  <si>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</si>
  <si>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</si>
  <si>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</si>
  <si>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</si>
  <si>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</si>
  <si>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</si>
  <si>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</si>
  <si>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</si>
  <si>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</si>
  <si>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</si>
  <si>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</si>
  <si>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</si>
  <si>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</si>
  <si>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</si>
  <si>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</si>
  <si>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</si>
  <si>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</si>
  <si>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</si>
  <si>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</si>
  <si>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</si>
  <si>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</si>
  <si>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</si>
  <si>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</si>
  <si>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</si>
  <si>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</si>
  <si>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</si>
  <si>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</si>
  <si>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</si>
  <si>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</si>
  <si>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</si>
  <si>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</si>
  <si>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</si>
  <si>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</si>
  <si>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</si>
  <si>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</si>
  <si>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</si>
  <si>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</si>
  <si>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</si>
  <si>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</si>
  <si>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</si>
  <si>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</si>
  <si>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</si>
  <si>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</si>
  <si>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</si>
  <si>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</si>
  <si>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</si>
  <si>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</si>
  <si>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</si>
  <si>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</si>
  <si>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</si>
  <si>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</si>
  <si>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</si>
  <si>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</si>
  <si>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</si>
  <si>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</si>
  <si>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</si>
  <si>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</si>
  <si>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</si>
  <si>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</si>
  <si>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</si>
  <si>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</si>
  <si>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</si>
  <si>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</si>
  <si>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</si>
  <si>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</si>
  <si>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</si>
  <si>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</si>
  <si>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</si>
  <si>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</si>
  <si>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</si>
  <si>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</si>
  <si>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</si>
  <si>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</si>
  <si>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</si>
  <si>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</si>
  <si>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</si>
  <si>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</si>
  <si>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</si>
  <si>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</si>
  <si>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</si>
  <si>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</si>
  <si>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</si>
  <si>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</si>
  <si>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</si>
  <si>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</si>
  <si>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</si>
  <si>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</si>
  <si>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</si>
  <si>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</si>
  <si>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</si>
  <si>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</si>
  <si>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</si>
  <si>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</si>
  <si>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</si>
  <si>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</si>
  <si>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</si>
  <si>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</si>
  <si>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</si>
  <si>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</si>
  <si>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</si>
  <si>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</si>
  <si>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</si>
  <si>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</si>
  <si>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</si>
  <si>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</si>
  <si>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</si>
  <si>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</si>
  <si>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</si>
  <si>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</si>
  <si>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</si>
  <si>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</si>
  <si>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</si>
  <si>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</si>
  <si>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</si>
  <si>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</si>
  <si>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</si>
  <si>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</si>
  <si>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</si>
  <si>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</si>
  <si>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</si>
  <si>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</si>
  <si>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</si>
  <si>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</si>
  <si>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</si>
  <si>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</si>
  <si>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</si>
  <si>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</si>
  <si>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</si>
  <si>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</si>
  <si>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</si>
  <si>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</si>
  <si>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</si>
  <si>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</si>
  <si>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</si>
  <si>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</si>
  <si>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</si>
  <si>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</si>
  <si>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</si>
  <si>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</si>
  <si>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</si>
  <si>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</si>
  <si>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</si>
  <si>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</si>
  <si>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</si>
  <si>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</si>
  <si>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</si>
  <si>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</si>
  <si>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</si>
  <si>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</si>
  <si>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</si>
  <si>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</si>
  <si>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</si>
  <si>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</si>
  <si>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</si>
  <si>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</si>
  <si>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</si>
  <si>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</si>
  <si>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</si>
  <si>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</si>
  <si>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</si>
  <si>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</si>
  <si>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</si>
  <si>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</si>
  <si>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</si>
  <si>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</si>
  <si>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</si>
  <si>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</si>
  <si>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</si>
  <si>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</si>
  <si>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</si>
  <si>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</si>
  <si>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</si>
  <si>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</si>
  <si>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</si>
  <si>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</si>
  <si>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</si>
  <si>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</si>
  <si>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</si>
  <si>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</si>
  <si>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</si>
  <si>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</si>
  <si>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</si>
  <si>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</si>
  <si>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</si>
  <si>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</si>
  <si>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</si>
  <si>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</si>
  <si>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</si>
  <si>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</si>
  <si>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</si>
  <si>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</si>
  <si>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</si>
  <si>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</si>
  <si>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</si>
  <si>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</si>
  <si>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</si>
  <si>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</si>
  <si>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</si>
  <si>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</si>
  <si>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</si>
  <si>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</si>
  <si>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</si>
  <si>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</si>
  <si>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</si>
  <si>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</si>
  <si>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</si>
  <si>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</si>
  <si>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</si>
  <si>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</si>
  <si>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</si>
  <si>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</si>
  <si>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</si>
  <si>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</si>
  <si>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</si>
  <si>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</si>
  <si>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</si>
  <si>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</si>
  <si>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</si>
  <si>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</si>
  <si>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</si>
  <si>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</si>
  <si>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</si>
  <si>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</si>
  <si>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</si>
  <si>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</si>
  <si>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</si>
  <si>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</si>
  <si>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</si>
  <si>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</si>
  <si>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</si>
  <si>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</si>
  <si>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</si>
  <si>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</si>
  <si>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</si>
  <si>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</si>
  <si>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</si>
  <si>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</si>
  <si>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</si>
  <si>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</si>
  <si>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</si>
  <si>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</si>
  <si>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</si>
  <si>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</si>
  <si>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</si>
  <si>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</si>
  <si>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</si>
  <si>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</si>
  <si>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</si>
  <si>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</si>
  <si>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</si>
  <si>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</si>
  <si>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</si>
  <si>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</si>
  <si>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</si>
  <si>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</si>
  <si>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</si>
  <si>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</si>
  <si>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</si>
  <si>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</si>
  <si>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</si>
  <si>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</si>
  <si>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</si>
  <si>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</si>
  <si>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</si>
  <si>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</si>
  <si>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</si>
  <si>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</si>
  <si>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</si>
  <si>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</si>
  <si>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</si>
  <si>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</si>
  <si>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</si>
  <si>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</si>
  <si>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</si>
  <si>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</si>
  <si>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</si>
  <si>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</si>
  <si>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</si>
  <si>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</si>
  <si>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</si>
  <si>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</si>
  <si>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</si>
  <si>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</si>
  <si>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</si>
  <si>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</si>
  <si>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</si>
  <si>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</si>
  <si>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</si>
  <si>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</si>
  <si>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</si>
  <si>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</si>
  <si>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</si>
  <si>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</si>
  <si>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</si>
  <si>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</si>
  <si>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</si>
  <si>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</si>
  <si>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</si>
  <si>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</si>
  <si>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</si>
  <si>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</si>
  <si>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</si>
  <si>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</si>
  <si>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</si>
  <si>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</si>
  <si>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</si>
  <si>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</si>
  <si>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</si>
  <si>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</si>
  <si>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</si>
  <si>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</si>
  <si>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</si>
  <si>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</si>
  <si>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</si>
  <si>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</si>
  <si>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</si>
  <si>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</si>
  <si>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</si>
  <si>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</si>
  <si>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</si>
  <si>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</si>
  <si>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</si>
  <si>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</si>
  <si>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</si>
  <si>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</si>
  <si>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</si>
  <si>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</si>
  <si>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</si>
  <si>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</si>
  <si>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</si>
  <si>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</si>
  <si>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</si>
  <si>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</si>
  <si>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</si>
  <si>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</si>
  <si>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</si>
  <si>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</si>
  <si>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</si>
  <si>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</si>
  <si>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</si>
  <si>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</si>
  <si>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</si>
  <si>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</si>
  <si>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</si>
  <si>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</si>
  <si>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</si>
  <si>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</si>
  <si>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</si>
  <si>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</si>
  <si>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</si>
  <si>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</si>
  <si>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</si>
  <si>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</si>
  <si>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</si>
  <si>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</si>
  <si>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</si>
  <si>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</si>
  <si>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</si>
  <si>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</si>
  <si>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</si>
  <si>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</si>
  <si>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</si>
  <si>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</si>
  <si>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</si>
  <si>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</si>
  <si>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</si>
  <si>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</si>
  <si>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</si>
  <si>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</si>
  <si>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</si>
  <si>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</si>
  <si>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</si>
  <si>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</si>
  <si>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</si>
  <si>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</si>
  <si>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</si>
  <si>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</si>
  <si>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</si>
  <si>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</si>
  <si>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</si>
  <si>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</si>
  <si>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</si>
  <si>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</si>
  <si>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</si>
  <si>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</si>
  <si>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</si>
  <si>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</si>
  <si>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</si>
  <si>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</si>
  <si>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</si>
  <si>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</si>
  <si>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</si>
  <si>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</si>
  <si>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</si>
  <si>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</si>
  <si>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</si>
  <si>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</si>
  <si>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</si>
  <si>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</si>
  <si>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</si>
  <si>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</si>
  <si>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</si>
  <si>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</si>
  <si>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</si>
  <si>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</si>
  <si>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</si>
  <si>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</si>
  <si>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</si>
  <si>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</si>
  <si>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</si>
  <si>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</si>
  <si>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</si>
  <si>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</si>
  <si>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</si>
  <si>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</si>
  <si>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</si>
  <si>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</si>
  <si>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</si>
  <si>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</si>
  <si>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</si>
  <si>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</si>
  <si>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</si>
  <si>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</si>
  <si>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</si>
  <si>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</si>
  <si>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</si>
  <si>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</si>
  <si>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</si>
  <si>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</si>
  <si>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</si>
  <si>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</si>
  <si>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</si>
  <si>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</si>
  <si>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</si>
  <si>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</si>
  <si>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</si>
  <si>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</si>
  <si>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</si>
  <si>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</si>
  <si>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</si>
  <si>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</si>
  <si>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</si>
  <si>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</si>
  <si>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</si>
  <si>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</si>
  <si>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</si>
  <si>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</si>
  <si>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</si>
  <si>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</si>
  <si>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</si>
  <si>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</si>
  <si>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</si>
  <si>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</si>
  <si>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</si>
  <si>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</si>
  <si>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</si>
  <si>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</si>
  <si>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</si>
  <si>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</si>
  <si>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</si>
  <si>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</si>
  <si>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</si>
  <si>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</si>
  <si>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</si>
  <si>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</si>
  <si>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</si>
  <si>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</si>
  <si>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</si>
  <si>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</si>
  <si>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</si>
  <si>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</si>
  <si>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</si>
  <si>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</si>
  <si>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</si>
  <si>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</si>
  <si>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</si>
  <si>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</si>
  <si>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</si>
  <si>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</si>
  <si>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</si>
  <si>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</si>
  <si>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</si>
  <si>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</si>
  <si>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</si>
  <si>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</si>
  <si>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</si>
  <si>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</si>
  <si>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</si>
  <si>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</si>
  <si>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</si>
  <si>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</si>
  <si>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</si>
  <si>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</si>
  <si>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</si>
  <si>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</si>
  <si>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</si>
  <si>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</si>
  <si>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</si>
  <si>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</si>
  <si>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</si>
  <si>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</si>
  <si>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</si>
  <si>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</si>
  <si>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</si>
  <si>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</si>
  <si>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</si>
  <si>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</si>
  <si>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</si>
  <si>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</si>
  <si>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</si>
  <si>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</si>
  <si>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</si>
  <si>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</si>
  <si>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</si>
  <si>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</si>
  <si>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</si>
  <si>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</si>
  <si>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</si>
  <si>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</si>
  <si>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</si>
  <si>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</si>
  <si>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</si>
  <si>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</si>
  <si>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</si>
  <si>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</si>
  <si>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</si>
  <si>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</si>
  <si>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</si>
  <si>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</si>
  <si>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</si>
  <si>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</si>
  <si>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</si>
  <si>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</si>
  <si>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</si>
  <si>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</si>
  <si>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</si>
  <si>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</si>
  <si>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</si>
  <si>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</si>
  <si>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</si>
  <si>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</si>
  <si>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</si>
  <si>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</si>
  <si>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</si>
  <si>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</si>
  <si>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</si>
  <si>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</si>
  <si>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</si>
  <si>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</si>
  <si>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</si>
  <si>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</si>
  <si>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</si>
  <si>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</si>
  <si>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</si>
  <si>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</si>
  <si>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</si>
  <si>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</si>
  <si>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</si>
  <si>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</si>
  <si>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</si>
  <si>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</si>
  <si>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</si>
  <si>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</si>
  <si>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</si>
  <si>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</si>
  <si>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</si>
  <si>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</si>
  <si>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</si>
  <si>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</si>
  <si>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</si>
  <si>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</si>
  <si>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</si>
  <si>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</si>
  <si>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</si>
  <si>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</si>
  <si>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</si>
  <si>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</si>
  <si>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</si>
  <si>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</si>
  <si>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</si>
  <si>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</si>
  <si>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</si>
  <si>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</si>
  <si>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</si>
  <si>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</si>
  <si>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</si>
  <si>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</si>
  <si>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</si>
  <si>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</si>
  <si>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</si>
  <si>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</si>
  <si>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</si>
  <si>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</si>
  <si>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</si>
  <si>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</si>
  <si>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</si>
  <si>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</si>
  <si>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</si>
  <si>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</si>
  <si>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</si>
  <si>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</si>
  <si>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</si>
  <si>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</si>
  <si>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</si>
  <si>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</si>
  <si>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</si>
  <si>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</si>
  <si>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</si>
  <si>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</si>
  <si>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</si>
  <si>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</si>
  <si>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</si>
  <si>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</si>
  <si>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</si>
  <si>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</si>
  <si>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</si>
  <si>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</si>
  <si>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</si>
  <si>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</si>
  <si>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</si>
  <si>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</si>
  <si>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</si>
  <si>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</si>
  <si>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</si>
  <si>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</si>
  <si>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</si>
  <si>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</si>
  <si>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</si>
  <si>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</si>
  <si>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</si>
  <si>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</si>
  <si>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</si>
  <si>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</si>
  <si>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</si>
  <si>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</si>
  <si>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</si>
  <si>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</si>
  <si>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</si>
  <si>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</si>
  <si>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</si>
  <si>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</si>
  <si>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</si>
  <si>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</si>
  <si>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</si>
  <si>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</si>
  <si>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</si>
  <si>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</si>
  <si>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</si>
  <si>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</si>
  <si>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</si>
  <si>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</si>
  <si>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</si>
  <si>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</si>
  <si>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</si>
  <si>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</si>
  <si>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</si>
  <si>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</si>
  <si>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</si>
  <si>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</si>
  <si>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</si>
  <si>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</si>
  <si>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</si>
  <si>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</si>
  <si>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</si>
  <si>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</si>
  <si>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</si>
  <si>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</si>
  <si>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</si>
  <si>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</si>
  <si>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</si>
  <si>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</si>
  <si>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</si>
  <si>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</si>
  <si>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</si>
  <si>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</si>
  <si>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</si>
  <si>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</si>
  <si>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</si>
  <si>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</si>
  <si>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</si>
  <si>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</si>
  <si>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</si>
  <si>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</si>
  <si>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</si>
  <si>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</si>
  <si>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</si>
  <si>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</si>
  <si>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</si>
  <si>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</si>
  <si>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</si>
  <si>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</si>
  <si>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</si>
  <si>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</si>
  <si>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</si>
  <si>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</si>
  <si>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</si>
  <si>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</si>
  <si>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</si>
  <si>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</si>
  <si>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</si>
  <si>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</si>
  <si>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</si>
  <si>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</si>
  <si>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</si>
  <si>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</si>
  <si>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</si>
  <si>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</si>
  <si>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</si>
  <si>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</si>
  <si>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</si>
  <si>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</si>
  <si>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</si>
  <si>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</si>
  <si>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</si>
  <si>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</si>
  <si>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</si>
  <si>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</si>
  <si>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</si>
  <si>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</si>
  <si>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</si>
  <si>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</si>
  <si>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</si>
  <si>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</si>
  <si>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</si>
  <si>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</si>
  <si>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</si>
  <si>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</si>
  <si>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</si>
  <si>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</si>
  <si>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</si>
  <si>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</si>
  <si>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</si>
  <si>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</si>
  <si>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</si>
  <si>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</si>
  <si>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</si>
  <si>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</si>
  <si>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</si>
  <si>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</si>
  <si>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</si>
  <si>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</si>
  <si>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</si>
  <si>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</si>
  <si>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</si>
  <si>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</si>
  <si>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</si>
  <si>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</si>
  <si>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</si>
  <si>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</si>
  <si>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</si>
  <si>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</si>
  <si>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</si>
  <si>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</si>
  <si>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</si>
  <si>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</si>
  <si>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</si>
  <si>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</si>
  <si>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</si>
  <si>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</si>
  <si>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</si>
  <si>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</si>
  <si>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</si>
  <si>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</si>
  <si>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</si>
  <si>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</si>
  <si>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</si>
  <si>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</si>
  <si>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</si>
  <si>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</si>
  <si>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</si>
  <si>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</si>
  <si>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</si>
  <si>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</si>
  <si>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</si>
  <si>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</si>
  <si>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</si>
  <si>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</si>
  <si>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</si>
  <si>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</si>
  <si>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</si>
  <si>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</si>
  <si>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</si>
  <si>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</si>
  <si>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</si>
  <si>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</si>
  <si>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</si>
  <si>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</si>
  <si>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</si>
  <si>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</si>
  <si>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</si>
  <si>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</si>
  <si>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</si>
  <si>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</si>
  <si>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</si>
  <si>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</si>
  <si>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</si>
  <si>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</si>
  <si>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</si>
  <si>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</si>
  <si>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</si>
  <si>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</si>
  <si>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</si>
  <si>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</si>
  <si>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</si>
  <si>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</si>
  <si>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</si>
  <si>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</si>
  <si>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</si>
  <si>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</si>
  <si>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</si>
  <si>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</si>
  <si>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</si>
  <si>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</si>
  <si>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</si>
  <si>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</si>
  <si>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</si>
  <si>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</si>
  <si>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</si>
  <si>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</si>
  <si>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</si>
  <si>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</si>
  <si>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</si>
  <si>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</si>
  <si>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</si>
  <si>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</si>
  <si>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</si>
  <si>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</si>
  <si>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</si>
  <si>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</si>
  <si>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</si>
  <si>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</si>
  <si>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</si>
  <si>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</si>
  <si>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</si>
  <si>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</si>
  <si>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</si>
  <si>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</si>
  <si>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</si>
  <si>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</si>
  <si>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</si>
  <si>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</si>
  <si>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</si>
  <si>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</si>
  <si>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</si>
  <si>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</si>
  <si>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</si>
  <si>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</si>
  <si>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</si>
  <si>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</si>
  <si>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</si>
  <si>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</si>
  <si>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</si>
  <si>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</si>
  <si>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</si>
  <si>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</si>
  <si>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</si>
  <si>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</si>
  <si>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</si>
  <si>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</si>
  <si>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</si>
  <si>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</si>
  <si>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</si>
  <si>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</si>
  <si>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</si>
  <si>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</si>
  <si>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</si>
  <si>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</si>
  <si>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</si>
  <si>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</si>
  <si>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</si>
  <si>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</si>
  <si>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</si>
  <si>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</si>
  <si>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</si>
  <si>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</si>
  <si>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</si>
  <si>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</si>
  <si>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</si>
  <si>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</si>
  <si>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</si>
  <si>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</si>
  <si>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</si>
  <si>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</si>
  <si>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</si>
  <si>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</si>
  <si>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</si>
  <si>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</si>
  <si>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</si>
  <si>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</si>
  <si>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</si>
  <si>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</si>
  <si>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</si>
  <si>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</si>
  <si>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</si>
  <si>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</si>
  <si>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</si>
  <si>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</si>
  <si>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</si>
  <si>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</si>
  <si>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</si>
  <si>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</si>
  <si>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</si>
  <si>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</si>
  <si>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</si>
  <si>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</si>
  <si>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</si>
  <si>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</si>
  <si>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</si>
  <si>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</si>
  <si>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</si>
  <si>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</si>
  <si>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</si>
  <si>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</si>
  <si>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</si>
  <si>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</si>
  <si>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</si>
  <si>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</si>
  <si>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</si>
  <si>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</si>
  <si>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</si>
  <si>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</si>
  <si>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</si>
  <si>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</si>
  <si>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</si>
  <si>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</si>
  <si>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</si>
  <si>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</si>
  <si>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</si>
  <si>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</si>
  <si>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</si>
  <si>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</si>
  <si>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</si>
  <si>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</si>
  <si>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</si>
  <si>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</si>
  <si>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</si>
  <si>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</si>
  <si>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</si>
  <si>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</si>
  <si>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</si>
  <si>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</si>
  <si>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</si>
  <si>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</si>
  <si>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</si>
  <si>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</si>
  <si>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</si>
  <si>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</si>
  <si>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</si>
  <si>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</si>
  <si>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</si>
  <si>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</si>
  <si>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</si>
  <si>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</si>
  <si>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</si>
  <si>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</si>
  <si>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</si>
  <si>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</si>
  <si>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</si>
  <si>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</si>
  <si>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</si>
  <si>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</si>
  <si>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</si>
  <si>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</si>
  <si>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</si>
  <si>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</si>
  <si>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</si>
  <si>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</si>
  <si>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</si>
  <si>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</si>
  <si>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</si>
  <si>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</si>
  <si>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</si>
  <si>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</si>
  <si>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</si>
  <si>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</si>
  <si>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</si>
  <si>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</si>
  <si>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</si>
  <si>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</si>
  <si>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</si>
  <si>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</si>
  <si>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</si>
  <si>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</si>
  <si>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</si>
  <si>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</si>
  <si>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</si>
  <si>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</si>
  <si>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</si>
  <si>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</si>
  <si>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</si>
  <si>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</si>
  <si>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</si>
  <si>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</si>
  <si>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</si>
  <si>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</si>
  <si>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</si>
  <si>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</si>
  <si>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</si>
  <si>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</si>
  <si>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</si>
  <si>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</si>
  <si>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</si>
  <si>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</si>
  <si>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</si>
  <si>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</si>
  <si>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</si>
  <si>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</si>
  <si>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</si>
  <si>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</si>
  <si>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</si>
  <si>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</si>
  <si>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</si>
  <si>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</si>
  <si>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</si>
  <si>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</si>
  <si>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</si>
  <si>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</si>
  <si>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</si>
  <si>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</si>
  <si>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</si>
  <si>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</si>
  <si>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</si>
  <si>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</si>
  <si>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</si>
  <si>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</si>
  <si>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</si>
  <si>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</si>
  <si>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</si>
  <si>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</si>
  <si>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</si>
  <si>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</si>
  <si>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</si>
  <si>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</si>
  <si>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</si>
  <si>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</si>
  <si>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</si>
  <si>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</si>
  <si>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</si>
  <si>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</si>
  <si>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</si>
  <si>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</si>
  <si>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</si>
  <si>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</si>
  <si>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</si>
  <si>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</si>
  <si>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</si>
  <si>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</si>
  <si>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</si>
  <si>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</si>
  <si>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</si>
  <si>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</si>
  <si>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</si>
  <si>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</si>
  <si>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</si>
  <si>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</si>
  <si>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</si>
  <si>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</si>
  <si>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</si>
  <si>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</si>
  <si>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</si>
  <si>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</si>
  <si>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</si>
  <si>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</si>
  <si>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</si>
  <si>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</si>
  <si>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</si>
  <si>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</si>
  <si>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</si>
  <si>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</si>
  <si>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</si>
  <si>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</si>
  <si>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</si>
  <si>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</si>
  <si>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</si>
  <si>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</si>
  <si>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</si>
  <si>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</si>
  <si>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</si>
  <si>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</si>
  <si>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</si>
  <si>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</si>
  <si>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</si>
  <si>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</si>
  <si>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</si>
  <si>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</si>
  <si>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</si>
  <si>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</si>
  <si>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</si>
  <si>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</si>
  <si>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</si>
  <si>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</si>
  <si>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</si>
  <si>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</si>
  <si>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</si>
  <si>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</si>
  <si>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</si>
  <si>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</si>
  <si>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</si>
  <si>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</si>
  <si>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</si>
  <si>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</si>
  <si>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</si>
  <si>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</si>
  <si>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</si>
  <si>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</si>
  <si>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</si>
  <si>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</si>
  <si>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</si>
  <si>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</si>
  <si>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</si>
  <si>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</si>
  <si>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</si>
  <si>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</si>
  <si>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</si>
  <si>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</si>
  <si>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</si>
  <si>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</si>
  <si>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</si>
  <si>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</si>
  <si>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</si>
  <si>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</si>
  <si>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</si>
  <si>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</si>
  <si>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</si>
  <si>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</si>
  <si>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</si>
  <si>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</si>
  <si>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</si>
  <si>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</si>
  <si>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</si>
  <si>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</si>
  <si>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</si>
  <si>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</si>
  <si>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</si>
  <si>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</si>
  <si>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</si>
  <si>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</si>
  <si>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</si>
  <si>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</si>
  <si>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</si>
  <si>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</si>
  <si>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</si>
  <si>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</si>
  <si>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</si>
  <si>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</si>
  <si>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</si>
  <si>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</si>
  <si>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</si>
  <si>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</si>
  <si>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</si>
  <si>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</si>
  <si>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</si>
  <si>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</si>
  <si>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</si>
  <si>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</si>
  <si>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</si>
  <si>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</si>
  <si>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</si>
  <si>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</si>
  <si>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</si>
  <si>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</si>
  <si>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</si>
  <si>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</si>
  <si>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</si>
  <si>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</si>
  <si>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</si>
  <si>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</si>
  <si>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</si>
  <si>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</si>
  <si>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</si>
  <si>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</si>
  <si>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</si>
  <si>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</si>
  <si>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</si>
  <si>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</si>
  <si>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</si>
  <si>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</si>
  <si>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</si>
  <si>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</si>
  <si>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</si>
  <si>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</si>
  <si>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</si>
  <si>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</si>
  <si>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</si>
  <si>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</si>
  <si>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</si>
  <si>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</si>
  <si>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</si>
  <si>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</si>
  <si>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</si>
  <si>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</si>
  <si>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</si>
  <si>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</si>
  <si>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</si>
  <si>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</si>
  <si>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</si>
  <si>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</si>
  <si>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</si>
  <si>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</si>
  <si>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</si>
  <si>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</si>
  <si>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</si>
  <si>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</si>
  <si>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</si>
  <si>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</si>
  <si>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</si>
  <si>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</si>
  <si>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</si>
  <si>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</si>
  <si>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</si>
  <si>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</si>
  <si>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</si>
  <si>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</si>
  <si>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</si>
  <si>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</si>
  <si>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</si>
  <si>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</si>
  <si>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</si>
  <si>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</si>
  <si>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</si>
  <si>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</si>
  <si>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</si>
  <si>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</si>
  <si>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</si>
  <si>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</si>
  <si>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</si>
  <si>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</si>
  <si>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</si>
  <si>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</si>
  <si>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</si>
  <si>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</si>
  <si>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</si>
  <si>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</si>
  <si>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</si>
  <si>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</si>
  <si>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</si>
  <si>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</si>
  <si>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</si>
  <si>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</si>
  <si>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</si>
  <si>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</si>
  <si>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</si>
  <si>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</si>
  <si>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</si>
  <si>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</si>
  <si>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</si>
  <si>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</si>
  <si>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</si>
  <si>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</si>
  <si>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</si>
  <si>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</si>
  <si>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</si>
  <si>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</si>
  <si>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</si>
  <si>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</si>
  <si>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</si>
  <si>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</si>
  <si>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</si>
  <si>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</si>
  <si>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</si>
  <si>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</si>
  <si>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</si>
  <si>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</si>
  <si>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</si>
  <si>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</si>
  <si>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</si>
  <si>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</si>
  <si>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</si>
  <si>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</si>
  <si>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</si>
  <si>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</si>
  <si>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</si>
  <si>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</si>
  <si>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</si>
  <si>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</si>
  <si>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</si>
  <si>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</si>
  <si>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</si>
  <si>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</si>
  <si>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</si>
  <si>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</si>
  <si>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</si>
  <si>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</si>
  <si>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</si>
  <si>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</si>
  <si>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</si>
  <si>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</si>
  <si>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</si>
  <si>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</si>
  <si>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</si>
  <si>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</si>
  <si>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</si>
  <si>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</si>
  <si>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</si>
  <si>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</si>
  <si>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</si>
  <si>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</si>
  <si>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</si>
  <si>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</si>
  <si>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</si>
  <si>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</si>
  <si>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</si>
  <si>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</si>
  <si>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</si>
  <si>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</si>
  <si>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</si>
  <si>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</si>
  <si>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</si>
  <si>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</si>
  <si>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</si>
  <si>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</si>
  <si>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</si>
  <si>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</si>
  <si>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</si>
  <si>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</si>
  <si>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</si>
  <si>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</si>
  <si>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</si>
  <si>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</si>
  <si>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</si>
  <si>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</si>
  <si>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</si>
  <si>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</si>
  <si>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</si>
  <si>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</si>
  <si>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</si>
  <si>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</si>
  <si>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</si>
  <si>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</si>
  <si>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</si>
  <si>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</si>
  <si>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</si>
  <si>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</si>
  <si>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</si>
  <si>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</si>
  <si>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</si>
  <si>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</si>
  <si>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</si>
  <si>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</si>
  <si>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</si>
  <si>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</si>
  <si>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</si>
  <si>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</si>
  <si>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</si>
  <si>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</si>
  <si>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</si>
  <si>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</si>
  <si>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</si>
  <si>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</si>
  <si>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</si>
  <si>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</si>
  <si>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</si>
  <si>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</si>
  <si>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</si>
  <si>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</si>
  <si>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</si>
  <si>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</si>
  <si>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</si>
  <si>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</si>
  <si>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</si>
  <si>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</si>
  <si>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</si>
  <si>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</si>
  <si>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</si>
  <si>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</si>
  <si>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</si>
  <si>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</si>
  <si>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</si>
  <si>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</si>
  <si>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</si>
  <si>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</si>
  <si>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</si>
  <si>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</si>
  <si>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</si>
  <si>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</si>
  <si>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</si>
  <si>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</si>
  <si>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</si>
  <si>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</si>
  <si>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</si>
  <si>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</si>
  <si>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</si>
  <si>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</si>
  <si>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</si>
  <si>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</si>
  <si>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</si>
  <si>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</si>
  <si>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</si>
  <si>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</si>
  <si>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</si>
  <si>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</si>
  <si>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</si>
  <si>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</si>
  <si>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</si>
  <si>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</si>
  <si>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</si>
  <si>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</si>
  <si>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</si>
  <si>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</si>
  <si>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</si>
  <si>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</si>
  <si>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</si>
  <si>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</si>
  <si>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</si>
  <si>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</si>
  <si>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</si>
  <si>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</si>
  <si>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</si>
  <si>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</si>
  <si>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</si>
  <si>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</si>
  <si>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</si>
  <si>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</si>
  <si>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</si>
  <si>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</si>
  <si>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</si>
  <si>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</si>
  <si>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</si>
  <si>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</si>
  <si>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</si>
  <si>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</si>
  <si>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</si>
  <si>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</si>
  <si>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</si>
  <si>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</si>
  <si>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</si>
  <si>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</si>
  <si>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</si>
  <si>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</si>
  <si>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</si>
  <si>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</si>
  <si>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</si>
  <si>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</si>
  <si>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</si>
  <si>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</si>
  <si>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</si>
  <si>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</si>
  <si>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</si>
  <si>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</si>
  <si>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</si>
  <si>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</si>
  <si>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</si>
  <si>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</si>
  <si>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</si>
  <si>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</si>
  <si>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</si>
  <si>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</si>
  <si>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</si>
  <si>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</si>
  <si>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</si>
  <si>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</si>
  <si>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</si>
  <si>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</si>
  <si>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</si>
  <si>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</si>
  <si>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Botsch &amp; Associates, CPA's, LLC</t>
  </si>
  <si>
    <t>x</t>
  </si>
  <si>
    <t>White</t>
  </si>
  <si>
    <t>728 West North Street</t>
  </si>
  <si>
    <t>Grayville</t>
  </si>
  <si>
    <t>Sarah Emery</t>
  </si>
  <si>
    <t>semery@gcusd.com</t>
  </si>
  <si>
    <t>618-375-7114</t>
  </si>
  <si>
    <t>618-375-5202</t>
  </si>
  <si>
    <t>Arlynne Stroman, CPA</t>
  </si>
  <si>
    <t>113 East Main Street</t>
  </si>
  <si>
    <t>Carmi</t>
  </si>
  <si>
    <t>IL</t>
  </si>
  <si>
    <t>618-382-4151</t>
  </si>
  <si>
    <t>618-382-4153</t>
  </si>
  <si>
    <t>066-003657</t>
  </si>
  <si>
    <t>arlynne.stroman@botsch.com</t>
  </si>
  <si>
    <t>Series 2012 General Obligation Bonds</t>
  </si>
  <si>
    <t>Series 2015 Debt Certificates</t>
  </si>
  <si>
    <t>Capital Lease</t>
  </si>
  <si>
    <t>Rosetta Stone LTD</t>
  </si>
  <si>
    <t>ED-Instruction-Purchased Services</t>
  </si>
  <si>
    <t>10-2200-300</t>
  </si>
  <si>
    <t>10-1000-300</t>
  </si>
  <si>
    <t>Renaissance Learning, Inc.</t>
  </si>
  <si>
    <t>ED-Support Services-Purchased Services</t>
  </si>
  <si>
    <t>Epiphany Solutions</t>
  </si>
  <si>
    <t>10-2300-300</t>
  </si>
  <si>
    <t>TORT-Support Services-Purchased Services</t>
  </si>
  <si>
    <t>80-2300-300</t>
  </si>
  <si>
    <t>Sonitrol Security Systems</t>
  </si>
  <si>
    <t>Environmental Consultants</t>
  </si>
  <si>
    <t>Bushue Human Resources, Inc.</t>
  </si>
  <si>
    <t>Specialized Data Systems</t>
  </si>
  <si>
    <t>None</t>
  </si>
  <si>
    <t>Regional Office of Education #20</t>
  </si>
  <si>
    <t>Wabash &amp; Ohio Valley Special Education Cooperative</t>
  </si>
  <si>
    <t>Ohio &amp; Wabash Valley Regional Vocational Cooperative</t>
  </si>
  <si>
    <t>Carmi-White County School District #5</t>
  </si>
  <si>
    <t>Page 10; Line 72; Acct 1614 - Sales to Pupils-Other $1,247</t>
  </si>
  <si>
    <t>Extra food sales</t>
  </si>
  <si>
    <t>Page 11; Line 106; Acct 1993 - Other Local Fees $3,375</t>
  </si>
  <si>
    <t>Page 11; Line 107; Acct 1999 - Other Local Revenues $1,853</t>
  </si>
  <si>
    <t>Student tech fees</t>
  </si>
  <si>
    <t>Page 12; Line 168; Acct 3999 - Other Restricted Revenue from State Sources $779</t>
  </si>
  <si>
    <t>Page 15; Line 41; Acct 2190 - Other Support Services-Pupils $16,987</t>
  </si>
  <si>
    <t>Detention, Morning &amp; noon supervisor salaries and benefits,</t>
  </si>
  <si>
    <t>and Class/Club sponsor stipends</t>
  </si>
  <si>
    <t>Page 16; Line 73; Acct 2900 - Other Support Services $992</t>
  </si>
  <si>
    <t>Title I Homeless supplies</t>
  </si>
  <si>
    <t>Page 16; Line 83; Acct 4190 - Other Payments to In-State Govt. Units $1,356</t>
  </si>
  <si>
    <t>Refund of grant funds to ISBE</t>
  </si>
  <si>
    <t>Page 18; Line 171; Acct 5400 - Debt Services-Other $200</t>
  </si>
  <si>
    <t>Bond fee</t>
  </si>
  <si>
    <t>Page 19; Line 207; Acct 5400 - Debt Services-Other $12,181</t>
  </si>
  <si>
    <t>Operating lease payments</t>
  </si>
  <si>
    <t>Page 19; Line 237; Acct 2190 - Other Support Services-Pupils $221</t>
  </si>
  <si>
    <t>Detention, morning, and noon supervisors</t>
  </si>
  <si>
    <t>Page 25; Line 10; Other Receipts $51,765</t>
  </si>
  <si>
    <t>Special Ed Orphanage $1,693 and Special Ed Transportation $50,072</t>
  </si>
  <si>
    <t>Page 25; Line 22; Other Disbursements $32,308</t>
  </si>
  <si>
    <t>Bond payment</t>
  </si>
  <si>
    <t xml:space="preserve">Total Long-Term Debt Issued (P24, Cell F49) $95,138 must = Principal on </t>
  </si>
  <si>
    <t>Long-Term Debt Sold (P8, Cells C33:K33) $0.</t>
  </si>
  <si>
    <t>The difference of $95,138 is a new vehicle loan</t>
  </si>
  <si>
    <t xml:space="preserve">Total Long-Term Debt (Principal) Retired (P18, Cells H170) $65,000 must = </t>
  </si>
  <si>
    <t>Debt Service - Long-Term Debt (Principal) Retired (P24, Cells H49) $119,249.</t>
  </si>
  <si>
    <t>The difference of $54,249 is the vehicle loans of $27,249 paid by the</t>
  </si>
  <si>
    <t xml:space="preserve">Transportation Fund and the bond payment of $27,000 paid by the </t>
  </si>
  <si>
    <t>Capital Projects Fund.</t>
  </si>
  <si>
    <t>First National Bank - Bus</t>
  </si>
  <si>
    <t>First National Bank - Suburban</t>
  </si>
  <si>
    <t>Fairfield National Bank - Van</t>
  </si>
  <si>
    <t>State Library grant $750 and SAT test reimbursement $29</t>
  </si>
  <si>
    <t>Reimbursements</t>
  </si>
  <si>
    <t>Grayville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</si>
</sst>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56" fillId="0" borderId="0" xfId="0" applyFont="1" applyBorder="1" applyAlignment="1">
      <alignment vertical="top"/>
    </xf>
    <xf numFmtId="0" fontId="106" fillId="0" borderId="0" xfId="0" applyFont="1" applyBorder="1" applyAlignment="1">
      <alignment vertical="top"/>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614795</xdr:colOff>
          <xdr:row>3</xdr:row>
          <xdr:rowOff>95251</xdr:rowOff>
        </xdr:from>
        <xdr:to>
          <xdr:col>1</xdr:col>
          <xdr:colOff>1529195</xdr:colOff>
          <xdr:row>8</xdr:row>
          <xdr:rowOff>54553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4350FAD-2FDD-4625-A2B9-B0BEA39E36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0" t="s">
        <v>405</v>
      </c>
      <c r="J1" s="2021"/>
      <c r="K1" s="2021"/>
      <c r="L1" s="2021"/>
      <c r="M1" s="2021"/>
      <c r="N1" s="2021"/>
      <c r="O1" s="2021"/>
      <c r="P1" s="2021"/>
      <c r="Q1" s="2021"/>
      <c r="R1" s="2021"/>
      <c r="S1" s="2021"/>
    </row>
    <row r="2" spans="1:28" ht="12" customHeight="1" x14ac:dyDescent="0.2">
      <c r="A2" s="47" t="s">
        <v>1991</v>
      </c>
      <c r="D2" s="48"/>
      <c r="I2" s="2022" t="s">
        <v>979</v>
      </c>
      <c r="J2" s="2021"/>
      <c r="K2" s="2021"/>
      <c r="L2" s="2021"/>
      <c r="M2" s="2021"/>
      <c r="N2" s="2021"/>
      <c r="O2" s="2021"/>
      <c r="P2" s="2021"/>
      <c r="Q2" s="2021"/>
      <c r="R2" s="2021"/>
      <c r="S2" s="2021"/>
    </row>
    <row r="3" spans="1:28" ht="12" customHeight="1" x14ac:dyDescent="0.2">
      <c r="A3" s="155" t="s">
        <v>1943</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2066</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2066</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20097001026</v>
      </c>
      <c r="B13" s="1991"/>
      <c r="C13" s="1991"/>
      <c r="D13" s="1991"/>
      <c r="E13" s="1991"/>
      <c r="F13" s="1991"/>
      <c r="G13" s="1991"/>
      <c r="H13" s="1992"/>
      <c r="I13" s="31"/>
      <c r="J13" s="30"/>
      <c r="K13" s="28"/>
      <c r="L13" s="30"/>
      <c r="M13" s="30"/>
      <c r="N13" s="30"/>
      <c r="O13" s="30"/>
      <c r="P13" s="30"/>
      <c r="Q13" s="30"/>
      <c r="R13" s="30"/>
      <c r="S13" s="30"/>
      <c r="T13" s="1995" t="s">
        <v>2065</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2067</v>
      </c>
      <c r="B15" s="1993"/>
      <c r="C15" s="1993"/>
      <c r="D15" s="1993"/>
      <c r="E15" s="1993"/>
      <c r="F15" s="1993"/>
      <c r="G15" s="1993"/>
      <c r="H15" s="1994"/>
      <c r="T15" s="1956" t="s">
        <v>2074</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2140</v>
      </c>
      <c r="B17" s="2018"/>
      <c r="C17" s="2018"/>
      <c r="D17" s="2018"/>
      <c r="E17" s="2018"/>
      <c r="F17" s="2018"/>
      <c r="G17" s="2018"/>
      <c r="H17" s="2019"/>
      <c r="T17" s="2005" t="s">
        <v>2075</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2068</v>
      </c>
      <c r="B19" s="1989"/>
      <c r="C19" s="1989"/>
      <c r="D19" s="1989"/>
      <c r="E19" s="1989"/>
      <c r="F19" s="1989"/>
      <c r="G19" s="1989"/>
      <c r="H19" s="1987"/>
      <c r="I19" s="30"/>
      <c r="J19" s="99"/>
      <c r="K19" s="40"/>
      <c r="L19" s="38"/>
      <c r="M19" s="112" t="s">
        <v>315</v>
      </c>
      <c r="P19" s="27"/>
      <c r="Q19" s="27"/>
      <c r="R19" s="27"/>
      <c r="S19" s="31"/>
      <c r="T19" s="1988" t="s">
        <v>2076</v>
      </c>
      <c r="U19" s="1986"/>
      <c r="V19" s="1986"/>
      <c r="W19" s="1987"/>
      <c r="X19" s="2003" t="s">
        <v>2077</v>
      </c>
      <c r="Y19" s="2004"/>
      <c r="Z19" s="2001">
        <v>62821</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2069</v>
      </c>
      <c r="B21" s="1986"/>
      <c r="C21" s="1986"/>
      <c r="D21" s="1986"/>
      <c r="E21" s="1986"/>
      <c r="F21" s="1986"/>
      <c r="G21" s="1986"/>
      <c r="H21" s="1987"/>
      <c r="I21" s="2011" t="s">
        <v>678</v>
      </c>
      <c r="J21" s="1974"/>
      <c r="K21" s="1974"/>
      <c r="L21" s="1974"/>
      <c r="M21" s="1974"/>
      <c r="N21" s="1974"/>
      <c r="O21" s="1974"/>
      <c r="P21" s="1974"/>
      <c r="Q21" s="1974"/>
      <c r="R21" s="1974"/>
      <c r="S21" s="1975"/>
      <c r="T21" s="1953" t="s">
        <v>2078</v>
      </c>
      <c r="U21" s="1954"/>
      <c r="V21" s="1954"/>
      <c r="W21" s="1954"/>
      <c r="X21" s="1967" t="s">
        <v>2079</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2080</v>
      </c>
      <c r="U23" s="1949"/>
      <c r="V23" s="1949"/>
      <c r="W23" s="1949"/>
      <c r="X23" s="1964">
        <v>44469</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62844</v>
      </c>
      <c r="B25" s="1986"/>
      <c r="C25" s="1986"/>
      <c r="D25" s="1986"/>
      <c r="E25" s="1986"/>
      <c r="F25" s="1986"/>
      <c r="G25" s="1986"/>
      <c r="H25" s="1987"/>
      <c r="I25" s="113"/>
      <c r="J25" s="2052"/>
      <c r="K25" s="2052"/>
      <c r="L25" s="2052"/>
      <c r="M25" s="2052"/>
      <c r="N25" s="2052"/>
      <c r="O25" s="2052"/>
      <c r="P25" s="2052"/>
      <c r="Q25" s="2052"/>
      <c r="R25" s="2052"/>
      <c r="S25" s="2053"/>
      <c r="T25" s="1945" t="s">
        <v>2081</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02"/>
      <c r="K30" s="28" t="s">
        <v>576</v>
      </c>
      <c r="L30" s="148" t="s">
        <v>2066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2070</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2071</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2072</v>
      </c>
      <c r="B42" s="2035"/>
      <c r="C42" s="2036"/>
      <c r="D42" s="2049" t="s">
        <v>2073</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562254</v>
      </c>
      <c r="C4" s="1524"/>
      <c r="D4" s="1752">
        <f>B4-C4</f>
        <v>562254</v>
      </c>
      <c r="E4" s="1524">
        <v>660698</v>
      </c>
      <c r="F4" s="1752">
        <f>E4-C4</f>
        <v>660698</v>
      </c>
    </row>
    <row r="5" spans="1:6" ht="13.7" customHeight="1" x14ac:dyDescent="0.2">
      <c r="A5" s="715" t="s">
        <v>870</v>
      </c>
      <c r="B5" s="1750">
        <f>'Revenues 9-14'!D5</f>
        <v>137440</v>
      </c>
      <c r="C5" s="585"/>
      <c r="D5" s="1753">
        <f t="shared" ref="D5:D18" si="0">B5-C5</f>
        <v>137440</v>
      </c>
      <c r="E5" s="585">
        <v>171527</v>
      </c>
      <c r="F5" s="1753">
        <f>E5-C5</f>
        <v>171527</v>
      </c>
    </row>
    <row r="6" spans="1:6" ht="13.7" customHeight="1" x14ac:dyDescent="0.2">
      <c r="A6" s="715" t="s">
        <v>411</v>
      </c>
      <c r="B6" s="1750">
        <f>'Revenues 9-14'!E5</f>
        <v>85171</v>
      </c>
      <c r="C6" s="585"/>
      <c r="D6" s="1753">
        <f t="shared" si="0"/>
        <v>85171</v>
      </c>
      <c r="E6" s="585">
        <v>85890</v>
      </c>
      <c r="F6" s="1753">
        <f t="shared" ref="F6:F18" si="1">E6-C6</f>
        <v>85890</v>
      </c>
    </row>
    <row r="7" spans="1:6" ht="13.7" customHeight="1" x14ac:dyDescent="0.2">
      <c r="A7" s="715" t="s">
        <v>155</v>
      </c>
      <c r="B7" s="1750">
        <f>'Revenues 9-14'!F5</f>
        <v>47684</v>
      </c>
      <c r="C7" s="585"/>
      <c r="D7" s="1753">
        <f t="shared" si="0"/>
        <v>47684</v>
      </c>
      <c r="E7" s="585">
        <v>54121</v>
      </c>
      <c r="F7" s="1753">
        <f t="shared" si="1"/>
        <v>54121</v>
      </c>
    </row>
    <row r="8" spans="1:6" ht="13.7" customHeight="1" x14ac:dyDescent="0.2">
      <c r="A8" s="715" t="s">
        <v>1179</v>
      </c>
      <c r="B8" s="1750">
        <f>'Revenues 9-14'!G5</f>
        <v>33813</v>
      </c>
      <c r="C8" s="585"/>
      <c r="D8" s="1753">
        <f t="shared" si="0"/>
        <v>33813</v>
      </c>
      <c r="E8" s="585">
        <v>65000</v>
      </c>
      <c r="F8" s="1753">
        <f t="shared" si="1"/>
        <v>65000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11921</v>
      </c>
      <c r="C10" s="585"/>
      <c r="D10" s="1753">
        <f t="shared" si="0"/>
        <v>11921</v>
      </c>
      <c r="E10" s="585">
        <v>13530</v>
      </c>
      <c r="F10" s="1753">
        <f t="shared" si="1"/>
        <v>13530</v>
      </c>
    </row>
    <row r="11" spans="1:6" x14ac:dyDescent="0.2">
      <c r="A11" s="715" t="s">
        <v>409</v>
      </c>
      <c r="B11" s="1750">
        <f>'Revenues 9-14'!J5</f>
        <v>232816</v>
      </c>
      <c r="C11" s="585"/>
      <c r="D11" s="1753">
        <f t="shared" si="0"/>
        <v>232816</v>
      </c>
      <c r="E11" s="585">
        <v>240000</v>
      </c>
      <c r="F11" s="1753">
        <f t="shared" si="1"/>
        <v>240000</v>
      </c>
    </row>
    <row r="12" spans="1:6" ht="13.7" customHeight="1" x14ac:dyDescent="0.2">
      <c r="A12" s="715" t="s">
        <v>157</v>
      </c>
      <c r="B12" s="1750">
        <f>'Revenues 9-14'!K5</f>
        <v>11921</v>
      </c>
      <c r="C12" s="585"/>
      <c r="D12" s="1753">
        <f t="shared" si="0"/>
        <v>11921</v>
      </c>
      <c r="E12" s="585">
        <v>13530</v>
      </c>
      <c r="F12" s="1753">
        <f t="shared" si="1"/>
        <v>13530</v>
      </c>
    </row>
    <row r="13" spans="1:6" ht="13.7" customHeight="1" x14ac:dyDescent="0.2">
      <c r="A13" s="715" t="s">
        <v>936</v>
      </c>
      <c r="B13" s="1750">
        <f>SUM('Revenues 9-14'!C6:D6)</f>
        <v>11928</v>
      </c>
      <c r="C13" s="585"/>
      <c r="D13" s="1753">
        <f t="shared" si="0"/>
        <v>11928</v>
      </c>
      <c r="E13" s="585">
        <v>12706</v>
      </c>
      <c r="F13" s="1753">
        <f t="shared" si="1"/>
        <v>12706</v>
      </c>
    </row>
    <row r="14" spans="1:6" ht="13.7" customHeight="1" x14ac:dyDescent="0.2">
      <c r="A14" s="715" t="s">
        <v>410</v>
      </c>
      <c r="B14" s="1750">
        <f>SUM('Revenues 9-14'!C7:D7,'Revenues 9-14'!F7:H7)</f>
        <v>9537</v>
      </c>
      <c r="C14" s="585"/>
      <c r="D14" s="1753">
        <f t="shared" si="0"/>
        <v>9537</v>
      </c>
      <c r="E14" s="585">
        <v>10312</v>
      </c>
      <c r="F14" s="1753">
        <f t="shared" si="1"/>
        <v>10312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28983</v>
      </c>
      <c r="C16" s="585"/>
      <c r="D16" s="1753">
        <f t="shared" si="0"/>
        <v>28983</v>
      </c>
      <c r="E16" s="585">
        <v>55000</v>
      </c>
      <c r="F16" s="1753">
        <f t="shared" si="1"/>
        <v>55000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1173468</v>
      </c>
      <c r="C19" s="1751">
        <f>SUM(C4:C18)</f>
        <v>0</v>
      </c>
      <c r="D19" s="1751">
        <f>SUM(D4:D18)</f>
        <v>1173468</v>
      </c>
      <c r="E19" s="1751">
        <f>SUM(E4:E18)</f>
        <v>1382314</v>
      </c>
      <c r="F19" s="1751">
        <f>SUM(F4:F18)</f>
        <v>1382314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35" sqref="A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1954</v>
      </c>
      <c r="D2" s="723" t="s">
        <v>1955</v>
      </c>
      <c r="E2" s="723" t="s">
        <v>1956</v>
      </c>
      <c r="F2" s="1884" t="s">
        <v>1957</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2082</v>
      </c>
      <c r="B31" s="733">
        <v>40975</v>
      </c>
      <c r="C31" s="734">
        <v>1015000</v>
      </c>
      <c r="D31" s="735">
        <v>2</v>
      </c>
      <c r="E31" s="734">
        <v>685000</v>
      </c>
      <c r="F31" s="734"/>
      <c r="G31" s="734"/>
      <c r="H31" s="734">
        <v>65000</v>
      </c>
      <c r="I31" s="1756">
        <f>((E31+F31)-H31)+G31</f>
        <v>620000</v>
      </c>
      <c r="J31" s="734">
        <v>601799</v>
      </c>
      <c r="K31" s="736"/>
    </row>
    <row r="32" spans="1:11" ht="12" customHeight="1" x14ac:dyDescent="0.2">
      <c r="A32" s="732" t="s">
        <v>2083</v>
      </c>
      <c r="B32" s="733">
        <v>42320</v>
      </c>
      <c r="C32" s="734">
        <v>229000</v>
      </c>
      <c r="D32" s="735">
        <v>2</v>
      </c>
      <c r="E32" s="734">
        <v>197000</v>
      </c>
      <c r="F32" s="734"/>
      <c r="G32" s="734"/>
      <c r="H32" s="734">
        <v>27000</v>
      </c>
      <c r="I32" s="1756">
        <f>((E32+F32)-H32)+G32</f>
        <v>170000</v>
      </c>
      <c r="J32" s="734">
        <v>170000</v>
      </c>
      <c r="K32" s="736"/>
    </row>
    <row r="33" spans="1:11" ht="12" customHeight="1" x14ac:dyDescent="0.2">
      <c r="A33" s="732" t="s">
        <v>2136</v>
      </c>
      <c r="B33" s="733">
        <v>41940</v>
      </c>
      <c r="C33" s="734">
        <v>12221</v>
      </c>
      <c r="D33" s="735">
        <v>7</v>
      </c>
      <c r="E33" s="734">
        <v>3531</v>
      </c>
      <c r="F33" s="734"/>
      <c r="G33" s="734"/>
      <c r="H33" s="734">
        <v>2637</v>
      </c>
      <c r="I33" s="1756">
        <f t="shared" ref="I33:I48" si="1">((E33+F33)-H33)+G33</f>
        <v>894</v>
      </c>
      <c r="J33" s="734">
        <v>894</v>
      </c>
      <c r="K33" s="736"/>
    </row>
    <row r="34" spans="1:11" ht="12" customHeight="1" x14ac:dyDescent="0.2">
      <c r="A34" s="732" t="s">
        <v>2137</v>
      </c>
      <c r="B34" s="733">
        <v>42955</v>
      </c>
      <c r="C34" s="734">
        <v>34371</v>
      </c>
      <c r="D34" s="735">
        <v>7</v>
      </c>
      <c r="E34" s="734">
        <v>28937</v>
      </c>
      <c r="F34" s="734"/>
      <c r="G34" s="734"/>
      <c r="H34" s="734">
        <v>6711</v>
      </c>
      <c r="I34" s="1756">
        <f t="shared" si="1"/>
        <v>22226</v>
      </c>
      <c r="J34" s="734">
        <v>22226</v>
      </c>
      <c r="K34" s="737"/>
    </row>
    <row r="35" spans="1:11" ht="12" customHeight="1" x14ac:dyDescent="0.2">
      <c r="A35" s="732" t="s">
        <v>2135</v>
      </c>
      <c r="B35" s="733">
        <v>43283</v>
      </c>
      <c r="C35" s="738">
        <v>95138</v>
      </c>
      <c r="D35" s="735">
        <v>7</v>
      </c>
      <c r="E35" s="738"/>
      <c r="F35" s="738">
        <v>95138</v>
      </c>
      <c r="G35" s="738"/>
      <c r="H35" s="738">
        <v>17901</v>
      </c>
      <c r="I35" s="1756">
        <f t="shared" si="1"/>
        <v>77237</v>
      </c>
      <c r="J35" s="738">
        <v>77237</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1385730</v>
      </c>
      <c r="D49" s="745"/>
      <c r="E49" s="1756">
        <f t="shared" ref="E49:J49" si="2">SUM(E31:E48)</f>
        <v>914468</v>
      </c>
      <c r="F49" s="1756">
        <f t="shared" si="2"/>
        <v>95138</v>
      </c>
      <c r="G49" s="1756">
        <f t="shared" si="2"/>
        <v>0</v>
      </c>
      <c r="H49" s="1756">
        <f t="shared" si="2"/>
        <v>119249</v>
      </c>
      <c r="I49" s="1756">
        <f t="shared" si="2"/>
        <v>890357</v>
      </c>
      <c r="J49" s="1756">
        <f t="shared" si="2"/>
        <v>872156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t="s">
        <v>2084</v>
      </c>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J22" sqref="J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1962</v>
      </c>
      <c r="B3" s="2225"/>
      <c r="C3" s="2225"/>
      <c r="D3" s="2225"/>
      <c r="E3" s="2226"/>
      <c r="F3" s="763"/>
      <c r="G3" s="764"/>
      <c r="H3" s="764"/>
      <c r="I3" s="764"/>
      <c r="J3" s="765">
        <v>206159</v>
      </c>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9537</v>
      </c>
      <c r="I5" s="772"/>
      <c r="J5" s="773"/>
      <c r="K5" s="773"/>
    </row>
    <row r="6" spans="1:11" x14ac:dyDescent="0.2">
      <c r="A6" s="774" t="s">
        <v>720</v>
      </c>
      <c r="B6" s="775"/>
      <c r="C6" s="775"/>
      <c r="D6" s="775"/>
      <c r="E6" s="776"/>
      <c r="F6" s="777" t="s">
        <v>849</v>
      </c>
      <c r="G6" s="764"/>
      <c r="H6" s="764"/>
      <c r="I6" s="764"/>
      <c r="J6" s="765">
        <v>2040</v>
      </c>
      <c r="K6" s="765"/>
    </row>
    <row r="7" spans="1:11" x14ac:dyDescent="0.2">
      <c r="A7" s="778" t="s">
        <v>246</v>
      </c>
      <c r="B7" s="779"/>
      <c r="C7" s="779"/>
      <c r="D7" s="779"/>
      <c r="E7" s="780"/>
      <c r="F7" s="770" t="s">
        <v>850</v>
      </c>
      <c r="G7" s="767"/>
      <c r="H7" s="767"/>
      <c r="I7" s="767"/>
      <c r="J7" s="781"/>
      <c r="K7" s="765">
        <v>600</v>
      </c>
    </row>
    <row r="8" spans="1:11" x14ac:dyDescent="0.2">
      <c r="A8" s="778" t="s">
        <v>345</v>
      </c>
      <c r="B8" s="779"/>
      <c r="C8" s="779"/>
      <c r="D8" s="779"/>
      <c r="E8" s="780"/>
      <c r="F8" s="770" t="s">
        <v>851</v>
      </c>
      <c r="G8" s="782"/>
      <c r="H8" s="782"/>
      <c r="I8" s="782"/>
      <c r="J8" s="765">
        <v>138209</v>
      </c>
      <c r="K8" s="769"/>
    </row>
    <row r="9" spans="1:11" x14ac:dyDescent="0.2">
      <c r="A9" s="778" t="s">
        <v>138</v>
      </c>
      <c r="B9" s="779"/>
      <c r="C9" s="779"/>
      <c r="D9" s="779"/>
      <c r="E9" s="780"/>
      <c r="F9" s="777" t="s">
        <v>853</v>
      </c>
      <c r="G9" s="782"/>
      <c r="H9" s="771"/>
      <c r="I9" s="771"/>
      <c r="J9" s="781"/>
      <c r="K9" s="765">
        <v>2520</v>
      </c>
    </row>
    <row r="10" spans="1:11" x14ac:dyDescent="0.2">
      <c r="A10" s="2245" t="s">
        <v>1813</v>
      </c>
      <c r="B10" s="2218"/>
      <c r="C10" s="2218"/>
      <c r="D10" s="2218"/>
      <c r="E10" s="2247"/>
      <c r="F10" s="783" t="s">
        <v>862</v>
      </c>
      <c r="G10" s="782"/>
      <c r="H10" s="784">
        <v>51765</v>
      </c>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61302</v>
      </c>
      <c r="I12" s="1758">
        <f>SUM(I5:I11)</f>
        <v>0</v>
      </c>
      <c r="J12" s="1758">
        <f>SUM(J5:J11)</f>
        <v>140249</v>
      </c>
      <c r="K12" s="1758">
        <f>SUM(K5:K11)</f>
        <v>3120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61302</v>
      </c>
      <c r="I14" s="771"/>
      <c r="J14" s="773"/>
      <c r="K14" s="765">
        <v>3120</v>
      </c>
    </row>
    <row r="15" spans="1:11" x14ac:dyDescent="0.2">
      <c r="A15" s="2218" t="s">
        <v>4</v>
      </c>
      <c r="B15" s="2218"/>
      <c r="C15" s="2218"/>
      <c r="D15" s="2218"/>
      <c r="E15" s="2246"/>
      <c r="F15" s="789" t="s">
        <v>855</v>
      </c>
      <c r="G15" s="771"/>
      <c r="H15" s="764"/>
      <c r="I15" s="764"/>
      <c r="J15" s="765">
        <v>19434</v>
      </c>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0</v>
      </c>
      <c r="K21" s="793"/>
    </row>
    <row r="22" spans="1:11" ht="13.5" thickTop="1" x14ac:dyDescent="0.2">
      <c r="A22" s="2218" t="s">
        <v>1815</v>
      </c>
      <c r="B22" s="2218"/>
      <c r="C22" s="2218"/>
      <c r="D22" s="2218"/>
      <c r="E22" s="2246"/>
      <c r="F22" s="789" t="s">
        <v>862</v>
      </c>
      <c r="G22" s="782"/>
      <c r="H22" s="764"/>
      <c r="I22" s="764"/>
      <c r="J22" s="797">
        <v>32308</v>
      </c>
      <c r="K22" s="765"/>
    </row>
    <row r="23" spans="1:11" ht="13.5" thickBot="1" x14ac:dyDescent="0.25">
      <c r="A23" s="2239" t="s">
        <v>906</v>
      </c>
      <c r="B23" s="2238"/>
      <c r="C23" s="2238"/>
      <c r="D23" s="2238"/>
      <c r="E23" s="2238"/>
      <c r="F23" s="1761"/>
      <c r="G23" s="1758">
        <f>SUM(G14:G16,G21,G22)</f>
        <v>0</v>
      </c>
      <c r="H23" s="1758">
        <f>SUM(H14:H16,H21,H22)</f>
        <v>61302</v>
      </c>
      <c r="I23" s="1758">
        <f>SUM(I14:I16,I21,I22)</f>
        <v>0</v>
      </c>
      <c r="J23" s="1758">
        <f>SUM(J14:J16,J21,J22)</f>
        <v>51742</v>
      </c>
      <c r="K23" s="1758">
        <f>SUM(K14:K16,K21,K22)</f>
        <v>3120</v>
      </c>
    </row>
    <row r="24" spans="1:11" ht="14.25" thickTop="1" thickBot="1" x14ac:dyDescent="0.25">
      <c r="A24" s="2239" t="s">
        <v>1963</v>
      </c>
      <c r="B24" s="2238"/>
      <c r="C24" s="2238"/>
      <c r="D24" s="2238"/>
      <c r="E24" s="2238"/>
      <c r="F24" s="1762"/>
      <c r="G24" s="1763">
        <f>SUM(G3,G12)-G23</f>
        <v>0</v>
      </c>
      <c r="H24" s="1763">
        <f>SUM(H3,H12)-H23</f>
        <v>0</v>
      </c>
      <c r="I24" s="1763">
        <f>SUM(I3,I12)-I23</f>
        <v>0</v>
      </c>
      <c r="J24" s="1763">
        <f>SUM(J3,J12)-J23</f>
        <v>294666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294666</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0" colorId="8" zoomScale="110" zoomScaleNormal="110" workbookViewId="0">
      <selection activeCell="C14" sqref="C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25000</v>
      </c>
      <c r="D5" s="841"/>
      <c r="E5" s="841"/>
      <c r="F5" s="1760">
        <f>(C5+D5)-E5</f>
        <v>25000</v>
      </c>
      <c r="G5" s="837"/>
      <c r="H5" s="842"/>
      <c r="I5" s="842"/>
      <c r="J5" s="842"/>
      <c r="K5" s="793"/>
      <c r="L5" s="1769">
        <f>F5-K5</f>
        <v>25000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4979903</v>
      </c>
      <c r="D8" s="844"/>
      <c r="E8" s="844"/>
      <c r="F8" s="1760">
        <f>(C8+D8)-E8</f>
        <v>4979903</v>
      </c>
      <c r="G8" s="843">
        <v>50</v>
      </c>
      <c r="H8" s="765">
        <v>1927153</v>
      </c>
      <c r="I8" s="765">
        <v>99598</v>
      </c>
      <c r="J8" s="765"/>
      <c r="K8" s="1769">
        <f>(H8+I8)-J8</f>
        <v>2026751</v>
      </c>
      <c r="L8" s="1769">
        <f>F8-K8</f>
        <v>2953152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66853</v>
      </c>
      <c r="D10" s="846"/>
      <c r="E10" s="846"/>
      <c r="F10" s="1764">
        <f>(C10+D10)-E10</f>
        <v>66853</v>
      </c>
      <c r="G10" s="843">
        <v>20</v>
      </c>
      <c r="H10" s="847">
        <v>53414</v>
      </c>
      <c r="I10" s="847">
        <v>909</v>
      </c>
      <c r="J10" s="847"/>
      <c r="K10" s="1769">
        <f>(H10+I10)-J10</f>
        <v>54323</v>
      </c>
      <c r="L10" s="1769">
        <f>F10-K10</f>
        <v>12530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757849</v>
      </c>
      <c r="D12" s="844"/>
      <c r="E12" s="844"/>
      <c r="F12" s="1760">
        <f>(C12+D12)-E12</f>
        <v>757849</v>
      </c>
      <c r="G12" s="843">
        <v>10</v>
      </c>
      <c r="H12" s="765">
        <v>744710</v>
      </c>
      <c r="I12" s="765">
        <v>1700</v>
      </c>
      <c r="J12" s="765"/>
      <c r="K12" s="1769">
        <f>(H12+I12)-J12</f>
        <v>746410</v>
      </c>
      <c r="L12" s="1769">
        <f>F12-K12</f>
        <v>11439</v>
      </c>
    </row>
    <row r="13" spans="1:14" ht="14.25" thickTop="1" thickBot="1" x14ac:dyDescent="0.25">
      <c r="A13" s="848" t="s">
        <v>1122</v>
      </c>
      <c r="B13" s="840">
        <v>252</v>
      </c>
      <c r="C13" s="844">
        <v>260957</v>
      </c>
      <c r="D13" s="844">
        <v>95138</v>
      </c>
      <c r="E13" s="844"/>
      <c r="F13" s="1760">
        <f>(C13+D13)-E13</f>
        <v>356095</v>
      </c>
      <c r="G13" s="843">
        <v>5</v>
      </c>
      <c r="H13" s="765">
        <v>207267</v>
      </c>
      <c r="I13" s="765">
        <v>41614</v>
      </c>
      <c r="J13" s="765"/>
      <c r="K13" s="1769">
        <f>(H13+I13)-J13</f>
        <v>248881</v>
      </c>
      <c r="L13" s="1769">
        <f>F13-K13</f>
        <v>107214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6090562</v>
      </c>
      <c r="D16" s="1760">
        <f>SUM(D3,D5:D6,D8:D10,D12:D15)</f>
        <v>95138</v>
      </c>
      <c r="E16" s="1760">
        <f>SUM(E3,E5:E6,E8:E10,E12:E15)</f>
        <v>0</v>
      </c>
      <c r="F16" s="1760">
        <f>SUM(F3,F5:F6,F8:F10,F12:F15)</f>
        <v>6185700</v>
      </c>
      <c r="G16" s="843"/>
      <c r="H16" s="1760">
        <f>SUM(H3,H6,H8:H10,H12:H14,)</f>
        <v>2932544</v>
      </c>
      <c r="I16" s="1760">
        <f>SUM(I3,I6,I8:I10,I12:I14,)</f>
        <v>143821</v>
      </c>
      <c r="J16" s="1760">
        <f>SUM(J3,J6,J8:J10,J12:J14,)</f>
        <v>0</v>
      </c>
      <c r="K16" s="1760">
        <f>(H16+I16)-J16</f>
        <v>3076365</v>
      </c>
      <c r="L16" s="1760">
        <f>F16-K16</f>
        <v>3109335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9107</v>
      </c>
      <c r="G17" s="837">
        <v>10</v>
      </c>
      <c r="H17" s="769"/>
      <c r="I17" s="1769">
        <f>F17/G17</f>
        <v>910.7</v>
      </c>
      <c r="J17" s="769"/>
      <c r="K17" s="795"/>
      <c r="L17" s="795"/>
    </row>
    <row r="18" spans="1:12" ht="14.25" thickTop="1" thickBot="1" x14ac:dyDescent="0.25">
      <c r="A18" s="1767" t="s">
        <v>685</v>
      </c>
      <c r="B18" s="1768"/>
      <c r="C18" s="771"/>
      <c r="D18" s="771"/>
      <c r="E18" s="771"/>
      <c r="F18" s="850"/>
      <c r="G18" s="851"/>
      <c r="H18" s="773"/>
      <c r="I18" s="1760">
        <f>SUM(I16,I17)</f>
        <v>144731.70000000001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2597542</v>
      </c>
      <c r="G8" s="865"/>
    </row>
    <row r="9" spans="1:7" x14ac:dyDescent="0.2">
      <c r="A9" s="869" t="s">
        <v>460</v>
      </c>
      <c r="B9" s="870" t="s">
        <v>1876</v>
      </c>
      <c r="C9" s="871"/>
      <c r="D9" s="869" t="s">
        <v>501</v>
      </c>
      <c r="E9" s="868"/>
      <c r="F9" s="1909">
        <f>'Expenditures 15-22'!K151</f>
        <v>165873</v>
      </c>
      <c r="G9" s="872"/>
    </row>
    <row r="10" spans="1:7" x14ac:dyDescent="0.2">
      <c r="A10" s="869" t="s">
        <v>499</v>
      </c>
      <c r="B10" s="870" t="s">
        <v>1877</v>
      </c>
      <c r="C10" s="871"/>
      <c r="D10" s="869" t="s">
        <v>501</v>
      </c>
      <c r="E10" s="868"/>
      <c r="F10" s="1909">
        <f>'Expenditures 15-22'!K174</f>
        <v>87780</v>
      </c>
      <c r="G10" s="872"/>
    </row>
    <row r="11" spans="1:7" x14ac:dyDescent="0.2">
      <c r="A11" s="869" t="s">
        <v>461</v>
      </c>
      <c r="B11" s="870" t="s">
        <v>1878</v>
      </c>
      <c r="C11" s="871"/>
      <c r="D11" s="869" t="s">
        <v>501</v>
      </c>
      <c r="E11" s="868"/>
      <c r="F11" s="1909">
        <f>'Expenditures 15-22'!K210</f>
        <v>252600</v>
      </c>
      <c r="G11" s="872"/>
    </row>
    <row r="12" spans="1:7" x14ac:dyDescent="0.2">
      <c r="A12" s="869" t="s">
        <v>462</v>
      </c>
      <c r="B12" s="870" t="s">
        <v>1879</v>
      </c>
      <c r="C12" s="871"/>
      <c r="D12" s="869" t="s">
        <v>501</v>
      </c>
      <c r="E12" s="868"/>
      <c r="F12" s="1909">
        <f>'Expenditures 15-22'!K295</f>
        <v>122161</v>
      </c>
      <c r="G12" s="872"/>
    </row>
    <row r="13" spans="1:7" x14ac:dyDescent="0.2">
      <c r="A13" s="869" t="s">
        <v>106</v>
      </c>
      <c r="B13" s="870" t="s">
        <v>1880</v>
      </c>
      <c r="C13" s="871"/>
      <c r="D13" s="869" t="s">
        <v>501</v>
      </c>
      <c r="E13" s="868"/>
      <c r="F13" s="1909">
        <f>'Expenditures 15-22'!K342</f>
        <v>224467</v>
      </c>
      <c r="G13" s="873"/>
    </row>
    <row r="14" spans="1:7" ht="12" customHeight="1" thickBot="1" x14ac:dyDescent="0.25">
      <c r="A14" s="1770"/>
      <c r="B14" s="1771"/>
      <c r="C14" s="1772"/>
      <c r="D14" s="1773" t="s">
        <v>501</v>
      </c>
      <c r="E14" s="1774" t="s">
        <v>958</v>
      </c>
      <c r="F14" s="1775">
        <f>SUM(F8:F13)</f>
        <v>3450423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109237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25932</v>
      </c>
      <c r="G52" s="865"/>
    </row>
    <row r="53" spans="1:7" x14ac:dyDescent="0.2">
      <c r="A53" s="869" t="s">
        <v>459</v>
      </c>
      <c r="B53" s="869" t="s">
        <v>1475</v>
      </c>
      <c r="C53" s="889">
        <f>'Expenditures 15-22'!B102</f>
        <v>4000</v>
      </c>
      <c r="D53" s="888" t="str">
        <f>'Expenditures 15-22'!A102</f>
        <v>Total Payments to Other Govt Units</v>
      </c>
      <c r="E53" s="868"/>
      <c r="F53" s="1913">
        <f>'Expenditures 15-22'!K102</f>
        <v>141085</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4193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4914</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65000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27249</v>
      </c>
      <c r="G64" s="865"/>
    </row>
    <row r="65" spans="1:8" x14ac:dyDescent="0.2">
      <c r="A65" s="869" t="s">
        <v>461</v>
      </c>
      <c r="B65" s="869" t="s">
        <v>1889</v>
      </c>
      <c r="C65" s="886" t="s">
        <v>982</v>
      </c>
      <c r="D65" s="885" t="s">
        <v>1095</v>
      </c>
      <c r="E65" s="868"/>
      <c r="F65" s="1913">
        <f>'Expenditures 15-22'!G210</f>
        <v>95138</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2318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4272</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479338</v>
      </c>
      <c r="G76" s="865"/>
    </row>
    <row r="77" spans="1:8" s="893" customFormat="1" ht="12" customHeight="1" thickTop="1" thickBot="1" x14ac:dyDescent="0.25">
      <c r="A77" s="1779"/>
      <c r="B77" s="1776"/>
      <c r="C77" s="1772"/>
      <c r="D77" s="1777" t="s">
        <v>1899</v>
      </c>
      <c r="E77" s="1774"/>
      <c r="F77" s="1780">
        <f>(F14-F76)</f>
        <v>2971085</v>
      </c>
      <c r="G77" s="869"/>
    </row>
    <row r="78" spans="1:8" s="893" customFormat="1" ht="12" customHeight="1" thickTop="1" x14ac:dyDescent="0.2">
      <c r="A78" s="1781"/>
      <c r="B78" s="1776"/>
      <c r="C78" s="1772"/>
      <c r="D78" s="1777" t="s">
        <v>2060</v>
      </c>
      <c r="E78" s="1774"/>
      <c r="F78" s="898">
        <v>280.60000000000002</v>
      </c>
      <c r="G78" s="899"/>
      <c r="H78" s="869"/>
    </row>
    <row r="79" spans="1:8" s="893" customFormat="1" ht="12" customHeight="1" thickBot="1" x14ac:dyDescent="0.25">
      <c r="A79" s="1782"/>
      <c r="B79" s="1776"/>
      <c r="C79" s="1772"/>
      <c r="D79" s="1777" t="s">
        <v>1900</v>
      </c>
      <c r="E79" s="1774" t="s">
        <v>958</v>
      </c>
      <c r="F79" s="1783">
        <f>IF(F78&gt;0,F77/F78," Complete Line 78")</f>
        <v>10588.328581610833</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30085</v>
      </c>
      <c r="G94" s="912"/>
    </row>
    <row r="95" spans="1:7" x14ac:dyDescent="0.2">
      <c r="A95" s="908" t="s">
        <v>140</v>
      </c>
      <c r="B95" s="908" t="s">
        <v>175</v>
      </c>
      <c r="C95" s="910">
        <v>1700</v>
      </c>
      <c r="D95" s="918" t="str">
        <f>'Revenues 9-14'!A82</f>
        <v>Total District/School Activity Income</v>
      </c>
      <c r="E95" s="906"/>
      <c r="F95" s="1789">
        <f>SUM('Revenues 9-14'!C82,'Revenues 9-14'!D82)</f>
        <v>10577</v>
      </c>
      <c r="G95" s="912"/>
    </row>
    <row r="96" spans="1:7" x14ac:dyDescent="0.2">
      <c r="A96" s="908" t="s">
        <v>459</v>
      </c>
      <c r="B96" s="908" t="s">
        <v>176</v>
      </c>
      <c r="C96" s="910">
        <f>'Revenues 9-14'!B84</f>
        <v>1811</v>
      </c>
      <c r="D96" s="911" t="str">
        <f>'Revenues 9-14'!A84</f>
        <v>Rentals - Regular Textbooks</v>
      </c>
      <c r="E96" s="906"/>
      <c r="F96" s="1789">
        <f>'Revenues 9-14'!C84</f>
        <v>6168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3375</v>
      </c>
      <c r="G104" s="912"/>
    </row>
    <row r="105" spans="1:7" x14ac:dyDescent="0.2">
      <c r="A105" s="908" t="s">
        <v>503</v>
      </c>
      <c r="B105" s="908" t="s">
        <v>2001</v>
      </c>
      <c r="C105" s="913">
        <v>3100</v>
      </c>
      <c r="D105" s="919" t="str">
        <f>'Revenues 9-14'!A132</f>
        <v>Total Special Education</v>
      </c>
      <c r="E105" s="906"/>
      <c r="F105" s="1789">
        <f>SUM('Revenues 9-14'!C132:D132,'Revenues 9-14'!F132)</f>
        <v>1693</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8390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1419</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2520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54845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779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17404</v>
      </c>
      <c r="G124" s="930"/>
    </row>
    <row r="125" spans="1:7" x14ac:dyDescent="0.2">
      <c r="A125" s="927" t="s">
        <v>664</v>
      </c>
      <c r="B125" s="927" t="s">
        <v>2021</v>
      </c>
      <c r="C125" s="932">
        <v>4200</v>
      </c>
      <c r="D125" s="929" t="str">
        <f>'Revenues 9-14'!A198</f>
        <v>Total Food Service</v>
      </c>
      <c r="E125" s="906"/>
      <c r="F125" s="1789">
        <f>SUM('Revenues 9-14'!C198,'Revenues 9-14'!G198)</f>
        <v>80603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139910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32303</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12288</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99861</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502220</v>
      </c>
    </row>
    <row r="175" spans="1:7" ht="12" customHeight="1" x14ac:dyDescent="0.2">
      <c r="A175" s="1770"/>
      <c r="B175" s="1784"/>
      <c r="C175" s="1785"/>
      <c r="D175" s="1786" t="s">
        <v>2055</v>
      </c>
      <c r="E175" s="1787"/>
      <c r="F175" s="1789">
        <f>'PCTC-OEPP 27-28'!F77-F174</f>
        <v>2468865</v>
      </c>
    </row>
    <row r="176" spans="1:7" ht="12" customHeight="1" x14ac:dyDescent="0.2">
      <c r="A176" s="1770"/>
      <c r="B176" s="1784"/>
      <c r="C176" s="1785"/>
      <c r="D176" s="1786" t="s">
        <v>1817</v>
      </c>
      <c r="E176" s="1787"/>
      <c r="F176" s="1789">
        <f>'Cap Outlay Deprec 26'!I18</f>
        <v>144731.70000000001</v>
      </c>
    </row>
    <row r="177" spans="1:7" ht="12" customHeight="1" x14ac:dyDescent="0.2">
      <c r="A177" s="1770"/>
      <c r="B177" s="1784"/>
      <c r="C177" s="1785"/>
      <c r="D177" s="1786" t="s">
        <v>2056</v>
      </c>
      <c r="E177" s="1787"/>
      <c r="F177" s="1789">
        <f>F175+F176</f>
        <v>2613596.7000000002</v>
      </c>
    </row>
    <row r="178" spans="1:7" ht="12" customHeight="1" x14ac:dyDescent="0.2">
      <c r="A178" s="1770"/>
      <c r="B178" s="1790"/>
      <c r="C178" s="1785"/>
      <c r="D178" s="1786" t="str">
        <f>D78</f>
        <v>9 Month ADA from District Average Daily Attendance/Prior General State Aid Inquiry 2018-2019</v>
      </c>
      <c r="E178" s="1787"/>
      <c r="F178" s="1791">
        <f>'PCTC-OEPP 27-28'!F78</f>
        <v>280.60000000000002</v>
      </c>
      <c r="G178" s="930"/>
    </row>
    <row r="179" spans="1:7" ht="12" customHeight="1" thickBot="1" x14ac:dyDescent="0.25">
      <c r="A179" s="1770"/>
      <c r="B179" s="1790"/>
      <c r="C179" s="1785"/>
      <c r="D179" s="1786" t="s">
        <v>2057</v>
      </c>
      <c r="E179" s="1787" t="s">
        <v>1545</v>
      </c>
      <c r="F179" s="1792">
        <f>F177/F178</f>
        <v>9314.3146828225235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6" zoomScaleNormal="100" workbookViewId="0">
      <selection activeCell="D28" sqref="D2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0" t="s">
        <v>1931</v>
      </c>
      <c r="B8" s="2281"/>
      <c r="C8" s="2281"/>
      <c r="D8" s="2281"/>
      <c r="E8" s="2281"/>
      <c r="F8" s="2281"/>
      <c r="G8" s="2282"/>
    </row>
    <row r="9" spans="1:7" ht="15.75" customHeight="1" x14ac:dyDescent="0.25">
      <c r="A9" s="2283" t="s">
        <v>1906</v>
      </c>
      <c r="B9" s="2284"/>
      <c r="C9" s="2284"/>
      <c r="D9" s="2284"/>
      <c r="E9" s="2284"/>
      <c r="F9" s="2284"/>
      <c r="G9" s="2285"/>
    </row>
    <row r="10" spans="1:7" ht="35.25" customHeight="1" x14ac:dyDescent="0.25">
      <c r="A10" s="2280" t="s">
        <v>2063</v>
      </c>
      <c r="B10" s="2281"/>
      <c r="C10" s="2281"/>
      <c r="D10" s="2281"/>
      <c r="E10" s="2281"/>
      <c r="F10" s="2281"/>
      <c r="G10" s="2282"/>
    </row>
    <row r="11" spans="1:7" ht="15" customHeight="1" x14ac:dyDescent="0.25">
      <c r="A11" s="1537" t="s">
        <v>1820</v>
      </c>
      <c r="B11" s="1538"/>
      <c r="C11" s="1538"/>
      <c r="D11" s="1538"/>
      <c r="E11" s="1538"/>
      <c r="F11" s="1538"/>
      <c r="G11" s="1539"/>
    </row>
    <row r="12" spans="1:7" ht="17.25" customHeight="1" x14ac:dyDescent="0.25">
      <c r="A12" s="2280" t="s">
        <v>1933</v>
      </c>
      <c r="B12" s="2281"/>
      <c r="C12" s="2281"/>
      <c r="D12" s="2281"/>
      <c r="E12" s="2281"/>
      <c r="F12" s="2281"/>
      <c r="G12" s="2282"/>
    </row>
    <row r="13" spans="1:7" ht="15" customHeight="1" x14ac:dyDescent="0.25">
      <c r="A13" s="1537" t="s">
        <v>1825</v>
      </c>
      <c r="B13" s="1538"/>
      <c r="C13" s="1538"/>
      <c r="D13" s="1538"/>
      <c r="E13" s="1538"/>
      <c r="F13" s="1538"/>
      <c r="G13" s="1539"/>
    </row>
    <row r="14" spans="1:7" ht="32.25" customHeight="1" x14ac:dyDescent="0.25">
      <c r="A14" s="2271" t="s">
        <v>1974</v>
      </c>
      <c r="B14" s="2272"/>
      <c r="C14" s="2272"/>
      <c r="D14" s="2272"/>
      <c r="E14" s="2272"/>
      <c r="F14" s="2272"/>
      <c r="G14" s="2273"/>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2086</v>
      </c>
      <c r="B18" s="1940" t="s">
        <v>2088</v>
      </c>
      <c r="C18" s="1941" t="s">
        <v>2085</v>
      </c>
      <c r="D18" s="1844">
        <v>6525</v>
      </c>
      <c r="E18" s="1540">
        <f t="shared" ref="E18:E142" si="0">IF(D18&lt;=25000,D18,IF(D18&gt;25000,25000,0))</f>
        <v>6525</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6525</v>
      </c>
      <c r="G18" s="1793">
        <f>IF(F18=0,0,D18-F18)</f>
        <v>0</v>
      </c>
      <c r="H18" s="1647"/>
    </row>
    <row r="19" spans="1:8" x14ac:dyDescent="0.25">
      <c r="A19" s="1942" t="s">
        <v>2086</v>
      </c>
      <c r="B19" s="1940" t="s">
        <v>2088</v>
      </c>
      <c r="C19" s="1941" t="s">
        <v>2089</v>
      </c>
      <c r="D19" s="1844">
        <v>1594</v>
      </c>
      <c r="E19" s="1540">
        <f t="shared" ref="E19:E141" si="2">IF(D19&lt;=25000,D19,IF(D19&gt;25000,25000,0))</f>
        <v>1594</v>
      </c>
      <c r="F19" s="1936">
        <f t="shared" si="1"/>
        <v>1594</v>
      </c>
      <c r="G19" s="1793">
        <f t="shared" ref="G19:G141" si="3">IF(F19=0,0,D19-F19)</f>
        <v>0</v>
      </c>
    </row>
    <row r="20" spans="1:8" x14ac:dyDescent="0.25">
      <c r="A20" s="1942" t="s">
        <v>2090</v>
      </c>
      <c r="B20" s="1940" t="s">
        <v>2087</v>
      </c>
      <c r="C20" s="1941" t="s">
        <v>2091</v>
      </c>
      <c r="D20" s="1844">
        <v>5950</v>
      </c>
      <c r="E20" s="1540">
        <f t="shared" si="2"/>
        <v>5950</v>
      </c>
      <c r="F20" s="1936">
        <f t="shared" si="1"/>
        <v>5950</v>
      </c>
      <c r="G20" s="1793">
        <f t="shared" si="3"/>
        <v>0</v>
      </c>
    </row>
    <row r="21" spans="1:8" x14ac:dyDescent="0.25">
      <c r="A21" s="1942" t="s">
        <v>2090</v>
      </c>
      <c r="B21" s="1940" t="s">
        <v>2087</v>
      </c>
      <c r="C21" s="1941" t="s">
        <v>2089</v>
      </c>
      <c r="D21" s="1844">
        <v>4199</v>
      </c>
      <c r="E21" s="1540">
        <f t="shared" si="2"/>
        <v>4199</v>
      </c>
      <c r="F21" s="1936">
        <f t="shared" si="1"/>
        <v>4199</v>
      </c>
      <c r="G21" s="1793">
        <f t="shared" si="3"/>
        <v>0</v>
      </c>
    </row>
    <row r="22" spans="1:8" x14ac:dyDescent="0.25">
      <c r="A22" s="1942" t="s">
        <v>2090</v>
      </c>
      <c r="B22" s="1940" t="s">
        <v>2092</v>
      </c>
      <c r="C22" s="1941" t="s">
        <v>2065</v>
      </c>
      <c r="D22" s="1844">
        <v>500</v>
      </c>
      <c r="E22" s="1540">
        <f t="shared" si="2"/>
        <v>500</v>
      </c>
      <c r="F22" s="1936">
        <f t="shared" si="1"/>
        <v>500</v>
      </c>
      <c r="G22" s="1793">
        <f t="shared" si="3"/>
        <v>0</v>
      </c>
    </row>
    <row r="23" spans="1:8" x14ac:dyDescent="0.25">
      <c r="A23" s="1942" t="s">
        <v>2093</v>
      </c>
      <c r="B23" s="1940" t="s">
        <v>2094</v>
      </c>
      <c r="C23" s="1941" t="s">
        <v>2095</v>
      </c>
      <c r="D23" s="1844">
        <v>4465</v>
      </c>
      <c r="E23" s="1540">
        <f t="shared" si="2"/>
        <v>4465</v>
      </c>
      <c r="F23" s="1936">
        <f t="shared" si="1"/>
        <v>4465</v>
      </c>
      <c r="G23" s="1793">
        <f t="shared" si="3"/>
        <v>0</v>
      </c>
    </row>
    <row r="24" spans="1:8" x14ac:dyDescent="0.25">
      <c r="A24" s="1942" t="s">
        <v>2093</v>
      </c>
      <c r="B24" s="1940" t="s">
        <v>2094</v>
      </c>
      <c r="C24" s="1941" t="s">
        <v>2065</v>
      </c>
      <c r="D24" s="1844">
        <v>16125</v>
      </c>
      <c r="E24" s="1540">
        <f t="shared" si="2"/>
        <v>16125</v>
      </c>
      <c r="F24" s="1936">
        <f t="shared" si="1"/>
        <v>16125</v>
      </c>
      <c r="G24" s="1793">
        <f t="shared" si="3"/>
        <v>0</v>
      </c>
    </row>
    <row r="25" spans="1:8" x14ac:dyDescent="0.25">
      <c r="A25" s="1942" t="s">
        <v>2093</v>
      </c>
      <c r="B25" s="1940" t="s">
        <v>2094</v>
      </c>
      <c r="C25" s="1941" t="s">
        <v>2096</v>
      </c>
      <c r="D25" s="1844">
        <v>1700</v>
      </c>
      <c r="E25" s="1540">
        <f t="shared" si="2"/>
        <v>1700</v>
      </c>
      <c r="F25" s="1936">
        <f t="shared" si="1"/>
        <v>1700</v>
      </c>
      <c r="G25" s="1793">
        <f t="shared" si="3"/>
        <v>0</v>
      </c>
    </row>
    <row r="26" spans="1:8" x14ac:dyDescent="0.25">
      <c r="A26" s="1942" t="s">
        <v>2093</v>
      </c>
      <c r="B26" s="1940" t="s">
        <v>2094</v>
      </c>
      <c r="C26" s="1941" t="s">
        <v>2097</v>
      </c>
      <c r="D26" s="1844">
        <v>6000</v>
      </c>
      <c r="E26" s="1540">
        <f t="shared" si="2"/>
        <v>6000</v>
      </c>
      <c r="F26" s="1936">
        <f t="shared" si="1"/>
        <v>6000</v>
      </c>
      <c r="G26" s="1793">
        <f t="shared" si="3"/>
        <v>0</v>
      </c>
    </row>
    <row r="27" spans="1:8" x14ac:dyDescent="0.25">
      <c r="A27" s="1942" t="s">
        <v>2093</v>
      </c>
      <c r="B27" s="1940" t="s">
        <v>2094</v>
      </c>
      <c r="C27" s="1941" t="s">
        <v>2098</v>
      </c>
      <c r="D27" s="1844">
        <v>2200</v>
      </c>
      <c r="E27" s="1540">
        <f t="shared" si="2"/>
        <v>2200</v>
      </c>
      <c r="F27" s="1936">
        <f t="shared" si="1"/>
        <v>2200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49258</v>
      </c>
      <c r="E142" s="1541">
        <f t="shared" si="0"/>
        <v>25000</v>
      </c>
      <c r="F142" s="1932">
        <f>SUM(F18:F141)</f>
        <v>49258</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66278</v>
      </c>
      <c r="F10" s="974"/>
      <c r="G10" s="975"/>
      <c r="H10" s="162"/>
      <c r="I10" s="162"/>
    </row>
    <row r="11" spans="1:9" s="668" customFormat="1" ht="22.5" customHeight="1" x14ac:dyDescent="0.2">
      <c r="A11" s="2291" t="s">
        <v>1975</v>
      </c>
      <c r="B11" s="2292"/>
      <c r="C11" s="2292"/>
      <c r="D11" s="2293"/>
      <c r="E11" s="977">
        <v>8764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1830397</v>
      </c>
      <c r="F19" s="1799"/>
      <c r="G19" s="1801">
        <f>'Expenditures 15-22'!K33-SUM('Expenditures 15-22'!G33,'Expenditures 15-22'!I33)+'Expenditures 15-22'!D229</f>
        <v>1830397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69062</v>
      </c>
      <c r="F21" s="1802"/>
      <c r="G21" s="1805">
        <f>'Expenditures 15-22'!K42-SUM('Expenditures 15-22'!G42,'Expenditures 15-22'!I42)+'Expenditures 15-22'!K120-SUM('Expenditures 15-22'!G120,'Expenditures 15-22'!I120)+'Expenditures 15-22'!K180-SUM('Expenditures 15-22'!G180,'Expenditures 15-22'!I180)+'Expenditures 15-22'!D238</f>
        <v>69062</v>
      </c>
      <c r="H21" s="987"/>
      <c r="I21" s="162"/>
    </row>
    <row r="22" spans="1:9" s="668" customFormat="1" ht="12" customHeight="1" x14ac:dyDescent="0.2">
      <c r="A22" s="994" t="s">
        <v>564</v>
      </c>
      <c r="B22" s="995"/>
      <c r="C22" s="993">
        <v>2200</v>
      </c>
      <c r="D22" s="1802"/>
      <c r="E22" s="1804">
        <f>'Expenditures 15-22'!K47-SUM('Expenditures 15-22'!G47,'Expenditures 15-22'!I47)+'Expenditures 15-22'!D243</f>
        <v>48135</v>
      </c>
      <c r="F22" s="1802"/>
      <c r="G22" s="1805">
        <f>'Expenditures 15-22'!K47-SUM('Expenditures 15-22'!G47,'Expenditures 15-22'!I47)+'Expenditures 15-22'!D243</f>
        <v>48135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261613</v>
      </c>
      <c r="F23" s="1802"/>
      <c r="G23" s="1804">
        <f>'Expenditures 15-22'!K53-SUM('Expenditures 15-22'!G53,'Expenditures 15-22'!I53)+'Expenditures 15-22'!D257+'Expenditures 15-22'!K330-SUM('Expenditures 15-22'!G330,'Expenditures 15-22'!I330)</f>
        <v>261613</v>
      </c>
      <c r="H23" s="987"/>
      <c r="I23" s="162"/>
    </row>
    <row r="24" spans="1:9" s="668" customFormat="1" ht="12" customHeight="1" x14ac:dyDescent="0.2">
      <c r="A24" s="994" t="s">
        <v>566</v>
      </c>
      <c r="B24" s="995"/>
      <c r="C24" s="993">
        <v>2400</v>
      </c>
      <c r="D24" s="1802"/>
      <c r="E24" s="1804">
        <f>'Expenditures 15-22'!K57-SUM('Expenditures 15-22'!G57,'Expenditures 15-22'!I57)+'Expenditures 15-22'!D261</f>
        <v>245156</v>
      </c>
      <c r="F24" s="1802"/>
      <c r="G24" s="1805">
        <f>'Expenditures 15-22'!K57-SUM('Expenditures 15-22'!G57,'Expenditures 15-22'!I57)+'Expenditures 15-22'!D261</f>
        <v>245156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74738</v>
      </c>
      <c r="E27" s="1804">
        <f>E8</f>
        <v>0</v>
      </c>
      <c r="F27" s="1804">
        <f>'Expenditures 15-22'!K60-SUM('Expenditures 15-22'!G60,'Expenditures 15-22'!I60)+'Expenditures 15-22'!D264-E8</f>
        <v>74738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241035</v>
      </c>
      <c r="F28" s="1806">
        <f>'Expenditures 15-22'!K61-SUM('Expenditures 15-22'!G61,'Expenditures 15-22'!I61)+'Expenditures 15-22'!K124-SUM('Expenditures 15-22'!G124,'Expenditures 15-22'!I124)+'Expenditures 15-22'!D266-E9</f>
        <v>241035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126398</v>
      </c>
      <c r="F29" s="1802"/>
      <c r="G29" s="1805">
        <f>'Expenditures 15-22'!K62-SUM('Expenditures 15-22'!G62,'Expenditures 15-22'!I62)+'Expenditures 15-22'!K125-SUM('Expenditures 15-22'!G125,'Expenditures 15-22'!I125)+'Expenditures 15-22'!K182-SUM('Expenditures 15-22'!G182,'Expenditures 15-22'!I182)+'Expenditures 15-22'!D267</f>
        <v>126398</v>
      </c>
      <c r="H29" s="985"/>
    </row>
    <row r="30" spans="1:9" ht="12" customHeight="1" x14ac:dyDescent="0.2">
      <c r="A30" s="994" t="s">
        <v>100</v>
      </c>
      <c r="B30" s="997"/>
      <c r="C30" s="993">
        <v>2560</v>
      </c>
      <c r="D30" s="1802"/>
      <c r="E30" s="1804">
        <f>'Expenditures 15-22'!K63-SUM('Expenditures 15-22'!G63,'Expenditures 15-22'!I63)+'Expenditures 15-22'!D268-E10</f>
        <v>80603</v>
      </c>
      <c r="F30" s="1802"/>
      <c r="G30" s="1804">
        <f>'Expenditures 15-22'!K63-SUM('Expenditures 15-22'!G63,'Expenditures 15-22'!I63)+'Expenditures 15-22'!D268-E10</f>
        <v>80603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992</v>
      </c>
      <c r="F38" s="1802"/>
      <c r="G38" s="1804">
        <f>'Expenditures 15-22'!K73-SUM('Expenditures 15-22'!G73,'Expenditures 15-22'!I73)+'Expenditures 15-22'!K128-SUM('Expenditures 15-22'!G128,'Expenditures 15-22'!I128)+'Expenditures 15-22'!K183-SUM('Expenditures 15-22'!G183,'Expenditures 15-22'!I183)+'Expenditures 15-22'!D278</f>
        <v>992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30204</v>
      </c>
      <c r="F39" s="1802"/>
      <c r="G39" s="1804">
        <f>'Expenditures 15-22'!K75-SUM('Expenditures 15-22'!G75,'Expenditures 15-22'!I75)+'Expenditures 15-22'!K130-SUM('Expenditures 15-22'!G130,'Expenditures 15-22'!I130)+'Expenditures 15-22'!K185-SUM('Expenditures 15-22'!G185,'Expenditures 15-22'!I185)+'Expenditures 15-22'!D280</f>
        <v>30204</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74738</v>
      </c>
      <c r="E41" s="1806">
        <f>SUM(E19:E40)</f>
        <v>2933595</v>
      </c>
      <c r="F41" s="1806">
        <f>SUM(F19:F39)</f>
        <v>315773</v>
      </c>
      <c r="G41" s="1806">
        <f>SUM(G19:G40)</f>
        <v>2692560</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74738</v>
      </c>
      <c r="F43" s="1807" t="s">
        <v>473</v>
      </c>
      <c r="G43" s="1808">
        <f>F41</f>
        <v>315773</v>
      </c>
    </row>
    <row r="44" spans="1:7" ht="12" customHeight="1" x14ac:dyDescent="0.2">
      <c r="A44" s="987"/>
      <c r="B44" s="162"/>
      <c r="C44" s="1001"/>
      <c r="D44" s="1807" t="s">
        <v>474</v>
      </c>
      <c r="E44" s="1808">
        <f>E41</f>
        <v>2933595</v>
      </c>
      <c r="F44" s="1807" t="s">
        <v>474</v>
      </c>
      <c r="G44" s="1808">
        <f>G41</f>
        <v>2692560</v>
      </c>
    </row>
    <row r="45" spans="1:7" ht="12" customHeight="1" x14ac:dyDescent="0.2">
      <c r="A45" s="987"/>
      <c r="B45" s="162"/>
      <c r="C45" s="162"/>
      <c r="D45" s="1809" t="s">
        <v>1006</v>
      </c>
      <c r="E45" s="1810">
        <f>(E43/E44)</f>
        <v>2.5476591008642979E-2</v>
      </c>
      <c r="F45" s="1809" t="s">
        <v>1006</v>
      </c>
      <c r="G45" s="1810">
        <f>(G43/G44)</f>
        <v>0.11727612383753751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0" activePane="bottomLeft" state="frozen"/>
      <selection activeCell="A47" sqref="A47"/>
      <selection pane="bottomLeft"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Grayville CUSD 1</v>
      </c>
      <c r="D6" s="2301"/>
      <c r="E6" s="2301"/>
      <c r="F6" s="1852"/>
    </row>
    <row r="7" spans="1:10" ht="11.25" customHeight="1" thickBot="1" x14ac:dyDescent="0.3">
      <c r="A7" s="1850"/>
      <c r="B7" s="1851"/>
      <c r="C7" s="2302">
        <f>COVER!A13</f>
        <v>20097001026</v>
      </c>
      <c r="D7" s="2302"/>
      <c r="E7" s="230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2066</v>
      </c>
      <c r="D11" s="1865" t="s">
        <v>2066</v>
      </c>
      <c r="E11" s="1866" t="s">
        <v>2099</v>
      </c>
      <c r="F11" s="1867" t="s">
        <v>2100</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2066</v>
      </c>
      <c r="D24" s="1865" t="s">
        <v>2066</v>
      </c>
      <c r="E24" s="1868" t="s">
        <v>2099</v>
      </c>
      <c r="F24" s="1867" t="s">
        <v>2100</v>
      </c>
      <c r="H24" s="1878">
        <f t="shared" si="0"/>
        <v>5</v>
      </c>
      <c r="I24" s="1878">
        <f t="shared" si="1"/>
        <v>5</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2066</v>
      </c>
      <c r="D26" s="1865" t="s">
        <v>2066</v>
      </c>
      <c r="E26" s="1868" t="s">
        <v>2099</v>
      </c>
      <c r="F26" s="1867" t="s">
        <v>2101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2066</v>
      </c>
      <c r="D31" s="1865" t="s">
        <v>2066</v>
      </c>
      <c r="E31" s="1868" t="s">
        <v>2099</v>
      </c>
      <c r="F31" s="1867" t="s">
        <v>2102</v>
      </c>
      <c r="H31" s="1878">
        <f t="shared" si="0"/>
        <v>5</v>
      </c>
      <c r="I31" s="1878">
        <f t="shared" si="1"/>
        <v>5</v>
      </c>
      <c r="J31" s="1878">
        <f t="shared" si="2"/>
        <v>0</v>
      </c>
      <c r="L31" s="1869"/>
    </row>
    <row r="32" spans="1:12" ht="12" customHeight="1" x14ac:dyDescent="0.2">
      <c r="A32" s="1863" t="s">
        <v>1540</v>
      </c>
      <c r="B32" s="1864"/>
      <c r="C32" s="1865" t="s">
        <v>2066</v>
      </c>
      <c r="D32" s="1865" t="s">
        <v>2066</v>
      </c>
      <c r="E32" s="1868" t="s">
        <v>2099</v>
      </c>
      <c r="F32" s="1867" t="s">
        <v>2103</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Grayville CUSD 1</v>
      </c>
      <c r="J6" s="2322"/>
      <c r="Q6" s="1664"/>
    </row>
    <row r="7" spans="1:17" x14ac:dyDescent="0.2">
      <c r="A7" s="2323" t="s">
        <v>869</v>
      </c>
      <c r="B7" s="2324"/>
      <c r="C7" s="2324"/>
      <c r="D7" s="2324"/>
      <c r="E7" s="2325"/>
      <c r="F7" s="1017"/>
      <c r="G7" s="1009"/>
      <c r="H7" s="1016" t="s">
        <v>372</v>
      </c>
      <c r="I7" s="2326">
        <f>COVER!A13</f>
        <v>20097001026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24869</v>
      </c>
      <c r="F12" s="1039"/>
      <c r="G12" s="1811">
        <f t="shared" ref="G12:G18" si="0">SUM(E12:F12)</f>
        <v>24869</v>
      </c>
      <c r="H12" s="1040">
        <v>23715</v>
      </c>
      <c r="I12" s="1039"/>
      <c r="J12" s="1811">
        <f t="shared" ref="J12:J18" si="1">SUM(H12:I12)</f>
        <v>23715</v>
      </c>
    </row>
    <row r="13" spans="1:17" ht="15" customHeight="1" x14ac:dyDescent="0.2">
      <c r="A13" s="1035">
        <v>2</v>
      </c>
      <c r="B13" s="1036" t="s">
        <v>42</v>
      </c>
      <c r="C13" s="1037"/>
      <c r="D13" s="1038">
        <v>2330</v>
      </c>
      <c r="E13" s="1811">
        <f>'Expenditures 15-22'!K51</f>
        <v>2041</v>
      </c>
      <c r="F13" s="1039"/>
      <c r="G13" s="1811">
        <f t="shared" si="0"/>
        <v>2041</v>
      </c>
      <c r="H13" s="1040">
        <v>2000</v>
      </c>
      <c r="I13" s="1039"/>
      <c r="J13" s="1811">
        <f t="shared" si="1"/>
        <v>2000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26910</v>
      </c>
      <c r="F19" s="1813">
        <f t="shared" si="2"/>
        <v>0</v>
      </c>
      <c r="G19" s="1813">
        <f t="shared" si="2"/>
        <v>26910</v>
      </c>
      <c r="H19" s="1813">
        <f t="shared" si="2"/>
        <v>25715</v>
      </c>
      <c r="I19" s="1813">
        <f t="shared" si="2"/>
        <v>0</v>
      </c>
      <c r="J19" s="1813">
        <f t="shared" si="2"/>
        <v>25715</v>
      </c>
    </row>
    <row r="20" spans="1:10" ht="13.5" thickTop="1" x14ac:dyDescent="0.2">
      <c r="A20" s="1035">
        <v>9</v>
      </c>
      <c r="B20" s="2333" t="s">
        <v>1979</v>
      </c>
      <c r="C20" s="2333"/>
      <c r="D20" s="2334"/>
      <c r="E20" s="1046"/>
      <c r="F20" s="1046"/>
      <c r="G20" s="1046"/>
      <c r="H20" s="1046"/>
      <c r="I20" s="1046"/>
      <c r="J20" s="1814">
        <f>IF(AND(G19&gt;0,J19&gt;0),(((J19-G19)/G19)),"Enter Budget Data")</f>
        <v>-4.440728353771832E-2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5"/>
  <sheetViews>
    <sheetView showGridLines="0" zoomScale="110" zoomScaleNormal="110" workbookViewId="0">
      <selection activeCell="C10" sqref="C10"/>
    </sheetView>
  </sheetViews>
  <sheetFormatPr defaultRowHeight="12.75" x14ac:dyDescent="0.2"/>
  <cols>
    <col min="1" max="1" width="3" style="329" customWidth="1"/>
    <col min="2" max="2" width="66.140625" style="329" bestFit="1" customWidth="1"/>
    <col min="3" max="3" width="56.5703125" style="329" bestFit="1" customWidth="1"/>
    <col min="4" max="16384" width="9.140625" style="329"/>
  </cols>
  <sheetData>
    <row r="2" spans="1:5" x14ac:dyDescent="0.2">
      <c r="A2" s="389" t="s">
        <v>258</v>
      </c>
    </row>
    <row r="3" spans="1:5" x14ac:dyDescent="0.2">
      <c r="A3" s="329" t="s">
        <v>259</v>
      </c>
    </row>
    <row r="5" spans="1:5" x14ac:dyDescent="0.2">
      <c r="A5" s="1068">
        <v>1</v>
      </c>
      <c r="B5" s="329" t="s">
        <v>2104</v>
      </c>
      <c r="C5" s="329" t="s">
        <v>2105</v>
      </c>
    </row>
    <row r="6" spans="1:5" x14ac:dyDescent="0.2">
      <c r="A6" s="1068"/>
    </row>
    <row r="7" spans="1:5" x14ac:dyDescent="0.2">
      <c r="A7" s="1068">
        <v>2</v>
      </c>
      <c r="B7" s="329" t="s">
        <v>2106</v>
      </c>
      <c r="C7" s="329" t="s">
        <v>2108</v>
      </c>
    </row>
    <row r="8" spans="1:5" x14ac:dyDescent="0.2">
      <c r="A8" s="1068"/>
    </row>
    <row r="9" spans="1:5" x14ac:dyDescent="0.2">
      <c r="A9" s="1069">
        <v>3</v>
      </c>
      <c r="B9" s="329" t="s">
        <v>2107</v>
      </c>
      <c r="C9" s="674" t="s">
        <v>2139</v>
      </c>
      <c r="D9" s="674"/>
      <c r="E9" s="674"/>
    </row>
    <row r="10" spans="1:5" x14ac:dyDescent="0.2">
      <c r="A10" s="1069"/>
    </row>
    <row r="11" spans="1:5" x14ac:dyDescent="0.2">
      <c r="A11" s="1069">
        <v>4</v>
      </c>
      <c r="B11" s="329" t="s">
        <v>2109</v>
      </c>
      <c r="C11" s="674" t="s">
        <v>2138</v>
      </c>
    </row>
    <row r="12" spans="1:5" x14ac:dyDescent="0.2">
      <c r="A12" s="1069"/>
    </row>
    <row r="13" spans="1:5" x14ac:dyDescent="0.2">
      <c r="A13" s="1069">
        <v>5</v>
      </c>
      <c r="B13" s="329" t="s">
        <v>2110</v>
      </c>
      <c r="C13" s="329" t="s">
        <v>2111</v>
      </c>
    </row>
    <row r="14" spans="1:5" x14ac:dyDescent="0.2">
      <c r="A14" s="1069"/>
      <c r="C14" s="329" t="s">
        <v>2112</v>
      </c>
    </row>
    <row r="15" spans="1:5" x14ac:dyDescent="0.2">
      <c r="A15" s="1069"/>
    </row>
    <row r="16" spans="1:5" x14ac:dyDescent="0.2">
      <c r="A16" s="1069">
        <v>6</v>
      </c>
      <c r="B16" s="329" t="s">
        <v>2113</v>
      </c>
      <c r="C16" s="329" t="s">
        <v>2114</v>
      </c>
    </row>
    <row r="17" spans="1:3" x14ac:dyDescent="0.2">
      <c r="A17" s="1069"/>
    </row>
    <row r="18" spans="1:3" x14ac:dyDescent="0.2">
      <c r="A18" s="1069">
        <v>7</v>
      </c>
      <c r="B18" s="329" t="s">
        <v>2115</v>
      </c>
      <c r="C18" s="329" t="s">
        <v>2116</v>
      </c>
    </row>
    <row r="19" spans="1:3" x14ac:dyDescent="0.2">
      <c r="A19" s="1069"/>
    </row>
    <row r="20" spans="1:3" x14ac:dyDescent="0.2">
      <c r="A20" s="1069">
        <v>8</v>
      </c>
      <c r="B20" s="329" t="s">
        <v>2117</v>
      </c>
      <c r="C20" s="329" t="s">
        <v>2118</v>
      </c>
    </row>
    <row r="21" spans="1:3" x14ac:dyDescent="0.2">
      <c r="A21" s="1069"/>
    </row>
    <row r="22" spans="1:3" x14ac:dyDescent="0.2">
      <c r="A22" s="1069">
        <v>9</v>
      </c>
      <c r="B22" s="329" t="s">
        <v>2119</v>
      </c>
      <c r="C22" s="329" t="s">
        <v>2120</v>
      </c>
    </row>
    <row r="23" spans="1:3" x14ac:dyDescent="0.2">
      <c r="A23" s="1069"/>
    </row>
    <row r="24" spans="1:3" x14ac:dyDescent="0.2">
      <c r="A24" s="1069">
        <v>10</v>
      </c>
      <c r="B24" s="329" t="s">
        <v>2121</v>
      </c>
      <c r="C24" s="329" t="s">
        <v>2122</v>
      </c>
    </row>
    <row r="25" spans="1:3" x14ac:dyDescent="0.2">
      <c r="A25" s="1069"/>
    </row>
    <row r="26" spans="1:3" x14ac:dyDescent="0.2">
      <c r="A26" s="1069">
        <v>11</v>
      </c>
      <c r="B26" s="329" t="s">
        <v>2123</v>
      </c>
      <c r="C26" s="329" t="s">
        <v>2124</v>
      </c>
    </row>
    <row r="27" spans="1:3" x14ac:dyDescent="0.2">
      <c r="A27" s="1069"/>
    </row>
    <row r="28" spans="1:3" x14ac:dyDescent="0.2">
      <c r="A28" s="1069">
        <v>12</v>
      </c>
      <c r="B28" s="329" t="s">
        <v>2125</v>
      </c>
      <c r="C28" s="329" t="s">
        <v>2126</v>
      </c>
    </row>
    <row r="29" spans="1:3" x14ac:dyDescent="0.2">
      <c r="A29" s="1069"/>
    </row>
    <row r="30" spans="1:3" x14ac:dyDescent="0.2">
      <c r="A30" s="1069">
        <v>13</v>
      </c>
      <c r="B30" s="1943" t="s">
        <v>2127</v>
      </c>
    </row>
    <row r="31" spans="1:3" x14ac:dyDescent="0.2">
      <c r="A31" s="1069"/>
      <c r="B31" s="329" t="s">
        <v>2128</v>
      </c>
      <c r="C31" s="329" t="s">
        <v>2129</v>
      </c>
    </row>
    <row r="32" spans="1:3" x14ac:dyDescent="0.2">
      <c r="A32" s="1069"/>
    </row>
    <row r="33" spans="1:3" ht="15" x14ac:dyDescent="0.2">
      <c r="A33" s="1069">
        <v>14</v>
      </c>
      <c r="B33" s="1944" t="s">
        <v>2130</v>
      </c>
    </row>
    <row r="34" spans="1:3" x14ac:dyDescent="0.2">
      <c r="A34" s="1069"/>
      <c r="B34" s="329" t="s">
        <v>2131</v>
      </c>
      <c r="C34" s="329" t="s">
        <v>2132</v>
      </c>
    </row>
    <row r="35" spans="1:3" x14ac:dyDescent="0.2">
      <c r="A35" s="1069"/>
      <c r="C35" s="329" t="s">
        <v>2133</v>
      </c>
    </row>
    <row r="36" spans="1:3" x14ac:dyDescent="0.2">
      <c r="A36" s="1069"/>
      <c r="C36" s="329" t="s">
        <v>2134</v>
      </c>
    </row>
    <row r="37" spans="1:3" x14ac:dyDescent="0.2">
      <c r="A37" s="1069"/>
    </row>
    <row r="38" spans="1:3" x14ac:dyDescent="0.2">
      <c r="A38" s="1069"/>
    </row>
    <row r="39" spans="1:3" x14ac:dyDescent="0.2">
      <c r="A39" s="1069"/>
    </row>
    <row r="40" spans="1:3" x14ac:dyDescent="0.2">
      <c r="A40" s="1069"/>
    </row>
    <row r="41" spans="1:3" x14ac:dyDescent="0.2">
      <c r="A41" s="1069"/>
    </row>
    <row r="42" spans="1:3" x14ac:dyDescent="0.2">
      <c r="A42" s="1069"/>
    </row>
    <row r="43" spans="1:3" x14ac:dyDescent="0.2">
      <c r="A43" s="1069"/>
    </row>
    <row r="44" spans="1:3" x14ac:dyDescent="0.2">
      <c r="A44" s="1069"/>
    </row>
    <row r="45" spans="1:3" x14ac:dyDescent="0.2">
      <c r="A45" s="1069"/>
    </row>
    <row r="46" spans="1:3" x14ac:dyDescent="0.2">
      <c r="A46" s="1069"/>
    </row>
    <row r="47" spans="1:3" x14ac:dyDescent="0.2">
      <c r="A47" s="1069"/>
    </row>
    <row r="48" spans="1:3"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Grayville CUSD 1</v>
      </c>
    </row>
    <row r="65" spans="2:2" x14ac:dyDescent="0.2">
      <c r="B65" s="1070">
        <f>COVER!A13</f>
        <v>20097001026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619125</xdr:colOff>
                <xdr:row>3</xdr:row>
                <xdr:rowOff>95250</xdr:rowOff>
              </from>
              <to>
                <xdr:col>1</xdr:col>
                <xdr:colOff>1533525</xdr:colOff>
                <xdr:row>8</xdr:row>
                <xdr:rowOff>57150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2658278</v>
      </c>
      <c r="C8" s="1815">
        <f>'Acct Summary 7-8'!D8</f>
        <v>173346</v>
      </c>
      <c r="D8" s="1815">
        <f>'Acct Summary 7-8'!F8</f>
        <v>159683</v>
      </c>
      <c r="E8" s="1815">
        <f>'Acct Summary 7-8'!I8</f>
        <v>12083</v>
      </c>
      <c r="F8" s="1815">
        <f>SUM(B8:E8)</f>
        <v>3003390</v>
      </c>
    </row>
    <row r="9" spans="1:8" s="1079" customFormat="1" ht="14.25" customHeight="1" thickBot="1" x14ac:dyDescent="0.25">
      <c r="A9" s="1078" t="s">
        <v>1369</v>
      </c>
      <c r="B9" s="1816">
        <f>'Acct Summary 7-8'!C17</f>
        <v>2597542</v>
      </c>
      <c r="C9" s="1816">
        <f>'Acct Summary 7-8'!D17</f>
        <v>165873</v>
      </c>
      <c r="D9" s="1816">
        <f>'Acct Summary 7-8'!F17</f>
        <v>252600</v>
      </c>
      <c r="E9" s="1815"/>
      <c r="F9" s="1815">
        <f>SUM(B9:E9)</f>
        <v>3016015</v>
      </c>
    </row>
    <row r="10" spans="1:8" s="1079" customFormat="1" ht="14.25" thickTop="1" thickBot="1" x14ac:dyDescent="0.25">
      <c r="A10" s="1080" t="s">
        <v>1370</v>
      </c>
      <c r="B10" s="1817">
        <f>(B8-B9)</f>
        <v>60736</v>
      </c>
      <c r="C10" s="1817">
        <f>(C8-C9)</f>
        <v>7473</v>
      </c>
      <c r="D10" s="1817">
        <f>(D8-D9)</f>
        <v>-92917</v>
      </c>
      <c r="E10" s="1816">
        <f>(E8-E9)</f>
        <v>12083</v>
      </c>
      <c r="F10" s="1818">
        <f>SUM(F8-F9)</f>
        <v>-12625</v>
      </c>
    </row>
    <row r="11" spans="1:8" s="1079" customFormat="1" ht="14.25" thickTop="1" thickBot="1" x14ac:dyDescent="0.25">
      <c r="A11" s="1081" t="s">
        <v>1983</v>
      </c>
      <c r="B11" s="1819">
        <f>'Acct Summary 7-8'!C81</f>
        <v>1036171</v>
      </c>
      <c r="C11" s="1819">
        <f>'Acct Summary 7-8'!D81</f>
        <v>142906</v>
      </c>
      <c r="D11" s="1819">
        <f>'Acct Summary 7-8'!F81</f>
        <v>79234</v>
      </c>
      <c r="E11" s="1819">
        <f>'Acct Summary 7-8'!I81</f>
        <v>105311</v>
      </c>
      <c r="F11" s="1820">
        <f>SUM(B11:E11)</f>
        <v>1363622</v>
      </c>
    </row>
    <row r="12" spans="1:8" ht="16.5" customHeight="1" thickTop="1" x14ac:dyDescent="0.2">
      <c r="A12" s="1082"/>
      <c r="B12" s="1083"/>
      <c r="C12" s="2345" t="str">
        <f>IF(AND(F10&lt;0,F11&gt;=0,ABS(F10*3)&gt;ABS(F11)),A16,IF(AND(F10&lt;0,F11&gt;0,ABS(F10*3)&lt;=ABS(F11)),A17,IF(AND(F10&lt;0,F11&lt;0),A16,IF(F11=0,A19,A18))))</f>
        <v>Unbalanced -  however, a deficit reduction plan is not required at this time.</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20097001026</v>
      </c>
    </row>
    <row r="3" spans="1:2" x14ac:dyDescent="0.2">
      <c r="A3" t="s">
        <v>956</v>
      </c>
      <c r="B3" s="138" t="str">
        <f>COVER!A15</f>
        <v>White</v>
      </c>
    </row>
    <row r="4" spans="1:2" x14ac:dyDescent="0.2">
      <c r="A4" t="s">
        <v>1007</v>
      </c>
      <c r="B4" s="138" t="str">
        <f>COVER!A17</f>
        <v>Grayville CUSD 1</v>
      </c>
    </row>
    <row r="5" spans="1:2" x14ac:dyDescent="0.2">
      <c r="A5" t="s">
        <v>704</v>
      </c>
      <c r="B5" s="138" t="str">
        <f>COVER!A38</f>
        <v>Sarah Emery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066-003657</v>
      </c>
    </row>
    <row r="16" spans="1:2" x14ac:dyDescent="0.2">
      <c r="A16" t="s">
        <v>422</v>
      </c>
      <c r="B16" s="138" t="str">
        <f>COVER!T13</f>
        <v>Botsch &amp; Associates, CPA's, LLC</v>
      </c>
    </row>
    <row r="17" spans="1:2" x14ac:dyDescent="0.2">
      <c r="A17" t="s">
        <v>884</v>
      </c>
      <c r="B17" s="138" t="str">
        <f>COVER!T15</f>
        <v>Arlynne Stroman, CPA</v>
      </c>
    </row>
    <row r="18" spans="1:2" x14ac:dyDescent="0.2">
      <c r="A18" t="s">
        <v>1150</v>
      </c>
      <c r="B18" s="138" t="str">
        <f>COVER!T17</f>
        <v>113 East Main Street</v>
      </c>
    </row>
    <row r="19" spans="1:2" x14ac:dyDescent="0.2">
      <c r="A19" t="s">
        <v>886</v>
      </c>
      <c r="B19" s="138" t="str">
        <f>COVER!T25</f>
        <v>arlynne.stroman@botsch.com</v>
      </c>
    </row>
    <row r="20" spans="1:2" x14ac:dyDescent="0.2">
      <c r="A20" t="s">
        <v>887</v>
      </c>
      <c r="B20" s="138" t="str">
        <f>COVER!T19</f>
        <v>Carmi</v>
      </c>
    </row>
    <row r="21" spans="1:2" x14ac:dyDescent="0.2">
      <c r="A21" t="s">
        <v>479</v>
      </c>
      <c r="B21" s="138" t="str">
        <f>COVER!X19</f>
        <v>IL</v>
      </c>
    </row>
    <row r="22" spans="1:2" x14ac:dyDescent="0.2">
      <c r="A22" t="s">
        <v>888</v>
      </c>
      <c r="B22" s="138">
        <f>COVER!Z19</f>
        <v>62821</v>
      </c>
    </row>
    <row r="23" spans="1:2" x14ac:dyDescent="0.2">
      <c r="A23" t="s">
        <v>1152</v>
      </c>
      <c r="B23" s="138" t="str">
        <f>COVER!T21</f>
        <v>618-382-4151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852664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1037552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1381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1381</v>
      </c>
      <c r="C91" s="2" t="s">
        <v>573</v>
      </c>
      <c r="D91" s="2" t="str">
        <f t="shared" si="0"/>
        <v>Error?</v>
      </c>
    </row>
    <row r="92" spans="1:4" x14ac:dyDescent="0.2">
      <c r="A92" s="5">
        <v>31</v>
      </c>
      <c r="B92" s="138">
        <f>'Assets-Liab 5-6'!C39</f>
        <v>1036171</v>
      </c>
      <c r="D92" s="2" t="str">
        <f t="shared" si="0"/>
        <v>Error?</v>
      </c>
    </row>
    <row r="93" spans="1:4" x14ac:dyDescent="0.2">
      <c r="A93" s="5">
        <v>32</v>
      </c>
      <c r="B93" s="138">
        <f>'Assets-Liab 5-6'!C41</f>
        <v>1037552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104885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142947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41</v>
      </c>
      <c r="C122" s="2" t="s">
        <v>573</v>
      </c>
      <c r="D122" s="2" t="str">
        <f t="shared" si="0"/>
        <v>Error?</v>
      </c>
    </row>
    <row r="123" spans="1:4" x14ac:dyDescent="0.2">
      <c r="A123" s="5">
        <v>62</v>
      </c>
      <c r="B123" s="138">
        <f>'Assets-Liab 5-6'!D39</f>
        <v>142906</v>
      </c>
      <c r="D123" s="2" t="str">
        <f t="shared" si="0"/>
        <v>Error?</v>
      </c>
    </row>
    <row r="124" spans="1:4" x14ac:dyDescent="0.2">
      <c r="A124" s="5">
        <v>63</v>
      </c>
      <c r="B124" s="138">
        <f>'Assets-Liab 5-6'!D41</f>
        <v>142947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18201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18201</v>
      </c>
      <c r="D140" s="2" t="str">
        <f t="shared" si="1"/>
        <v>Error?</v>
      </c>
    </row>
    <row r="141" spans="1:4" x14ac:dyDescent="0.2">
      <c r="A141" s="5">
        <v>80</v>
      </c>
      <c r="B141" s="138">
        <f>'Assets-Liab 5-6'!E41</f>
        <v>18201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35051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79237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v>
      </c>
      <c r="C169" s="2" t="s">
        <v>573</v>
      </c>
      <c r="D169" s="2" t="str">
        <f t="shared" si="1"/>
        <v>Error?</v>
      </c>
    </row>
    <row r="170" spans="1:4" x14ac:dyDescent="0.2">
      <c r="A170" s="5">
        <v>109</v>
      </c>
      <c r="B170" s="138">
        <f>'Assets-Liab 5-6'!F39</f>
        <v>79234</v>
      </c>
      <c r="D170" s="2" t="str">
        <f t="shared" si="1"/>
        <v>Error?</v>
      </c>
    </row>
    <row r="171" spans="1:4" x14ac:dyDescent="0.2">
      <c r="A171" s="5">
        <v>110</v>
      </c>
      <c r="B171" s="138">
        <f>'Assets-Liab 5-6'!F41</f>
        <v>79237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102408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114262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114262</v>
      </c>
      <c r="D189" s="2" t="str">
        <f t="shared" si="1"/>
        <v>Error?</v>
      </c>
    </row>
    <row r="190" spans="1:4" x14ac:dyDescent="0.2">
      <c r="A190" s="5">
        <v>129</v>
      </c>
      <c r="B190" s="138">
        <f>'Assets-Liab 5-6'!G41</f>
        <v>114262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102408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294666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294666</v>
      </c>
      <c r="D212" s="2" t="str">
        <f t="shared" si="2"/>
        <v>Error?</v>
      </c>
    </row>
    <row r="213" spans="1:4" x14ac:dyDescent="0.2">
      <c r="A213" s="12">
        <v>152</v>
      </c>
      <c r="B213" s="138">
        <f>'Assets-Liab 5-6'!H41</f>
        <v>294666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25000</v>
      </c>
      <c r="D273" s="2" t="str">
        <f t="shared" si="3"/>
        <v>Error?</v>
      </c>
    </row>
    <row r="274" spans="1:4" x14ac:dyDescent="0.2">
      <c r="A274" s="5">
        <v>213</v>
      </c>
      <c r="B274" s="138">
        <f>'Assets-Liab 5-6'!M17</f>
        <v>2953152</v>
      </c>
      <c r="D274" s="2" t="str">
        <f t="shared" si="3"/>
        <v>Error?</v>
      </c>
    </row>
    <row r="275" spans="1:4" x14ac:dyDescent="0.2">
      <c r="A275" s="5">
        <v>214</v>
      </c>
      <c r="B275" s="138">
        <f>'Assets-Liab 5-6'!M18</f>
        <v>12530</v>
      </c>
      <c r="D275" s="2" t="str">
        <f t="shared" si="3"/>
        <v>Error?</v>
      </c>
    </row>
    <row r="276" spans="1:4" x14ac:dyDescent="0.2">
      <c r="A276" s="5">
        <v>215</v>
      </c>
      <c r="B276" s="138">
        <f>'Assets-Liab 5-6'!M19</f>
        <v>118653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3109335</v>
      </c>
      <c r="C279" s="2" t="s">
        <v>573</v>
      </c>
      <c r="D279" s="2" t="str">
        <f t="shared" si="3"/>
        <v>Error?</v>
      </c>
    </row>
    <row r="280" spans="1:4" x14ac:dyDescent="0.2">
      <c r="A280" s="5">
        <v>219</v>
      </c>
      <c r="B280" s="138">
        <f>'Assets-Liab 5-6'!M40</f>
        <v>3109335</v>
      </c>
      <c r="D280" s="2" t="str">
        <f t="shared" si="3"/>
        <v>Error?</v>
      </c>
    </row>
    <row r="281" spans="1:4" x14ac:dyDescent="0.2">
      <c r="A281" s="5">
        <v>220</v>
      </c>
      <c r="B281" s="138">
        <f>'Assets-Liab 5-6'!M41</f>
        <v>3109335</v>
      </c>
      <c r="C281" s="2" t="s">
        <v>573</v>
      </c>
      <c r="D281" s="2" t="str">
        <f t="shared" si="3"/>
        <v>Error?</v>
      </c>
    </row>
    <row r="282" spans="1:4" x14ac:dyDescent="0.2">
      <c r="A282" s="5">
        <v>221</v>
      </c>
      <c r="B282" s="138">
        <f>'Assets-Liab 5-6'!N21</f>
        <v>18201</v>
      </c>
      <c r="D282" s="2" t="str">
        <f t="shared" si="3"/>
        <v>Error?</v>
      </c>
    </row>
    <row r="283" spans="1:4" x14ac:dyDescent="0.2">
      <c r="A283" s="5">
        <v>222</v>
      </c>
      <c r="B283" s="138">
        <f>'Assets-Liab 5-6'!N22</f>
        <v>872156</v>
      </c>
      <c r="D283" s="2" t="str">
        <f t="shared" si="3"/>
        <v>Error?</v>
      </c>
    </row>
    <row r="284" spans="1:4" x14ac:dyDescent="0.2">
      <c r="A284" s="5">
        <v>223</v>
      </c>
      <c r="B284" s="138">
        <f>'Assets-Liab 5-6'!N23</f>
        <v>890357</v>
      </c>
      <c r="C284" s="2" t="s">
        <v>573</v>
      </c>
      <c r="D284" s="2" t="str">
        <f t="shared" si="3"/>
        <v>Error?</v>
      </c>
    </row>
    <row r="285" spans="1:4" x14ac:dyDescent="0.2">
      <c r="A285" s="5">
        <v>224</v>
      </c>
      <c r="B285" s="138">
        <f>'Assets-Liab 5-6'!N36</f>
        <v>890357</v>
      </c>
      <c r="D285" s="2" t="str">
        <f t="shared" si="3"/>
        <v>Error?</v>
      </c>
    </row>
    <row r="286" spans="1:4" x14ac:dyDescent="0.2">
      <c r="A286" s="10">
        <v>225</v>
      </c>
      <c r="D286" s="2" t="str">
        <f t="shared" si="3"/>
        <v>OK</v>
      </c>
    </row>
    <row r="287" spans="1:4" x14ac:dyDescent="0.2">
      <c r="A287" s="5">
        <v>226</v>
      </c>
      <c r="B287" s="138">
        <f>'Assets-Liab 5-6'!N37</f>
        <v>890357</v>
      </c>
      <c r="C287" s="2" t="s">
        <v>573</v>
      </c>
      <c r="D287" s="2" t="str">
        <f t="shared" si="3"/>
        <v>Error?</v>
      </c>
    </row>
    <row r="288" spans="1:4" x14ac:dyDescent="0.2">
      <c r="A288" s="5">
        <v>227</v>
      </c>
      <c r="B288" s="138">
        <f>'Assets-Liab 5-6'!N41</f>
        <v>890357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854358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33203</v>
      </c>
      <c r="D717" s="2" t="str">
        <f t="shared" si="10"/>
        <v>Error?</v>
      </c>
    </row>
    <row r="718" spans="1:4" x14ac:dyDescent="0.2">
      <c r="A718" s="5">
        <v>657</v>
      </c>
      <c r="B718" s="138">
        <f>'Expenditures 15-22'!C14</f>
        <v>68130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1477791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41789</v>
      </c>
      <c r="D722" s="2" t="str">
        <f t="shared" si="10"/>
        <v>Error?</v>
      </c>
    </row>
    <row r="723" spans="1:4" x14ac:dyDescent="0.2">
      <c r="A723" s="5">
        <v>662</v>
      </c>
      <c r="B723" s="138">
        <f>'Expenditures 15-22'!C38</f>
        <v>1844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15348</v>
      </c>
      <c r="D726" s="2" t="str">
        <f t="shared" si="10"/>
        <v>Error?</v>
      </c>
    </row>
    <row r="727" spans="1:4" x14ac:dyDescent="0.2">
      <c r="A727" s="5">
        <v>666</v>
      </c>
      <c r="B727" s="138">
        <f>'Expenditures 15-22'!C42</f>
        <v>58981</v>
      </c>
      <c r="C727" s="2" t="s">
        <v>573</v>
      </c>
      <c r="D727" s="2" t="str">
        <f t="shared" si="10"/>
        <v>Error?</v>
      </c>
    </row>
    <row r="728" spans="1:4" x14ac:dyDescent="0.2">
      <c r="A728" s="5">
        <v>667</v>
      </c>
      <c r="B728" s="138">
        <f>'Expenditures 15-22'!C44</f>
        <v>8855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8855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23079</v>
      </c>
      <c r="D733" s="2" t="str">
        <f t="shared" si="10"/>
        <v>Error?</v>
      </c>
    </row>
    <row r="734" spans="1:4" x14ac:dyDescent="0.2">
      <c r="A734" s="5">
        <v>673</v>
      </c>
      <c r="B734" s="138">
        <f>'Expenditures 15-22'!C53</f>
        <v>23079</v>
      </c>
      <c r="C734" s="2" t="s">
        <v>573</v>
      </c>
      <c r="D734" s="2" t="str">
        <f t="shared" si="10"/>
        <v>Error?</v>
      </c>
    </row>
    <row r="735" spans="1:4" x14ac:dyDescent="0.2">
      <c r="A735" s="5">
        <v>674</v>
      </c>
      <c r="B735" s="138">
        <f>'Expenditures 15-22'!C55</f>
        <v>209727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209727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51197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54570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105767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406409</v>
      </c>
      <c r="C755" s="2" t="s">
        <v>573</v>
      </c>
      <c r="D755" s="2" t="str">
        <f t="shared" si="10"/>
        <v>Error?</v>
      </c>
    </row>
    <row r="756" spans="1:4" x14ac:dyDescent="0.2">
      <c r="A756" s="5">
        <v>695</v>
      </c>
      <c r="B756" s="138">
        <f>'Expenditures 15-22'!C75</f>
        <v>25874</v>
      </c>
      <c r="D756" s="2" t="str">
        <f t="shared" si="10"/>
        <v>Error?</v>
      </c>
    </row>
    <row r="757" spans="1:4" x14ac:dyDescent="0.2">
      <c r="A757" s="5">
        <v>696</v>
      </c>
      <c r="B757" s="138">
        <f>'Expenditures 15-22'!C114</f>
        <v>1910074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93088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726</v>
      </c>
      <c r="D775" s="2" t="str">
        <f t="shared" si="11"/>
        <v>Error?</v>
      </c>
    </row>
    <row r="776" spans="1:4" x14ac:dyDescent="0.2">
      <c r="A776" s="5">
        <v>715</v>
      </c>
      <c r="B776" s="138">
        <f>'Expenditures 15-22'!D14</f>
        <v>5088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136106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6320</v>
      </c>
      <c r="D780" s="2" t="str">
        <f t="shared" si="11"/>
        <v>Error?</v>
      </c>
    </row>
    <row r="781" spans="1:4" x14ac:dyDescent="0.2">
      <c r="A781" s="5">
        <v>720</v>
      </c>
      <c r="B781" s="138">
        <f>'Expenditures 15-22'!D38</f>
        <v>266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1255</v>
      </c>
      <c r="D784" s="2" t="str">
        <f t="shared" si="11"/>
        <v>Error?</v>
      </c>
    </row>
    <row r="785" spans="1:4" x14ac:dyDescent="0.2">
      <c r="A785" s="5">
        <v>724</v>
      </c>
      <c r="B785" s="138">
        <f>'Expenditures 15-22'!D42</f>
        <v>7841</v>
      </c>
      <c r="C785" s="2" t="s">
        <v>573</v>
      </c>
      <c r="D785" s="2" t="str">
        <f t="shared" si="11"/>
        <v>Error?</v>
      </c>
    </row>
    <row r="786" spans="1:4" x14ac:dyDescent="0.2">
      <c r="A786" s="5">
        <v>725</v>
      </c>
      <c r="B786" s="138">
        <f>'Expenditures 15-22'!D44</f>
        <v>872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644</v>
      </c>
      <c r="D791" s="2" t="str">
        <f t="shared" si="11"/>
        <v>Error?</v>
      </c>
    </row>
    <row r="792" spans="1:4" x14ac:dyDescent="0.2">
      <c r="A792" s="5">
        <v>731</v>
      </c>
      <c r="B792" s="138">
        <f>'Expenditures 15-22'!D53</f>
        <v>644</v>
      </c>
      <c r="C792" s="2" t="s">
        <v>573</v>
      </c>
      <c r="D792" s="2" t="str">
        <f t="shared" si="11"/>
        <v>Error?</v>
      </c>
    </row>
    <row r="793" spans="1:4" x14ac:dyDescent="0.2">
      <c r="A793" s="5">
        <v>732</v>
      </c>
      <c r="B793" s="138">
        <f>'Expenditures 15-22'!D55</f>
        <v>21257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21257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13270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43884</v>
      </c>
      <c r="C813" s="2" t="s">
        <v>573</v>
      </c>
      <c r="D813" s="2" t="str">
        <f t="shared" si="11"/>
        <v>Error?</v>
      </c>
    </row>
    <row r="814" spans="1:4" x14ac:dyDescent="0.2">
      <c r="A814" s="5">
        <v>753</v>
      </c>
      <c r="B814" s="138">
        <f>'Expenditures 15-22'!D75</f>
        <v>58</v>
      </c>
      <c r="D814" s="2" t="str">
        <f t="shared" si="11"/>
        <v>Error?</v>
      </c>
    </row>
    <row r="815" spans="1:4" x14ac:dyDescent="0.2">
      <c r="A815" s="5">
        <v>754</v>
      </c>
      <c r="B815" s="138">
        <f>'Expenditures 15-22'!D114</f>
        <v>180048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49776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330</v>
      </c>
      <c r="D833" s="2" t="str">
        <f t="shared" si="12"/>
        <v>Error?</v>
      </c>
    </row>
    <row r="834" spans="1:4" x14ac:dyDescent="0.2">
      <c r="A834" s="5">
        <v>773</v>
      </c>
      <c r="B834" s="138">
        <f>'Expenditures 15-22'!E14</f>
        <v>8895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61092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19586</v>
      </c>
      <c r="D844" s="2" t="str">
        <f t="shared" si="12"/>
        <v>Error?</v>
      </c>
    </row>
    <row r="845" spans="1:4" x14ac:dyDescent="0.2">
      <c r="A845" s="5">
        <v>784</v>
      </c>
      <c r="B845" s="138">
        <f>'Expenditures 15-22'!E45</f>
        <v>2066</v>
      </c>
      <c r="D845" s="2" t="str">
        <f t="shared" si="12"/>
        <v>Error?</v>
      </c>
    </row>
    <row r="846" spans="1:4" x14ac:dyDescent="0.2">
      <c r="A846" s="5">
        <v>785</v>
      </c>
      <c r="B846" s="138">
        <f>'Expenditures 15-22'!E46</f>
        <v>4199</v>
      </c>
      <c r="D846" s="2" t="str">
        <f t="shared" si="12"/>
        <v>Error?</v>
      </c>
    </row>
    <row r="847" spans="1:4" x14ac:dyDescent="0.2">
      <c r="A847" s="5">
        <v>786</v>
      </c>
      <c r="B847" s="138">
        <f>'Expenditures 15-22'!E47</f>
        <v>25851</v>
      </c>
      <c r="C847" s="2" t="s">
        <v>573</v>
      </c>
      <c r="D847" s="2" t="str">
        <f t="shared" si="12"/>
        <v>Error?</v>
      </c>
    </row>
    <row r="848" spans="1:4" x14ac:dyDescent="0.2">
      <c r="A848" s="5">
        <v>787</v>
      </c>
      <c r="B848" s="138">
        <f>'Expenditures 15-22'!E49</f>
        <v>693</v>
      </c>
      <c r="D848" s="2" t="str">
        <f t="shared" si="12"/>
        <v>Error?</v>
      </c>
    </row>
    <row r="849" spans="1:4" x14ac:dyDescent="0.2">
      <c r="A849" s="5">
        <v>788</v>
      </c>
      <c r="B849" s="138">
        <f>'Expenditures 15-22'!E50</f>
        <v>1111</v>
      </c>
      <c r="D849" s="2" t="str">
        <f t="shared" si="12"/>
        <v>Error?</v>
      </c>
    </row>
    <row r="850" spans="1:4" x14ac:dyDescent="0.2">
      <c r="A850" s="5">
        <v>789</v>
      </c>
      <c r="B850" s="138">
        <f>'Expenditures 15-22'!E53</f>
        <v>2304</v>
      </c>
      <c r="C850" s="2" t="s">
        <v>573</v>
      </c>
      <c r="D850" s="2" t="str">
        <f t="shared" si="12"/>
        <v>Error?</v>
      </c>
    </row>
    <row r="851" spans="1:4" x14ac:dyDescent="0.2">
      <c r="A851" s="5">
        <v>790</v>
      </c>
      <c r="B851" s="138">
        <f>'Expenditures 15-22'!E55</f>
        <v>1238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7479</v>
      </c>
      <c r="D855" s="2" t="str">
        <f t="shared" si="12"/>
        <v>Error?</v>
      </c>
    </row>
    <row r="856" spans="1:4" x14ac:dyDescent="0.2">
      <c r="A856" s="5">
        <v>795</v>
      </c>
      <c r="B856" s="138">
        <f>'Expenditures 15-22'!E61</f>
        <v>13965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25859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55252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139161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42000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2888</v>
      </c>
      <c r="D891" s="2" t="str">
        <f t="shared" si="12"/>
        <v>Error?</v>
      </c>
    </row>
    <row r="892" spans="1:4" x14ac:dyDescent="0.2">
      <c r="A892" s="5">
        <v>831</v>
      </c>
      <c r="B892" s="138">
        <f>'Expenditures 15-22'!F14</f>
        <v>4380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103158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762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762</v>
      </c>
      <c r="C901" s="2" t="s">
        <v>573</v>
      </c>
      <c r="D901" s="2" t="str">
        <f t="shared" si="13"/>
        <v>Error?</v>
      </c>
    </row>
    <row r="902" spans="1:4" x14ac:dyDescent="0.2">
      <c r="A902" s="5">
        <v>841</v>
      </c>
      <c r="B902" s="138">
        <f>'Expenditures 15-22'!F44</f>
        <v>1055</v>
      </c>
      <c r="D902" s="2" t="str">
        <f t="shared" si="13"/>
        <v>Error?</v>
      </c>
    </row>
    <row r="903" spans="1:4" x14ac:dyDescent="0.2">
      <c r="A903" s="5">
        <v>842</v>
      </c>
      <c r="B903" s="138">
        <f>'Expenditures 15-22'!F45</f>
        <v>9706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10761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35</v>
      </c>
      <c r="D907" s="2" t="str">
        <f t="shared" si="13"/>
        <v>Error?</v>
      </c>
    </row>
    <row r="908" spans="1:4" x14ac:dyDescent="0.2">
      <c r="A908" s="5">
        <v>847</v>
      </c>
      <c r="B908" s="138">
        <f>'Expenditures 15-22'!F53</f>
        <v>1576</v>
      </c>
      <c r="C908" s="2" t="s">
        <v>573</v>
      </c>
      <c r="D908" s="2" t="str">
        <f t="shared" si="13"/>
        <v>Error?</v>
      </c>
    </row>
    <row r="909" spans="1:4" x14ac:dyDescent="0.2">
      <c r="A909" s="5">
        <v>848</v>
      </c>
      <c r="B909" s="138">
        <f>'Expenditures 15-22'!F55</f>
        <v>566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740</v>
      </c>
      <c r="D913" s="2" t="str">
        <f t="shared" si="13"/>
        <v>Error?</v>
      </c>
    </row>
    <row r="914" spans="1:4" x14ac:dyDescent="0.2">
      <c r="A914" s="5">
        <v>853</v>
      </c>
      <c r="B914" s="138">
        <f>'Expenditures 15-22'!F61</f>
        <v>48765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72256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121761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992</v>
      </c>
      <c r="D928" s="2" t="str">
        <f t="shared" si="13"/>
        <v>Error?</v>
      </c>
    </row>
    <row r="929" spans="1:4" x14ac:dyDescent="0.2">
      <c r="A929" s="5">
        <v>868</v>
      </c>
      <c r="B929" s="138">
        <f>'Expenditures 15-22'!F74</f>
        <v>136418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239576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727</v>
      </c>
      <c r="D1007" s="2" t="str">
        <f t="shared" si="14"/>
        <v>Error?</v>
      </c>
    </row>
    <row r="1008" spans="1:4" x14ac:dyDescent="0.2">
      <c r="A1008" s="5">
        <v>947</v>
      </c>
      <c r="B1008" s="138">
        <f>'Expenditures 15-22'!H14</f>
        <v>1240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384</v>
      </c>
      <c r="D1016" s="2" t="str">
        <f t="shared" si="14"/>
        <v>Error?</v>
      </c>
    </row>
    <row r="1017" spans="1:4" x14ac:dyDescent="0.2">
      <c r="A1017" s="5">
        <v>956</v>
      </c>
      <c r="B1017" s="138">
        <f>'Expenditures 15-22'!H42</f>
        <v>384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1530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1530</v>
      </c>
      <c r="C1021" s="2" t="s">
        <v>573</v>
      </c>
      <c r="D1021" s="2" t="str">
        <f t="shared" si="14"/>
        <v>Error?</v>
      </c>
    </row>
    <row r="1022" spans="1:4" x14ac:dyDescent="0.2">
      <c r="A1022" s="5">
        <v>961</v>
      </c>
      <c r="B1022" s="138">
        <f>'Expenditures 15-22'!H49</f>
        <v>39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439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1399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3352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118268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124490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1040125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37874</v>
      </c>
      <c r="C1105" s="2" t="s">
        <v>573</v>
      </c>
      <c r="D1105" s="2" t="str">
        <f t="shared" si="16"/>
        <v>Error?</v>
      </c>
    </row>
    <row r="1106" spans="1:4" x14ac:dyDescent="0.2">
      <c r="A1106" s="5">
        <v>1045</v>
      </c>
      <c r="B1106" s="138">
        <f>'Expenditures 15-22'!K14</f>
        <v>87733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1785210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48109</v>
      </c>
      <c r="C1110" s="2" t="s">
        <v>573</v>
      </c>
      <c r="D1110" s="2" t="str">
        <f t="shared" si="16"/>
        <v>Error?</v>
      </c>
    </row>
    <row r="1111" spans="1:4" x14ac:dyDescent="0.2">
      <c r="A1111" s="5">
        <v>1050</v>
      </c>
      <c r="B1111" s="138">
        <f>'Expenditures 15-22'!K38</f>
        <v>2872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16987</v>
      </c>
      <c r="C1114" s="2" t="s">
        <v>573</v>
      </c>
      <c r="D1114" s="2" t="str">
        <f t="shared" si="16"/>
        <v>Error?</v>
      </c>
    </row>
    <row r="1115" spans="1:4" x14ac:dyDescent="0.2">
      <c r="A1115" s="5">
        <v>1054</v>
      </c>
      <c r="B1115" s="138">
        <f>'Expenditures 15-22'!K42</f>
        <v>67968</v>
      </c>
      <c r="C1115" s="2" t="s">
        <v>573</v>
      </c>
      <c r="D1115" s="2" t="str">
        <f t="shared" si="16"/>
        <v>Error?</v>
      </c>
    </row>
    <row r="1116" spans="1:4" x14ac:dyDescent="0.2">
      <c r="A1116" s="5">
        <v>1055</v>
      </c>
      <c r="B1116" s="138">
        <f>'Expenditures 15-22'!K44</f>
        <v>30368</v>
      </c>
      <c r="C1116" s="2" t="s">
        <v>573</v>
      </c>
      <c r="D1116" s="2" t="str">
        <f t="shared" si="16"/>
        <v>Error?</v>
      </c>
    </row>
    <row r="1117" spans="1:4" x14ac:dyDescent="0.2">
      <c r="A1117" s="5">
        <v>1056</v>
      </c>
      <c r="B1117" s="138">
        <f>'Expenditures 15-22'!K45</f>
        <v>13302</v>
      </c>
      <c r="C1117" s="2" t="s">
        <v>573</v>
      </c>
      <c r="D1117" s="2" t="str">
        <f t="shared" si="16"/>
        <v>Error?</v>
      </c>
    </row>
    <row r="1118" spans="1:4" x14ac:dyDescent="0.2">
      <c r="A1118" s="5">
        <v>1057</v>
      </c>
      <c r="B1118" s="138">
        <f>'Expenditures 15-22'!K46</f>
        <v>4199</v>
      </c>
      <c r="C1118" s="2" t="s">
        <v>573</v>
      </c>
      <c r="D1118" s="2" t="str">
        <f t="shared" si="16"/>
        <v>Error?</v>
      </c>
    </row>
    <row r="1119" spans="1:4" x14ac:dyDescent="0.2">
      <c r="A1119" s="5">
        <v>1058</v>
      </c>
      <c r="B1119" s="138">
        <f>'Expenditures 15-22'!K47</f>
        <v>47869</v>
      </c>
      <c r="C1119" s="2" t="s">
        <v>573</v>
      </c>
      <c r="D1119" s="2" t="str">
        <f t="shared" si="16"/>
        <v>Error?</v>
      </c>
    </row>
    <row r="1120" spans="1:4" x14ac:dyDescent="0.2">
      <c r="A1120" s="5">
        <v>1059</v>
      </c>
      <c r="B1120" s="138">
        <f>'Expenditures 15-22'!K49</f>
        <v>732</v>
      </c>
      <c r="C1120" s="2" t="s">
        <v>573</v>
      </c>
      <c r="D1120" s="2" t="str">
        <f t="shared" si="16"/>
        <v>Error?</v>
      </c>
    </row>
    <row r="1121" spans="1:4" x14ac:dyDescent="0.2">
      <c r="A1121" s="5">
        <v>1060</v>
      </c>
      <c r="B1121" s="138">
        <f>'Expenditures 15-22'!K50</f>
        <v>24869</v>
      </c>
      <c r="C1121" s="2" t="s">
        <v>573</v>
      </c>
      <c r="D1121" s="2" t="str">
        <f t="shared" si="16"/>
        <v>Error?</v>
      </c>
    </row>
    <row r="1122" spans="1:4" x14ac:dyDescent="0.2">
      <c r="A1122" s="5">
        <v>1061</v>
      </c>
      <c r="B1122" s="138">
        <f>'Expenditures 15-22'!K53</f>
        <v>27642</v>
      </c>
      <c r="C1122" s="2" t="s">
        <v>573</v>
      </c>
      <c r="D1122" s="2" t="str">
        <f t="shared" si="16"/>
        <v>Error?</v>
      </c>
    </row>
    <row r="1123" spans="1:4" x14ac:dyDescent="0.2">
      <c r="A1123" s="5">
        <v>1062</v>
      </c>
      <c r="B1123" s="138">
        <f>'Expenditures 15-22'!K55</f>
        <v>232788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232788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66945</v>
      </c>
      <c r="C1127" s="2" t="s">
        <v>573</v>
      </c>
      <c r="D1127" s="2" t="str">
        <f t="shared" si="16"/>
        <v>Error?</v>
      </c>
    </row>
    <row r="1128" spans="1:4" x14ac:dyDescent="0.2">
      <c r="A1128" s="5">
        <v>1067</v>
      </c>
      <c r="B1128" s="138">
        <f>'Expenditures 15-22'!K61</f>
        <v>62730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138381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268056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992</v>
      </c>
      <c r="C1142" s="2" t="s">
        <v>573</v>
      </c>
      <c r="D1142" s="2" t="str">
        <f t="shared" si="16"/>
        <v>Error?</v>
      </c>
    </row>
    <row r="1143" spans="1:4" x14ac:dyDescent="0.2">
      <c r="A1143" s="5">
        <v>1082</v>
      </c>
      <c r="B1143" s="138">
        <f>'Expenditures 15-22'!K74</f>
        <v>645315</v>
      </c>
      <c r="C1143" s="2" t="s">
        <v>573</v>
      </c>
      <c r="D1143" s="2" t="str">
        <f t="shared" si="16"/>
        <v>Error?</v>
      </c>
    </row>
    <row r="1144" spans="1:4" x14ac:dyDescent="0.2">
      <c r="A1144" s="5">
        <v>1083</v>
      </c>
      <c r="B1144" s="138">
        <f>'Expenditures 15-22'!K75</f>
        <v>25932</v>
      </c>
      <c r="C1144" s="2" t="s">
        <v>573</v>
      </c>
      <c r="D1144" s="2" t="str">
        <f t="shared" si="16"/>
        <v>Error?</v>
      </c>
    </row>
    <row r="1145" spans="1:4" x14ac:dyDescent="0.2">
      <c r="A1145" s="5">
        <v>1084</v>
      </c>
      <c r="B1145" s="138">
        <f>'Expenditures 15-22'!K102</f>
        <v>141085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2597542</v>
      </c>
      <c r="C1152" s="2" t="s">
        <v>573</v>
      </c>
      <c r="D1152" s="2" t="str">
        <f t="shared" si="17"/>
        <v>Error?</v>
      </c>
    </row>
    <row r="1153" spans="1:4" x14ac:dyDescent="0.2">
      <c r="A1153" s="5">
        <v>1092</v>
      </c>
      <c r="B1153" s="138">
        <f>'Expenditures 15-22'!K115</f>
        <v>60736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109743</v>
      </c>
      <c r="D1221" s="2" t="str">
        <f t="shared" si="18"/>
        <v>Error?</v>
      </c>
    </row>
    <row r="1222" spans="1:4" x14ac:dyDescent="0.2">
      <c r="A1222" s="10">
        <v>1161</v>
      </c>
      <c r="D1222" s="2" t="str">
        <f t="shared" si="18"/>
        <v>OK</v>
      </c>
    </row>
    <row r="1223" spans="1:4" x14ac:dyDescent="0.2">
      <c r="A1223" s="5">
        <v>1162</v>
      </c>
      <c r="B1223" s="138">
        <f>'Expenditures 15-22'!C127</f>
        <v>109743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109743</v>
      </c>
      <c r="C1225" s="2" t="s">
        <v>573</v>
      </c>
      <c r="D1225" s="2" t="str">
        <f t="shared" si="18"/>
        <v>Error?</v>
      </c>
    </row>
    <row r="1226" spans="1:4" x14ac:dyDescent="0.2">
      <c r="A1226" s="5">
        <v>1165</v>
      </c>
      <c r="B1226" s="138">
        <f>'Expenditures 15-22'!C151</f>
        <v>109743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6000</v>
      </c>
      <c r="D1229" s="2" t="str">
        <f t="shared" si="18"/>
        <v>Error?</v>
      </c>
    </row>
    <row r="1230" spans="1:4" x14ac:dyDescent="0.2">
      <c r="A1230" s="10">
        <v>1169</v>
      </c>
      <c r="D1230" s="2" t="str">
        <f t="shared" si="18"/>
        <v>OK</v>
      </c>
    </row>
    <row r="1231" spans="1:4" x14ac:dyDescent="0.2">
      <c r="A1231" s="5">
        <v>1170</v>
      </c>
      <c r="B1231" s="138">
        <f>'Expenditures 15-22'!D127</f>
        <v>6000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6000</v>
      </c>
      <c r="C1233" s="2" t="s">
        <v>573</v>
      </c>
      <c r="D1233" s="2" t="str">
        <f t="shared" si="18"/>
        <v>Error?</v>
      </c>
    </row>
    <row r="1234" spans="1:4" x14ac:dyDescent="0.2">
      <c r="A1234" s="5">
        <v>1173</v>
      </c>
      <c r="B1234" s="138">
        <f>'Expenditures 15-22'!D151</f>
        <v>6000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20258</v>
      </c>
      <c r="D1237" s="2" t="str">
        <f t="shared" si="18"/>
        <v>Error?</v>
      </c>
    </row>
    <row r="1238" spans="1:4" x14ac:dyDescent="0.2">
      <c r="A1238" s="10">
        <v>1177</v>
      </c>
      <c r="D1238" s="2" t="str">
        <f t="shared" si="18"/>
        <v>OK</v>
      </c>
    </row>
    <row r="1239" spans="1:4" x14ac:dyDescent="0.2">
      <c r="A1239" s="5">
        <v>1178</v>
      </c>
      <c r="B1239" s="138">
        <f>'Expenditures 15-22'!E127</f>
        <v>20258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20258</v>
      </c>
      <c r="C1241" s="2" t="s">
        <v>573</v>
      </c>
      <c r="D1241" s="2" t="str">
        <f t="shared" si="18"/>
        <v>Error?</v>
      </c>
    </row>
    <row r="1242" spans="1:4" x14ac:dyDescent="0.2">
      <c r="A1242" s="5">
        <v>1181</v>
      </c>
      <c r="B1242" s="138">
        <f>'Expenditures 15-22'!E151</f>
        <v>20258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24958</v>
      </c>
      <c r="D1245" s="2" t="str">
        <f t="shared" si="18"/>
        <v>Error?</v>
      </c>
    </row>
    <row r="1246" spans="1:4" x14ac:dyDescent="0.2">
      <c r="A1246" s="10">
        <v>1185</v>
      </c>
      <c r="D1246" s="2" t="str">
        <f t="shared" si="18"/>
        <v>OK</v>
      </c>
    </row>
    <row r="1247" spans="1:4" x14ac:dyDescent="0.2">
      <c r="A1247" s="5">
        <v>1186</v>
      </c>
      <c r="B1247" s="138">
        <f>'Expenditures 15-22'!F127</f>
        <v>24958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24958</v>
      </c>
      <c r="C1249" s="2" t="s">
        <v>573</v>
      </c>
      <c r="D1249" s="2" t="str">
        <f t="shared" si="18"/>
        <v>Error?</v>
      </c>
    </row>
    <row r="1250" spans="1:4" x14ac:dyDescent="0.2">
      <c r="A1250" s="5">
        <v>1189</v>
      </c>
      <c r="B1250" s="138">
        <f>'Expenditures 15-22'!F151</f>
        <v>24958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165873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165873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165873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165873</v>
      </c>
      <c r="C1288" s="2" t="s">
        <v>573</v>
      </c>
      <c r="D1288" s="2" t="str">
        <f t="shared" si="19"/>
        <v>Error?</v>
      </c>
    </row>
    <row r="1289" spans="1:4" x14ac:dyDescent="0.2">
      <c r="A1289" s="5">
        <v>1228</v>
      </c>
      <c r="B1289" s="138">
        <f>'Expenditures 15-22'!K152</f>
        <v>7473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22580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65000</v>
      </c>
      <c r="D1315" s="2" t="str">
        <f t="shared" si="19"/>
        <v>Error?</v>
      </c>
    </row>
    <row r="1316" spans="1:4" x14ac:dyDescent="0.2">
      <c r="A1316" s="5">
        <v>1255</v>
      </c>
      <c r="B1316" s="138">
        <f>'Expenditures 15-22'!H171</f>
        <v>200</v>
      </c>
      <c r="D1316" s="2" t="str">
        <f t="shared" si="19"/>
        <v>Error?</v>
      </c>
    </row>
    <row r="1317" spans="1:4" x14ac:dyDescent="0.2">
      <c r="A1317" s="5">
        <v>1256</v>
      </c>
      <c r="B1317" s="138">
        <f>'Expenditures 15-22'!H172</f>
        <v>87780</v>
      </c>
      <c r="C1317" s="2" t="s">
        <v>573</v>
      </c>
      <c r="D1317" s="2" t="str">
        <f t="shared" si="19"/>
        <v>Error?</v>
      </c>
    </row>
    <row r="1318" spans="1:4" x14ac:dyDescent="0.2">
      <c r="A1318" s="5">
        <v>1257</v>
      </c>
      <c r="B1318" s="138">
        <f>'Expenditures 15-22'!H174</f>
        <v>87780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22580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65000</v>
      </c>
      <c r="C1329" s="2" t="s">
        <v>573</v>
      </c>
      <c r="D1329" s="2" t="str">
        <f t="shared" si="19"/>
        <v>Error?</v>
      </c>
    </row>
    <row r="1330" spans="1:4" x14ac:dyDescent="0.2">
      <c r="A1330" s="5">
        <v>1269</v>
      </c>
      <c r="B1330" s="138">
        <f>'Expenditures 15-22'!K171</f>
        <v>200</v>
      </c>
      <c r="C1330" s="2" t="s">
        <v>573</v>
      </c>
      <c r="D1330" s="2" t="str">
        <f t="shared" si="19"/>
        <v>Error?</v>
      </c>
    </row>
    <row r="1331" spans="1:4" x14ac:dyDescent="0.2">
      <c r="A1331" s="5">
        <v>1270</v>
      </c>
      <c r="B1331" s="138">
        <f>'Expenditures 15-22'!K172</f>
        <v>87780</v>
      </c>
      <c r="C1331" s="2" t="s">
        <v>573</v>
      </c>
      <c r="D1331" s="2" t="str">
        <f t="shared" si="19"/>
        <v>Error?</v>
      </c>
    </row>
    <row r="1332" spans="1:4" x14ac:dyDescent="0.2">
      <c r="A1332" s="5">
        <v>1271</v>
      </c>
      <c r="B1332" s="138">
        <f>'Expenditures 15-22'!K174</f>
        <v>87780</v>
      </c>
      <c r="C1332" s="2" t="s">
        <v>573</v>
      </c>
      <c r="D1332" s="2" t="str">
        <f t="shared" si="19"/>
        <v>Error?</v>
      </c>
    </row>
    <row r="1333" spans="1:4" x14ac:dyDescent="0.2">
      <c r="A1333" s="5">
        <v>1272</v>
      </c>
      <c r="B1333" s="138">
        <f>'Expenditures 15-22'!K175</f>
        <v>-2569</v>
      </c>
      <c r="C1333" s="2" t="s">
        <v>573</v>
      </c>
      <c r="D1333" s="2" t="str">
        <f t="shared" si="19"/>
        <v>Error?</v>
      </c>
    </row>
    <row r="1334" spans="1:4" x14ac:dyDescent="0.2">
      <c r="A1334" s="10">
        <v>1273</v>
      </c>
      <c r="D1334" s="2" t="str">
        <f t="shared" si="19"/>
        <v>OK</v>
      </c>
    </row>
    <row r="1335" spans="1:4" x14ac:dyDescent="0.2">
      <c r="A1335" s="5">
        <v>1274</v>
      </c>
      <c r="B1335" s="138">
        <f>'Expenditures 15-22'!C182</f>
        <v>85940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85940</v>
      </c>
      <c r="C1339" s="2" t="s">
        <v>573</v>
      </c>
      <c r="D1339" s="2" t="str">
        <f t="shared" si="19"/>
        <v>Error?</v>
      </c>
    </row>
    <row r="1340" spans="1:4" x14ac:dyDescent="0.2">
      <c r="A1340" s="5">
        <v>1279</v>
      </c>
      <c r="B1340" s="138">
        <f>'Expenditures 15-22'!C210</f>
        <v>85940</v>
      </c>
      <c r="C1340" s="2" t="s">
        <v>573</v>
      </c>
      <c r="D1340" s="2" t="str">
        <f t="shared" si="19"/>
        <v>Error?</v>
      </c>
    </row>
    <row r="1341" spans="1:4" x14ac:dyDescent="0.2">
      <c r="A1341" s="5">
        <v>1280</v>
      </c>
      <c r="B1341" s="138">
        <f>'Expenditures 15-22'!D182</f>
        <v>677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677</v>
      </c>
      <c r="C1345" s="2" t="s">
        <v>573</v>
      </c>
      <c r="D1345" s="2" t="str">
        <f t="shared" si="20"/>
        <v>Error?</v>
      </c>
    </row>
    <row r="1346" spans="1:4" x14ac:dyDescent="0.2">
      <c r="A1346" s="5">
        <v>1285</v>
      </c>
      <c r="B1346" s="138">
        <f>'Expenditures 15-22'!D210</f>
        <v>677</v>
      </c>
      <c r="C1346" s="2" t="s">
        <v>573</v>
      </c>
      <c r="D1346" s="2" t="str">
        <f t="shared" si="20"/>
        <v>Error?</v>
      </c>
    </row>
    <row r="1347" spans="1:4" x14ac:dyDescent="0.2">
      <c r="A1347" s="5">
        <v>1286</v>
      </c>
      <c r="B1347" s="138">
        <f>'Expenditures 15-22'!E182</f>
        <v>5577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5577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5577</v>
      </c>
      <c r="C1353" s="2" t="s">
        <v>573</v>
      </c>
      <c r="D1353" s="2" t="str">
        <f t="shared" si="20"/>
        <v>Error?</v>
      </c>
    </row>
    <row r="1354" spans="1:4" x14ac:dyDescent="0.2">
      <c r="A1354" s="5">
        <v>1293</v>
      </c>
      <c r="B1354" s="138">
        <f>'Expenditures 15-22'!F182</f>
        <v>21889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21889</v>
      </c>
      <c r="C1358" s="2" t="s">
        <v>573</v>
      </c>
      <c r="D1358" s="2" t="str">
        <f t="shared" si="20"/>
        <v>Error?</v>
      </c>
    </row>
    <row r="1359" spans="1:4" x14ac:dyDescent="0.2">
      <c r="A1359" s="5">
        <v>1298</v>
      </c>
      <c r="B1359" s="138">
        <f>'Expenditures 15-22'!F210</f>
        <v>21889</v>
      </c>
      <c r="C1359" s="2" t="s">
        <v>573</v>
      </c>
      <c r="D1359" s="2" t="str">
        <f t="shared" si="20"/>
        <v>Error?</v>
      </c>
    </row>
    <row r="1360" spans="1:4" x14ac:dyDescent="0.2">
      <c r="A1360" s="5">
        <v>1299</v>
      </c>
      <c r="B1360" s="138">
        <f>'Expenditures 15-22'!G182</f>
        <v>95138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95138</v>
      </c>
      <c r="C1364" s="2" t="s">
        <v>573</v>
      </c>
      <c r="D1364" s="2" t="str">
        <f t="shared" si="20"/>
        <v>Error?</v>
      </c>
    </row>
    <row r="1365" spans="1:4" x14ac:dyDescent="0.2">
      <c r="A1365" s="5">
        <v>1304</v>
      </c>
      <c r="B1365" s="138">
        <f>'Expenditures 15-22'!G210</f>
        <v>95138</v>
      </c>
      <c r="C1365" s="2" t="s">
        <v>573</v>
      </c>
      <c r="D1365" s="2" t="str">
        <f t="shared" si="20"/>
        <v>Error?</v>
      </c>
    </row>
    <row r="1366" spans="1:4" x14ac:dyDescent="0.2">
      <c r="A1366" s="5">
        <v>1305</v>
      </c>
      <c r="B1366" s="138">
        <f>'Expenditures 15-22'!H182</f>
        <v>677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677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42702</v>
      </c>
      <c r="C1375" s="2" t="s">
        <v>573</v>
      </c>
      <c r="D1375" s="2" t="str">
        <f t="shared" si="20"/>
        <v>Error?</v>
      </c>
    </row>
    <row r="1376" spans="1:4" x14ac:dyDescent="0.2">
      <c r="A1376" s="5">
        <v>1315</v>
      </c>
      <c r="B1376" s="138">
        <f>'Expenditures 15-22'!H210</f>
        <v>43379</v>
      </c>
      <c r="C1376" s="2" t="s">
        <v>573</v>
      </c>
      <c r="D1376" s="2" t="str">
        <f t="shared" si="20"/>
        <v>Error?</v>
      </c>
    </row>
    <row r="1377" spans="1:4" x14ac:dyDescent="0.2">
      <c r="A1377" s="5">
        <v>1316</v>
      </c>
      <c r="B1377" s="138">
        <f>'Expenditures 15-22'!K182</f>
        <v>209898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209898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42702</v>
      </c>
      <c r="C1387" s="2" t="s">
        <v>573</v>
      </c>
      <c r="D1387" s="2" t="str">
        <f t="shared" si="20"/>
        <v>Error?</v>
      </c>
    </row>
    <row r="1388" spans="1:4" x14ac:dyDescent="0.2">
      <c r="A1388" s="5">
        <v>1327</v>
      </c>
      <c r="B1388" s="138">
        <f>'Expenditures 15-22'!K210</f>
        <v>252600</v>
      </c>
      <c r="C1388" s="2" t="s">
        <v>573</v>
      </c>
      <c r="D1388" s="2" t="str">
        <f t="shared" si="20"/>
        <v>Error?</v>
      </c>
    </row>
    <row r="1389" spans="1:4" x14ac:dyDescent="0.2">
      <c r="A1389" s="5">
        <v>1328</v>
      </c>
      <c r="B1389" s="138">
        <f>'Expenditures 15-22'!K211</f>
        <v>-92917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589</v>
      </c>
      <c r="D1407" s="2" t="str">
        <f t="shared" ref="D1407:D1470" si="21">IF(ISBLANK(B1407),"OK",IF(A1407-B1407=0,"OK","Error?"))</f>
        <v>Error?</v>
      </c>
    </row>
    <row r="1408" spans="1:4" x14ac:dyDescent="0.2">
      <c r="A1408" s="5">
        <v>1347</v>
      </c>
      <c r="B1408" s="138">
        <f>'Expenditures 15-22'!D223</f>
        <v>1797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49380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569</v>
      </c>
      <c r="D1412" s="2" t="str">
        <f t="shared" si="21"/>
        <v>Error?</v>
      </c>
    </row>
    <row r="1413" spans="1:4" x14ac:dyDescent="0.2">
      <c r="A1413" s="5">
        <v>1352</v>
      </c>
      <c r="B1413" s="138">
        <f>'Expenditures 15-22'!D234</f>
        <v>304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221</v>
      </c>
      <c r="D1416" s="2" t="str">
        <f t="shared" si="21"/>
        <v>Error?</v>
      </c>
    </row>
    <row r="1417" spans="1:4" x14ac:dyDescent="0.2">
      <c r="A1417" s="5">
        <v>1356</v>
      </c>
      <c r="B1417" s="138">
        <f>'Expenditures 15-22'!D238</f>
        <v>1094</v>
      </c>
      <c r="C1417" s="2" t="s">
        <v>573</v>
      </c>
      <c r="D1417" s="2" t="str">
        <f t="shared" si="21"/>
        <v>Error?</v>
      </c>
    </row>
    <row r="1418" spans="1:4" x14ac:dyDescent="0.2">
      <c r="A1418" s="5">
        <v>1357</v>
      </c>
      <c r="B1418" s="138">
        <f>'Expenditures 15-22'!D240</f>
        <v>266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334</v>
      </c>
      <c r="D1423" s="2" t="str">
        <f t="shared" si="21"/>
        <v>Error?</v>
      </c>
    </row>
    <row r="1424" spans="1:4" x14ac:dyDescent="0.2">
      <c r="A1424" s="5">
        <v>1363</v>
      </c>
      <c r="B1424" s="138">
        <f>'Expenditures 15-22'!D257</f>
        <v>9504</v>
      </c>
      <c r="C1424" s="2" t="s">
        <v>573</v>
      </c>
      <c r="D1424" s="2" t="str">
        <f t="shared" si="21"/>
        <v>Error?</v>
      </c>
    </row>
    <row r="1425" spans="1:4" x14ac:dyDescent="0.2">
      <c r="A1425" s="5">
        <v>1364</v>
      </c>
      <c r="B1425" s="138">
        <f>'Expenditures 15-22'!D259</f>
        <v>12368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12368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17346</v>
      </c>
      <c r="D1431" s="2" t="str">
        <f t="shared" si="21"/>
        <v>Error?</v>
      </c>
    </row>
    <row r="1432" spans="1:4" x14ac:dyDescent="0.2">
      <c r="A1432" s="5">
        <v>1371</v>
      </c>
      <c r="B1432" s="138">
        <f>'Expenditures 15-22'!D267</f>
        <v>11638</v>
      </c>
      <c r="D1432" s="2" t="str">
        <f t="shared" si="21"/>
        <v>Error?</v>
      </c>
    </row>
    <row r="1433" spans="1:4" x14ac:dyDescent="0.2">
      <c r="A1433" s="5">
        <v>1372</v>
      </c>
      <c r="B1433" s="138">
        <f>'Expenditures 15-22'!D268</f>
        <v>8500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45277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68509</v>
      </c>
      <c r="C1446" s="2" t="s">
        <v>573</v>
      </c>
      <c r="D1446" s="2" t="str">
        <f t="shared" si="21"/>
        <v>Error?</v>
      </c>
    </row>
    <row r="1447" spans="1:4" x14ac:dyDescent="0.2">
      <c r="A1447" s="5">
        <v>1386</v>
      </c>
      <c r="B1447" s="138">
        <f>'Expenditures 15-22'!D280</f>
        <v>4272</v>
      </c>
      <c r="D1447" s="2" t="str">
        <f t="shared" si="21"/>
        <v>Error?</v>
      </c>
    </row>
    <row r="1448" spans="1:4" x14ac:dyDescent="0.2">
      <c r="A1448" s="5">
        <v>1387</v>
      </c>
      <c r="B1448" s="138">
        <f>'Expenditures 15-22'!D295</f>
        <v>122161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589</v>
      </c>
      <c r="C1471" s="2" t="s">
        <v>573</v>
      </c>
      <c r="D1471" s="2" t="str">
        <f t="shared" ref="D1471:D1534" si="22">IF(ISBLANK(B1471),"OK",IF(A1471-B1471=0,"OK","Error?"))</f>
        <v>Error?</v>
      </c>
    </row>
    <row r="1472" spans="1:4" x14ac:dyDescent="0.2">
      <c r="A1472" s="5">
        <v>1411</v>
      </c>
      <c r="B1472" s="138">
        <f>'Expenditures 15-22'!K223</f>
        <v>1797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49380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569</v>
      </c>
      <c r="C1476" s="2" t="s">
        <v>573</v>
      </c>
      <c r="D1476" s="2" t="str">
        <f t="shared" si="22"/>
        <v>Error?</v>
      </c>
    </row>
    <row r="1477" spans="1:4" x14ac:dyDescent="0.2">
      <c r="A1477" s="5">
        <v>1416</v>
      </c>
      <c r="B1477" s="138">
        <f>'Expenditures 15-22'!K234</f>
        <v>304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221</v>
      </c>
      <c r="C1480" s="2" t="s">
        <v>573</v>
      </c>
      <c r="D1480" s="2" t="str">
        <f t="shared" si="22"/>
        <v>Error?</v>
      </c>
    </row>
    <row r="1481" spans="1:4" x14ac:dyDescent="0.2">
      <c r="A1481" s="5">
        <v>1420</v>
      </c>
      <c r="B1481" s="138">
        <f>'Expenditures 15-22'!K238</f>
        <v>1094</v>
      </c>
      <c r="C1481" s="2" t="s">
        <v>573</v>
      </c>
      <c r="D1481" s="2" t="str">
        <f t="shared" si="22"/>
        <v>Error?</v>
      </c>
    </row>
    <row r="1482" spans="1:4" x14ac:dyDescent="0.2">
      <c r="A1482" s="5">
        <v>1421</v>
      </c>
      <c r="B1482" s="138">
        <f>'Expenditures 15-22'!K240</f>
        <v>266</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334</v>
      </c>
      <c r="C1487" s="2" t="s">
        <v>573</v>
      </c>
      <c r="D1487" s="2" t="str">
        <f t="shared" si="22"/>
        <v>Error?</v>
      </c>
    </row>
    <row r="1488" spans="1:4" x14ac:dyDescent="0.2">
      <c r="A1488" s="5">
        <v>1427</v>
      </c>
      <c r="B1488" s="138">
        <f>'Expenditures 15-22'!K257</f>
        <v>9504</v>
      </c>
      <c r="C1488" s="2" t="s">
        <v>573</v>
      </c>
      <c r="D1488" s="2" t="str">
        <f t="shared" si="22"/>
        <v>Error?</v>
      </c>
    </row>
    <row r="1489" spans="1:4" x14ac:dyDescent="0.2">
      <c r="A1489" s="5">
        <v>1428</v>
      </c>
      <c r="B1489" s="138">
        <f>'Expenditures 15-22'!K259</f>
        <v>12368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12368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7793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17346</v>
      </c>
      <c r="C1495" s="2" t="s">
        <v>573</v>
      </c>
      <c r="D1495" s="2" t="str">
        <f t="shared" si="22"/>
        <v>Error?</v>
      </c>
    </row>
    <row r="1496" spans="1:4" x14ac:dyDescent="0.2">
      <c r="A1496" s="5">
        <v>1435</v>
      </c>
      <c r="B1496" s="138">
        <f>'Expenditures 15-22'!K267</f>
        <v>11638</v>
      </c>
      <c r="C1496" s="2" t="s">
        <v>573</v>
      </c>
      <c r="D1496" s="2" t="str">
        <f t="shared" si="22"/>
        <v>Error?</v>
      </c>
    </row>
    <row r="1497" spans="1:4" x14ac:dyDescent="0.2">
      <c r="A1497" s="5">
        <v>1436</v>
      </c>
      <c r="B1497" s="138">
        <f>'Expenditures 15-22'!K268</f>
        <v>8500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45277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68509</v>
      </c>
      <c r="C1510" s="2" t="s">
        <v>573</v>
      </c>
      <c r="D1510" s="2" t="str">
        <f t="shared" si="22"/>
        <v>Error?</v>
      </c>
    </row>
    <row r="1511" spans="1:4" x14ac:dyDescent="0.2">
      <c r="A1511" s="5">
        <v>1450</v>
      </c>
      <c r="B1511" s="138">
        <f>'Expenditures 15-22'!K280</f>
        <v>4272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122161</v>
      </c>
      <c r="C1517" s="2" t="s">
        <v>573</v>
      </c>
      <c r="D1517" s="2" t="str">
        <f t="shared" si="22"/>
        <v>Error?</v>
      </c>
    </row>
    <row r="1518" spans="1:4" x14ac:dyDescent="0.2">
      <c r="A1518" s="5">
        <v>1457</v>
      </c>
      <c r="B1518" s="138">
        <f>'Expenditures 15-22'!K296</f>
        <v>-55948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19084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19084</v>
      </c>
      <c r="C1535" s="2" t="s">
        <v>573</v>
      </c>
      <c r="D1535" s="2" t="str">
        <f t="shared" ref="D1535:D1598" si="23">IF(ISBLANK(B1535),"OK",IF(A1535-B1535=0,"OK","Error?"))</f>
        <v>Error?</v>
      </c>
    </row>
    <row r="1536" spans="1:4" x14ac:dyDescent="0.2">
      <c r="A1536" s="5">
        <v>1475</v>
      </c>
      <c r="B1536" s="138">
        <f>'Expenditures 15-22'!E312</f>
        <v>19084</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350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350</v>
      </c>
      <c r="C1553" s="2" t="s">
        <v>573</v>
      </c>
      <c r="D1553" s="2" t="str">
        <f t="shared" si="23"/>
        <v>Error?</v>
      </c>
    </row>
    <row r="1554" spans="1:4" x14ac:dyDescent="0.2">
      <c r="A1554" s="5">
        <v>1493</v>
      </c>
      <c r="B1554" s="138">
        <f>'Expenditures 15-22'!H312</f>
        <v>350</v>
      </c>
      <c r="C1554" s="2" t="s">
        <v>573</v>
      </c>
      <c r="D1554" s="2" t="str">
        <f t="shared" si="23"/>
        <v>Error?</v>
      </c>
    </row>
    <row r="1555" spans="1:4" x14ac:dyDescent="0.2">
      <c r="A1555" s="5">
        <v>1494</v>
      </c>
      <c r="B1555" s="138">
        <f>'Expenditures 15-22'!K301</f>
        <v>19434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19434</v>
      </c>
      <c r="C1559" s="2" t="s">
        <v>573</v>
      </c>
      <c r="D1559" s="2" t="str">
        <f t="shared" si="23"/>
        <v>Error?</v>
      </c>
    </row>
    <row r="1560" spans="1:4" x14ac:dyDescent="0.2">
      <c r="A1560" s="5">
        <v>1499</v>
      </c>
      <c r="B1560" s="138">
        <f>'Expenditures 15-22'!K312</f>
        <v>19434</v>
      </c>
      <c r="C1560" s="2" t="s">
        <v>573</v>
      </c>
      <c r="D1560" s="2" t="str">
        <f t="shared" si="23"/>
        <v>Error?</v>
      </c>
    </row>
    <row r="1561" spans="1:4" x14ac:dyDescent="0.2">
      <c r="A1561" s="5">
        <v>1500</v>
      </c>
      <c r="B1561" s="138">
        <f>'Expenditures 15-22'!K313</f>
        <v>120815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975435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1036171</v>
      </c>
      <c r="C1630" s="2" t="s">
        <v>573</v>
      </c>
      <c r="D1630" s="2" t="str">
        <f t="shared" si="24"/>
        <v>Error?</v>
      </c>
    </row>
    <row r="1631" spans="1:4" x14ac:dyDescent="0.2">
      <c r="A1631" s="5">
        <v>1570</v>
      </c>
      <c r="B1631" s="138">
        <f>'Acct Summary 7-8'!D79</f>
        <v>135433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142906</v>
      </c>
      <c r="C1644" s="2" t="s">
        <v>573</v>
      </c>
      <c r="D1644" s="2" t="str">
        <f t="shared" si="24"/>
        <v>Error?</v>
      </c>
    </row>
    <row r="1645" spans="1:4" x14ac:dyDescent="0.2">
      <c r="A1645" s="5">
        <v>1584</v>
      </c>
      <c r="B1645" s="138">
        <f>'Acct Summary 7-8'!E79</f>
        <v>20770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18201</v>
      </c>
      <c r="C1658" s="2" t="s">
        <v>573</v>
      </c>
      <c r="D1658" s="2" t="str">
        <f t="shared" si="24"/>
        <v>Error?</v>
      </c>
    </row>
    <row r="1659" spans="1:4" x14ac:dyDescent="0.2">
      <c r="A1659" s="5">
        <v>1598</v>
      </c>
      <c r="B1659" s="138">
        <f>'Acct Summary 7-8'!F79</f>
        <v>77013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79234</v>
      </c>
      <c r="C1672" s="2" t="s">
        <v>573</v>
      </c>
      <c r="D1672" s="2" t="str">
        <f t="shared" si="25"/>
        <v>Error?</v>
      </c>
    </row>
    <row r="1673" spans="1:4" x14ac:dyDescent="0.2">
      <c r="A1673" s="5">
        <v>1612</v>
      </c>
      <c r="B1673" s="138">
        <f>'Acct Summary 7-8'!G79</f>
        <v>170210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114262</v>
      </c>
      <c r="C1686" s="2" t="s">
        <v>573</v>
      </c>
      <c r="D1686" s="2" t="str">
        <f t="shared" si="25"/>
        <v>Error?</v>
      </c>
    </row>
    <row r="1687" spans="1:4" x14ac:dyDescent="0.2">
      <c r="A1687" s="5">
        <v>1626</v>
      </c>
      <c r="B1687" s="138">
        <f>'Acct Summary 7-8'!H79</f>
        <v>206159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294666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562254</v>
      </c>
      <c r="C1744" s="2" t="s">
        <v>573</v>
      </c>
      <c r="D1744" s="2" t="str">
        <f t="shared" si="26"/>
        <v>Error?</v>
      </c>
    </row>
    <row r="1745" spans="1:5" x14ac:dyDescent="0.2">
      <c r="A1745" s="5">
        <v>1684</v>
      </c>
      <c r="B1745" s="138">
        <f>'Tax Sched 23'!B5</f>
        <v>137440</v>
      </c>
      <c r="C1745" s="2" t="s">
        <v>573</v>
      </c>
      <c r="D1745" s="2" t="str">
        <f t="shared" si="26"/>
        <v>Error?</v>
      </c>
    </row>
    <row r="1746" spans="1:5" x14ac:dyDescent="0.2">
      <c r="A1746" s="5">
        <v>1685</v>
      </c>
      <c r="B1746" s="138">
        <f>'Tax Sched 23'!B6</f>
        <v>85171</v>
      </c>
      <c r="C1746" s="2" t="s">
        <v>573</v>
      </c>
      <c r="D1746" s="2" t="str">
        <f t="shared" si="26"/>
        <v>Error?</v>
      </c>
    </row>
    <row r="1747" spans="1:5" x14ac:dyDescent="0.2">
      <c r="A1747" s="5">
        <v>1686</v>
      </c>
      <c r="B1747" s="138">
        <f>'Tax Sched 23'!B7</f>
        <v>47684</v>
      </c>
      <c r="C1747" s="2" t="s">
        <v>573</v>
      </c>
      <c r="D1747" s="2" t="str">
        <f t="shared" si="26"/>
        <v>Error?</v>
      </c>
    </row>
    <row r="1748" spans="1:5" x14ac:dyDescent="0.2">
      <c r="A1748" s="5">
        <v>1687</v>
      </c>
      <c r="B1748" s="138">
        <f>'Tax Sched 23'!B8</f>
        <v>33813</v>
      </c>
      <c r="C1748" s="2" t="s">
        <v>573</v>
      </c>
      <c r="D1748" s="2" t="str">
        <f t="shared" si="26"/>
        <v>Error?</v>
      </c>
    </row>
    <row r="1749" spans="1:5" x14ac:dyDescent="0.2">
      <c r="A1749" s="5">
        <v>1688</v>
      </c>
      <c r="B1749" s="138">
        <f>'Tax Sched 23'!B10</f>
        <v>11921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232816</v>
      </c>
      <c r="C1752" s="2" t="s">
        <v>573</v>
      </c>
      <c r="D1752" s="2" t="str">
        <f t="shared" si="26"/>
        <v>Error?</v>
      </c>
    </row>
    <row r="1753" spans="1:5" x14ac:dyDescent="0.2">
      <c r="A1753" s="5">
        <v>1692</v>
      </c>
      <c r="B1753" s="138">
        <f>'Tax Sched 23'!B12</f>
        <v>11921</v>
      </c>
      <c r="C1753" s="2" t="s">
        <v>573</v>
      </c>
      <c r="D1753" s="2" t="str">
        <f t="shared" si="26"/>
        <v>Error?</v>
      </c>
    </row>
    <row r="1754" spans="1:5" x14ac:dyDescent="0.2">
      <c r="A1754" s="5">
        <v>1693</v>
      </c>
      <c r="B1754" s="138">
        <f>'Tax Sched 23'!B14</f>
        <v>9537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1173468</v>
      </c>
      <c r="C1759" s="2" t="s">
        <v>573</v>
      </c>
      <c r="D1759" s="2" t="str">
        <f t="shared" si="26"/>
        <v>Error?</v>
      </c>
    </row>
    <row r="1760" spans="1:5" x14ac:dyDescent="0.2">
      <c r="A1760" s="5">
        <v>1699</v>
      </c>
      <c r="B1760" s="138">
        <f>'Tax Sched 23'!D4</f>
        <v>562254</v>
      </c>
      <c r="C1760" s="2" t="s">
        <v>573</v>
      </c>
      <c r="D1760" s="2" t="str">
        <f t="shared" si="26"/>
        <v>Error?</v>
      </c>
    </row>
    <row r="1761" spans="1:5" x14ac:dyDescent="0.2">
      <c r="A1761" s="5">
        <v>1700</v>
      </c>
      <c r="B1761" s="138">
        <f>'Tax Sched 23'!D5</f>
        <v>137440</v>
      </c>
      <c r="C1761" s="2" t="s">
        <v>573</v>
      </c>
      <c r="D1761" s="2" t="str">
        <f t="shared" si="26"/>
        <v>Error?</v>
      </c>
    </row>
    <row r="1762" spans="1:5" s="8" customFormat="1" x14ac:dyDescent="0.2">
      <c r="A1762" s="5">
        <v>1701</v>
      </c>
      <c r="B1762" s="138">
        <f>'Tax Sched 23'!D6</f>
        <v>85171</v>
      </c>
      <c r="C1762" s="2" t="s">
        <v>573</v>
      </c>
      <c r="D1762" s="2" t="str">
        <f t="shared" si="26"/>
        <v>Error?</v>
      </c>
      <c r="E1762" s="9"/>
    </row>
    <row r="1763" spans="1:5" x14ac:dyDescent="0.2">
      <c r="A1763" s="5">
        <v>1702</v>
      </c>
      <c r="B1763" s="138">
        <f>'Tax Sched 23'!D7</f>
        <v>47684</v>
      </c>
      <c r="C1763" s="2" t="s">
        <v>573</v>
      </c>
      <c r="D1763" s="2" t="str">
        <f t="shared" si="26"/>
        <v>Error?</v>
      </c>
    </row>
    <row r="1764" spans="1:5" x14ac:dyDescent="0.2">
      <c r="A1764" s="5">
        <v>1703</v>
      </c>
      <c r="B1764" s="138">
        <f>'Tax Sched 23'!D8</f>
        <v>33813</v>
      </c>
      <c r="C1764" s="2" t="s">
        <v>573</v>
      </c>
      <c r="D1764" s="2" t="str">
        <f t="shared" si="26"/>
        <v>Error?</v>
      </c>
    </row>
    <row r="1765" spans="1:5" x14ac:dyDescent="0.2">
      <c r="A1765" s="5">
        <v>1704</v>
      </c>
      <c r="B1765" s="138">
        <f>'Tax Sched 23'!D10</f>
        <v>11921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232816</v>
      </c>
      <c r="C1768" s="2" t="s">
        <v>573</v>
      </c>
      <c r="D1768" s="2" t="str">
        <f t="shared" si="26"/>
        <v>Error?</v>
      </c>
    </row>
    <row r="1769" spans="1:5" x14ac:dyDescent="0.2">
      <c r="A1769" s="5">
        <v>1708</v>
      </c>
      <c r="B1769" s="138">
        <f>'Tax Sched 23'!D12</f>
        <v>11921</v>
      </c>
      <c r="C1769" s="2" t="s">
        <v>573</v>
      </c>
      <c r="D1769" s="2" t="str">
        <f t="shared" si="26"/>
        <v>Error?</v>
      </c>
    </row>
    <row r="1770" spans="1:5" x14ac:dyDescent="0.2">
      <c r="A1770" s="5">
        <v>1709</v>
      </c>
      <c r="B1770" s="138">
        <f>'Tax Sched 23'!D14</f>
        <v>9537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1173468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660698</v>
      </c>
      <c r="C1792" s="2" t="s">
        <v>573</v>
      </c>
      <c r="D1792" s="2" t="str">
        <f t="shared" si="27"/>
        <v>Error?</v>
      </c>
    </row>
    <row r="1793" spans="1:4" x14ac:dyDescent="0.2">
      <c r="A1793" s="5">
        <v>1732</v>
      </c>
      <c r="B1793" s="138">
        <f>'Tax Sched 23'!F5</f>
        <v>171527</v>
      </c>
      <c r="C1793" s="2" t="s">
        <v>573</v>
      </c>
      <c r="D1793" s="2" t="str">
        <f t="shared" si="27"/>
        <v>Error?</v>
      </c>
    </row>
    <row r="1794" spans="1:4" x14ac:dyDescent="0.2">
      <c r="A1794" s="5">
        <v>1733</v>
      </c>
      <c r="B1794" s="138">
        <f>'Tax Sched 23'!F6</f>
        <v>85890</v>
      </c>
      <c r="C1794" s="2" t="s">
        <v>573</v>
      </c>
      <c r="D1794" s="2" t="str">
        <f t="shared" si="27"/>
        <v>Error?</v>
      </c>
    </row>
    <row r="1795" spans="1:4" x14ac:dyDescent="0.2">
      <c r="A1795" s="5">
        <v>1734</v>
      </c>
      <c r="B1795" s="138">
        <f>'Tax Sched 23'!F7</f>
        <v>54121</v>
      </c>
      <c r="C1795" s="2" t="s">
        <v>573</v>
      </c>
      <c r="D1795" s="2" t="str">
        <f t="shared" si="27"/>
        <v>Error?</v>
      </c>
    </row>
    <row r="1796" spans="1:4" x14ac:dyDescent="0.2">
      <c r="A1796" s="5">
        <v>1735</v>
      </c>
      <c r="B1796" s="138">
        <f>'Tax Sched 23'!F8</f>
        <v>65000</v>
      </c>
      <c r="C1796" s="2" t="s">
        <v>573</v>
      </c>
      <c r="D1796" s="2" t="str">
        <f t="shared" si="27"/>
        <v>Error?</v>
      </c>
    </row>
    <row r="1797" spans="1:4" x14ac:dyDescent="0.2">
      <c r="A1797" s="5">
        <v>1736</v>
      </c>
      <c r="B1797" s="138">
        <f>'Tax Sched 23'!F10</f>
        <v>13530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240000</v>
      </c>
      <c r="C1800" s="2" t="s">
        <v>573</v>
      </c>
      <c r="D1800" s="2" t="str">
        <f t="shared" si="27"/>
        <v>Error?</v>
      </c>
    </row>
    <row r="1801" spans="1:4" x14ac:dyDescent="0.2">
      <c r="A1801" s="5">
        <v>1740</v>
      </c>
      <c r="B1801" s="138">
        <f>'Tax Sched 23'!F12</f>
        <v>13530</v>
      </c>
      <c r="C1801" s="2" t="s">
        <v>573</v>
      </c>
      <c r="D1801" s="2" t="str">
        <f t="shared" si="27"/>
        <v>Error?</v>
      </c>
    </row>
    <row r="1802" spans="1:4" x14ac:dyDescent="0.2">
      <c r="A1802" s="5">
        <v>1741</v>
      </c>
      <c r="B1802" s="138">
        <f>'Tax Sched 23'!F14</f>
        <v>10312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1382314</v>
      </c>
      <c r="C1807" s="2" t="s">
        <v>573</v>
      </c>
      <c r="D1807" s="2" t="str">
        <f t="shared" si="27"/>
        <v>Error?</v>
      </c>
    </row>
    <row r="1808" spans="1:4" x14ac:dyDescent="0.2">
      <c r="A1808" s="5">
        <v>1747</v>
      </c>
      <c r="B1808" s="138">
        <f>'Tax Sched 23'!E4</f>
        <v>660698</v>
      </c>
      <c r="D1808" s="2" t="str">
        <f t="shared" si="27"/>
        <v>Error?</v>
      </c>
    </row>
    <row r="1809" spans="1:4" x14ac:dyDescent="0.2">
      <c r="A1809" s="5">
        <v>1748</v>
      </c>
      <c r="B1809" s="138">
        <f>'Tax Sched 23'!E5</f>
        <v>171527</v>
      </c>
      <c r="D1809" s="2" t="str">
        <f t="shared" si="27"/>
        <v>Error?</v>
      </c>
    </row>
    <row r="1810" spans="1:4" x14ac:dyDescent="0.2">
      <c r="A1810" s="5">
        <v>1749</v>
      </c>
      <c r="B1810" s="138">
        <f>'Tax Sched 23'!E6</f>
        <v>85890</v>
      </c>
      <c r="D1810" s="2" t="str">
        <f t="shared" si="27"/>
        <v>Error?</v>
      </c>
    </row>
    <row r="1811" spans="1:4" x14ac:dyDescent="0.2">
      <c r="A1811" s="5">
        <v>1750</v>
      </c>
      <c r="B1811" s="138">
        <f>'Tax Sched 23'!E7</f>
        <v>54121</v>
      </c>
      <c r="D1811" s="2" t="str">
        <f t="shared" si="27"/>
        <v>Error?</v>
      </c>
    </row>
    <row r="1812" spans="1:4" x14ac:dyDescent="0.2">
      <c r="A1812" s="5">
        <v>1751</v>
      </c>
      <c r="B1812" s="138">
        <f>'Tax Sched 23'!E8</f>
        <v>65000</v>
      </c>
      <c r="D1812" s="2" t="str">
        <f t="shared" si="27"/>
        <v>Error?</v>
      </c>
    </row>
    <row r="1813" spans="1:4" x14ac:dyDescent="0.2">
      <c r="A1813" s="5">
        <v>1752</v>
      </c>
      <c r="B1813" s="138">
        <f>'Tax Sched 23'!E10</f>
        <v>13530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240000</v>
      </c>
      <c r="D1816" s="2" t="str">
        <f t="shared" si="27"/>
        <v>Error?</v>
      </c>
    </row>
    <row r="1817" spans="1:4" x14ac:dyDescent="0.2">
      <c r="A1817" s="5">
        <v>1756</v>
      </c>
      <c r="B1817" s="138">
        <f>'Tax Sched 23'!E12</f>
        <v>13530</v>
      </c>
      <c r="D1817" s="2" t="str">
        <f t="shared" si="27"/>
        <v>Error?</v>
      </c>
    </row>
    <row r="1818" spans="1:4" x14ac:dyDescent="0.2">
      <c r="A1818" s="5">
        <v>1757</v>
      </c>
      <c r="B1818" s="138">
        <f>'Tax Sched 23'!E14</f>
        <v>10312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1382314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914468</v>
      </c>
      <c r="C1939" s="2" t="s">
        <v>573</v>
      </c>
      <c r="D1939" s="2" t="str">
        <f t="shared" si="29"/>
        <v>Error?</v>
      </c>
    </row>
    <row r="1940" spans="1:5" x14ac:dyDescent="0.2">
      <c r="A1940" s="5">
        <v>1879</v>
      </c>
      <c r="B1940" s="138">
        <f>'Short-Term Long-Term Debt 24'!F49</f>
        <v>95138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9537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51765</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61302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61302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25000</v>
      </c>
      <c r="D2008" s="2" t="str">
        <f t="shared" si="30"/>
        <v>Error?</v>
      </c>
    </row>
    <row r="2009" spans="1:4" x14ac:dyDescent="0.2">
      <c r="A2009" s="5">
        <v>1948</v>
      </c>
      <c r="B2009" s="138">
        <f>'Cap Outlay Deprec 26'!C8</f>
        <v>4979903</v>
      </c>
      <c r="D2009" s="2" t="str">
        <f t="shared" si="30"/>
        <v>Error?</v>
      </c>
    </row>
    <row r="2010" spans="1:4" x14ac:dyDescent="0.2">
      <c r="A2010" s="5">
        <v>1949</v>
      </c>
      <c r="B2010" s="138">
        <f>'Cap Outlay Deprec 26'!C10</f>
        <v>66853</v>
      </c>
      <c r="D2010" s="2" t="str">
        <f t="shared" si="30"/>
        <v>Error?</v>
      </c>
    </row>
    <row r="2011" spans="1:4" x14ac:dyDescent="0.2">
      <c r="A2011" s="5">
        <v>1950</v>
      </c>
      <c r="B2011" s="138">
        <f>'Cap Outlay Deprec 26'!C12</f>
        <v>757849</v>
      </c>
      <c r="D2011" s="2" t="str">
        <f t="shared" si="30"/>
        <v>Error?</v>
      </c>
    </row>
    <row r="2012" spans="1:4" x14ac:dyDescent="0.2">
      <c r="A2012" s="5">
        <v>1951</v>
      </c>
      <c r="B2012" s="138">
        <f>'Cap Outlay Deprec 26'!C13</f>
        <v>260957</v>
      </c>
      <c r="D2012" s="2" t="str">
        <f t="shared" si="30"/>
        <v>Error?</v>
      </c>
    </row>
    <row r="2013" spans="1:4" x14ac:dyDescent="0.2">
      <c r="A2013" s="5">
        <v>1952</v>
      </c>
      <c r="B2013" s="138">
        <f>'Cap Outlay Deprec 26'!C16</f>
        <v>6090562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95138</v>
      </c>
      <c r="D2018" s="2" t="str">
        <f t="shared" si="30"/>
        <v>Error?</v>
      </c>
    </row>
    <row r="2019" spans="1:4" x14ac:dyDescent="0.2">
      <c r="A2019" s="5">
        <v>1958</v>
      </c>
      <c r="B2019" s="138">
        <f>'Cap Outlay Deprec 26'!D16</f>
        <v>95138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25000</v>
      </c>
      <c r="C2026" s="2" t="s">
        <v>573</v>
      </c>
      <c r="D2026" s="2" t="str">
        <f t="shared" si="30"/>
        <v>Error?</v>
      </c>
    </row>
    <row r="2027" spans="1:4" x14ac:dyDescent="0.2">
      <c r="A2027" s="5">
        <v>1966</v>
      </c>
      <c r="B2027" s="138">
        <f>'Cap Outlay Deprec 26'!F8</f>
        <v>4979903</v>
      </c>
      <c r="C2027" s="2" t="s">
        <v>573</v>
      </c>
      <c r="D2027" s="2" t="str">
        <f t="shared" si="30"/>
        <v>Error?</v>
      </c>
    </row>
    <row r="2028" spans="1:4" x14ac:dyDescent="0.2">
      <c r="A2028" s="5">
        <v>1967</v>
      </c>
      <c r="B2028" s="138">
        <f>'Cap Outlay Deprec 26'!F10</f>
        <v>66853</v>
      </c>
      <c r="C2028" s="2" t="s">
        <v>573</v>
      </c>
      <c r="D2028" s="2" t="str">
        <f t="shared" si="30"/>
        <v>Error?</v>
      </c>
    </row>
    <row r="2029" spans="1:4" x14ac:dyDescent="0.2">
      <c r="A2029" s="5">
        <v>1968</v>
      </c>
      <c r="B2029" s="138">
        <f>'Cap Outlay Deprec 26'!F12</f>
        <v>757849</v>
      </c>
      <c r="C2029" s="2" t="s">
        <v>573</v>
      </c>
      <c r="D2029" s="2" t="str">
        <f t="shared" si="30"/>
        <v>Error?</v>
      </c>
    </row>
    <row r="2030" spans="1:4" x14ac:dyDescent="0.2">
      <c r="A2030" s="5">
        <v>1969</v>
      </c>
      <c r="B2030" s="138">
        <f>'Cap Outlay Deprec 26'!F13</f>
        <v>356095</v>
      </c>
      <c r="C2030" s="2" t="s">
        <v>573</v>
      </c>
      <c r="D2030" s="2" t="str">
        <f t="shared" si="30"/>
        <v>Error?</v>
      </c>
    </row>
    <row r="2031" spans="1:4" x14ac:dyDescent="0.2">
      <c r="A2031" s="5">
        <v>1970</v>
      </c>
      <c r="B2031" s="138">
        <f>'Cap Outlay Deprec 26'!F16</f>
        <v>6185700</v>
      </c>
      <c r="C2031" s="2" t="s">
        <v>573</v>
      </c>
      <c r="D2031" s="2" t="str">
        <f t="shared" si="30"/>
        <v>Error?</v>
      </c>
    </row>
    <row r="2032" spans="1:4" x14ac:dyDescent="0.2">
      <c r="A2032" s="10">
        <v>1971</v>
      </c>
      <c r="D2032" s="2" t="str">
        <f t="shared" si="30"/>
        <v>OK</v>
      </c>
    </row>
    <row r="2033" spans="1:4" x14ac:dyDescent="0.2">
      <c r="A2033" s="5">
        <v>1972</v>
      </c>
      <c r="B2033" s="138">
        <f>'Cap Outlay Deprec 26'!H8</f>
        <v>1927153</v>
      </c>
      <c r="D2033" s="2" t="str">
        <f t="shared" si="30"/>
        <v>Error?</v>
      </c>
    </row>
    <row r="2034" spans="1:4" x14ac:dyDescent="0.2">
      <c r="A2034" s="5">
        <v>1973</v>
      </c>
      <c r="B2034" s="138">
        <f>'Cap Outlay Deprec 26'!H10</f>
        <v>53414</v>
      </c>
      <c r="D2034" s="2" t="str">
        <f t="shared" si="30"/>
        <v>Error?</v>
      </c>
    </row>
    <row r="2035" spans="1:4" x14ac:dyDescent="0.2">
      <c r="A2035" s="5">
        <v>1974</v>
      </c>
      <c r="B2035" s="138">
        <f>'Cap Outlay Deprec 26'!H12</f>
        <v>744710</v>
      </c>
      <c r="D2035" s="2" t="str">
        <f t="shared" si="30"/>
        <v>Error?</v>
      </c>
    </row>
    <row r="2036" spans="1:4" x14ac:dyDescent="0.2">
      <c r="A2036" s="5">
        <v>1975</v>
      </c>
      <c r="B2036" s="138">
        <f>'Cap Outlay Deprec 26'!H13</f>
        <v>207267</v>
      </c>
      <c r="D2036" s="2" t="str">
        <f t="shared" si="30"/>
        <v>Error?</v>
      </c>
    </row>
    <row r="2037" spans="1:4" x14ac:dyDescent="0.2">
      <c r="A2037" s="5">
        <v>1976</v>
      </c>
      <c r="B2037" s="138">
        <f>'Cap Outlay Deprec 26'!H16</f>
        <v>2932544</v>
      </c>
      <c r="C2037" s="2" t="s">
        <v>573</v>
      </c>
      <c r="D2037" s="2" t="str">
        <f t="shared" si="30"/>
        <v>Error?</v>
      </c>
    </row>
    <row r="2038" spans="1:4" x14ac:dyDescent="0.2">
      <c r="A2038" s="10">
        <v>1977</v>
      </c>
      <c r="D2038" s="2" t="str">
        <f t="shared" si="30"/>
        <v>OK</v>
      </c>
    </row>
    <row r="2039" spans="1:4" x14ac:dyDescent="0.2">
      <c r="A2039" s="5">
        <v>1978</v>
      </c>
      <c r="B2039" s="138">
        <f>'Cap Outlay Deprec 26'!I8</f>
        <v>99598</v>
      </c>
      <c r="D2039" s="2" t="str">
        <f t="shared" si="30"/>
        <v>Error?</v>
      </c>
    </row>
    <row r="2040" spans="1:4" x14ac:dyDescent="0.2">
      <c r="A2040" s="5">
        <v>1979</v>
      </c>
      <c r="B2040" s="138">
        <f>'Cap Outlay Deprec 26'!I10</f>
        <v>909</v>
      </c>
      <c r="D2040" s="2" t="str">
        <f t="shared" si="30"/>
        <v>Error?</v>
      </c>
    </row>
    <row r="2041" spans="1:4" x14ac:dyDescent="0.2">
      <c r="A2041" s="5">
        <v>1980</v>
      </c>
      <c r="B2041" s="138">
        <f>'Cap Outlay Deprec 26'!I12</f>
        <v>1700</v>
      </c>
      <c r="D2041" s="2" t="str">
        <f t="shared" si="30"/>
        <v>Error?</v>
      </c>
    </row>
    <row r="2042" spans="1:4" x14ac:dyDescent="0.2">
      <c r="A2042" s="5">
        <v>1981</v>
      </c>
      <c r="B2042" s="138">
        <f>'Cap Outlay Deprec 26'!I13</f>
        <v>41614</v>
      </c>
      <c r="D2042" s="2" t="str">
        <f t="shared" si="30"/>
        <v>Error?</v>
      </c>
    </row>
    <row r="2043" spans="1:4" x14ac:dyDescent="0.2">
      <c r="A2043" s="5">
        <v>1982</v>
      </c>
      <c r="B2043" s="138">
        <f>'Cap Outlay Deprec 26'!I16</f>
        <v>143821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2026751</v>
      </c>
      <c r="C2051" s="2" t="s">
        <v>573</v>
      </c>
      <c r="D2051" s="2" t="str">
        <f t="shared" si="31"/>
        <v>Error?</v>
      </c>
    </row>
    <row r="2052" spans="1:4" x14ac:dyDescent="0.2">
      <c r="A2052" s="5">
        <v>1991</v>
      </c>
      <c r="B2052" s="138">
        <f>'Cap Outlay Deprec 26'!K10</f>
        <v>54323</v>
      </c>
      <c r="C2052" s="2" t="s">
        <v>573</v>
      </c>
      <c r="D2052" s="2" t="str">
        <f t="shared" si="31"/>
        <v>Error?</v>
      </c>
    </row>
    <row r="2053" spans="1:4" x14ac:dyDescent="0.2">
      <c r="A2053" s="5">
        <v>1992</v>
      </c>
      <c r="B2053" s="138">
        <f>'Cap Outlay Deprec 26'!K12</f>
        <v>746410</v>
      </c>
      <c r="C2053" s="2" t="s">
        <v>573</v>
      </c>
      <c r="D2053" s="2" t="str">
        <f t="shared" si="31"/>
        <v>Error?</v>
      </c>
    </row>
    <row r="2054" spans="1:4" x14ac:dyDescent="0.2">
      <c r="A2054" s="5">
        <v>1993</v>
      </c>
      <c r="B2054" s="138">
        <f>'Cap Outlay Deprec 26'!K13</f>
        <v>248881</v>
      </c>
      <c r="C2054" s="2" t="s">
        <v>573</v>
      </c>
      <c r="D2054" s="2" t="str">
        <f t="shared" si="31"/>
        <v>Error?</v>
      </c>
    </row>
    <row r="2055" spans="1:4" x14ac:dyDescent="0.2">
      <c r="A2055" s="5">
        <v>1994</v>
      </c>
      <c r="B2055" s="138">
        <f>'Cap Outlay Deprec 26'!K16</f>
        <v>3076365</v>
      </c>
      <c r="C2055" s="2" t="s">
        <v>573</v>
      </c>
      <c r="D2055" s="2" t="str">
        <f t="shared" si="31"/>
        <v>Error?</v>
      </c>
    </row>
    <row r="2056" spans="1:4" x14ac:dyDescent="0.2">
      <c r="A2056" s="5">
        <v>1995</v>
      </c>
      <c r="B2056" s="138">
        <f>'Cap Outlay Deprec 26'!L5</f>
        <v>25000</v>
      </c>
      <c r="C2056" s="2" t="s">
        <v>573</v>
      </c>
      <c r="D2056" s="2" t="str">
        <f t="shared" si="31"/>
        <v>Error?</v>
      </c>
    </row>
    <row r="2057" spans="1:4" x14ac:dyDescent="0.2">
      <c r="A2057" s="5">
        <v>1996</v>
      </c>
      <c r="B2057" s="138">
        <f>'Cap Outlay Deprec 26'!L8</f>
        <v>2953152</v>
      </c>
      <c r="C2057" s="2" t="s">
        <v>573</v>
      </c>
      <c r="D2057" s="2" t="str">
        <f t="shared" si="31"/>
        <v>Error?</v>
      </c>
    </row>
    <row r="2058" spans="1:4" x14ac:dyDescent="0.2">
      <c r="A2058" s="5">
        <v>1997</v>
      </c>
      <c r="B2058" s="138">
        <f>'Cap Outlay Deprec 26'!L10</f>
        <v>12530</v>
      </c>
      <c r="C2058" s="2" t="s">
        <v>573</v>
      </c>
      <c r="D2058" s="2" t="str">
        <f t="shared" si="31"/>
        <v>Error?</v>
      </c>
    </row>
    <row r="2059" spans="1:4" x14ac:dyDescent="0.2">
      <c r="A2059" s="5">
        <v>1998</v>
      </c>
      <c r="B2059" s="138">
        <f>'Cap Outlay Deprec 26'!L12</f>
        <v>11439</v>
      </c>
      <c r="C2059" s="2" t="s">
        <v>573</v>
      </c>
      <c r="D2059" s="2" t="str">
        <f t="shared" si="31"/>
        <v>Error?</v>
      </c>
    </row>
    <row r="2060" spans="1:4" x14ac:dyDescent="0.2">
      <c r="A2060" s="5">
        <v>1999</v>
      </c>
      <c r="B2060" s="138">
        <f>'Cap Outlay Deprec 26'!L13</f>
        <v>107214</v>
      </c>
      <c r="C2060" s="2" t="s">
        <v>573</v>
      </c>
      <c r="D2060" s="2" t="str">
        <f t="shared" si="31"/>
        <v>Error?</v>
      </c>
    </row>
    <row r="2061" spans="1:4" x14ac:dyDescent="0.2">
      <c r="A2061" s="5">
        <v>2000</v>
      </c>
      <c r="B2061" s="138">
        <f>'Cap Outlay Deprec 26'!L16</f>
        <v>3109335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9926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32743</v>
      </c>
      <c r="C2088" s="2" t="s">
        <v>573</v>
      </c>
      <c r="D2088" s="2" t="str">
        <f t="shared" si="31"/>
        <v>Error?</v>
      </c>
    </row>
    <row r="2089" spans="1:4" x14ac:dyDescent="0.2">
      <c r="A2089" s="5">
        <v>2028</v>
      </c>
      <c r="B2089" s="138">
        <f>'Expenditures 15-22'!K92</f>
        <v>108342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740432</v>
      </c>
      <c r="C2551" s="2" t="s">
        <v>573</v>
      </c>
      <c r="D2551" s="2" t="str">
        <f t="shared" si="38"/>
        <v>Error?</v>
      </c>
    </row>
    <row r="2552" spans="1:4" x14ac:dyDescent="0.2">
      <c r="A2552" s="10">
        <v>2491</v>
      </c>
      <c r="D2552" s="2" t="str">
        <f t="shared" si="38"/>
        <v>OK</v>
      </c>
    </row>
    <row r="2553" spans="1:4" x14ac:dyDescent="0.2">
      <c r="A2553" s="5">
        <v>2492</v>
      </c>
      <c r="B2553" s="138">
        <f>'Acct Summary 7-8'!C6</f>
        <v>1635338</v>
      </c>
      <c r="C2553" s="2" t="s">
        <v>573</v>
      </c>
      <c r="D2553" s="2" t="str">
        <f t="shared" si="38"/>
        <v>Error?</v>
      </c>
    </row>
    <row r="2554" spans="1:4" x14ac:dyDescent="0.2">
      <c r="A2554" s="5">
        <v>2493</v>
      </c>
      <c r="B2554" s="138">
        <f>'Acct Summary 7-8'!C7</f>
        <v>282508</v>
      </c>
      <c r="C2554" s="2" t="s">
        <v>573</v>
      </c>
      <c r="D2554" s="2" t="str">
        <f t="shared" si="38"/>
        <v>Error?</v>
      </c>
    </row>
    <row r="2555" spans="1:4" x14ac:dyDescent="0.2">
      <c r="A2555" s="5">
        <v>2494</v>
      </c>
      <c r="B2555" s="138">
        <f>'Acct Summary 7-8'!C8</f>
        <v>2658278</v>
      </c>
      <c r="C2555" s="2" t="s">
        <v>573</v>
      </c>
      <c r="D2555" s="2" t="str">
        <f t="shared" si="38"/>
        <v>Error?</v>
      </c>
    </row>
    <row r="2556" spans="1:4" x14ac:dyDescent="0.2">
      <c r="A2556" s="5">
        <v>2495</v>
      </c>
      <c r="B2556" s="138">
        <f>'Acct Summary 7-8'!C12</f>
        <v>1785210</v>
      </c>
      <c r="C2556" s="2" t="s">
        <v>573</v>
      </c>
      <c r="D2556" s="2" t="str">
        <f t="shared" si="38"/>
        <v>Error?</v>
      </c>
    </row>
    <row r="2557" spans="1:4" x14ac:dyDescent="0.2">
      <c r="A2557" s="5">
        <v>2496</v>
      </c>
      <c r="B2557" s="138">
        <f>'Acct Summary 7-8'!C13</f>
        <v>645315</v>
      </c>
      <c r="C2557" s="2" t="s">
        <v>573</v>
      </c>
      <c r="D2557" s="2" t="str">
        <f t="shared" si="38"/>
        <v>Error?</v>
      </c>
    </row>
    <row r="2558" spans="1:4" x14ac:dyDescent="0.2">
      <c r="A2558" s="5">
        <v>2497</v>
      </c>
      <c r="B2558" s="138">
        <f>'Acct Summary 7-8'!C14</f>
        <v>25932</v>
      </c>
      <c r="C2558" s="2" t="s">
        <v>573</v>
      </c>
      <c r="D2558" s="2" t="str">
        <f t="shared" si="38"/>
        <v>Error?</v>
      </c>
    </row>
    <row r="2559" spans="1:4" x14ac:dyDescent="0.2">
      <c r="A2559" s="5">
        <v>2498</v>
      </c>
      <c r="B2559" s="138">
        <f>'Acct Summary 7-8'!C15</f>
        <v>141085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2597542</v>
      </c>
      <c r="C2561" s="2" t="s">
        <v>573</v>
      </c>
      <c r="D2561" s="2" t="str">
        <f t="shared" si="39"/>
        <v>Error?</v>
      </c>
    </row>
    <row r="2562" spans="1:4" x14ac:dyDescent="0.2">
      <c r="A2562" s="5">
        <v>2501</v>
      </c>
      <c r="B2562" s="138">
        <f>'Acct Summary 7-8'!C20</f>
        <v>60736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139346</v>
      </c>
      <c r="C2564" s="2" t="s">
        <v>573</v>
      </c>
      <c r="D2564" s="2" t="str">
        <f t="shared" si="39"/>
        <v>Error?</v>
      </c>
    </row>
    <row r="2565" spans="1:4" x14ac:dyDescent="0.2">
      <c r="A2565" s="10">
        <v>2504</v>
      </c>
      <c r="D2565" s="2" t="str">
        <f t="shared" si="39"/>
        <v>OK</v>
      </c>
    </row>
    <row r="2566" spans="1:4" x14ac:dyDescent="0.2">
      <c r="A2566" s="5">
        <v>2505</v>
      </c>
      <c r="B2566" s="138">
        <f>'Acct Summary 7-8'!D6</f>
        <v>34000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173346</v>
      </c>
      <c r="C2568" s="2" t="s">
        <v>573</v>
      </c>
      <c r="D2568" s="2" t="str">
        <f t="shared" si="39"/>
        <v>Error?</v>
      </c>
    </row>
    <row r="2569" spans="1:4" x14ac:dyDescent="0.2">
      <c r="A2569" s="5">
        <v>2508</v>
      </c>
      <c r="B2569" s="138">
        <f>'Acct Summary 7-8'!D13</f>
        <v>165873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165873</v>
      </c>
      <c r="C2573" s="2" t="s">
        <v>573</v>
      </c>
      <c r="D2573" s="2" t="str">
        <f t="shared" si="39"/>
        <v>Error?</v>
      </c>
    </row>
    <row r="2574" spans="1:4" x14ac:dyDescent="0.2">
      <c r="A2574" s="5">
        <v>2513</v>
      </c>
      <c r="B2574" s="138">
        <f>'Acct Summary 7-8'!D20</f>
        <v>7473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48338</v>
      </c>
      <c r="C2591" s="2" t="s">
        <v>573</v>
      </c>
      <c r="D2591" s="2" t="str">
        <f t="shared" si="39"/>
        <v>Error?</v>
      </c>
    </row>
    <row r="2592" spans="1:4" x14ac:dyDescent="0.2">
      <c r="A2592" s="10">
        <v>2531</v>
      </c>
      <c r="D2592" s="2" t="str">
        <f t="shared" si="39"/>
        <v>OK</v>
      </c>
    </row>
    <row r="2593" spans="1:4" x14ac:dyDescent="0.2">
      <c r="A2593" s="5">
        <v>2532</v>
      </c>
      <c r="B2593" s="138">
        <f>'Acct Summary 7-8'!F6</f>
        <v>111345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159683</v>
      </c>
      <c r="C2595" s="2" t="s">
        <v>573</v>
      </c>
      <c r="D2595" s="2" t="str">
        <f t="shared" si="39"/>
        <v>Error?</v>
      </c>
    </row>
    <row r="2596" spans="1:4" x14ac:dyDescent="0.2">
      <c r="A2596" s="5">
        <v>2535</v>
      </c>
      <c r="B2596" s="138">
        <f>'Acct Summary 7-8'!F13</f>
        <v>209898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42702</v>
      </c>
      <c r="C2599" s="2" t="s">
        <v>573</v>
      </c>
      <c r="D2599" s="2" t="str">
        <f t="shared" si="39"/>
        <v>Error?</v>
      </c>
    </row>
    <row r="2600" spans="1:4" x14ac:dyDescent="0.2">
      <c r="A2600" s="5">
        <v>2539</v>
      </c>
      <c r="B2600" s="138">
        <f>'Acct Summary 7-8'!F17</f>
        <v>252600</v>
      </c>
      <c r="C2600" s="2" t="s">
        <v>573</v>
      </c>
      <c r="D2600" s="2" t="str">
        <f t="shared" si="39"/>
        <v>Error?</v>
      </c>
    </row>
    <row r="2601" spans="1:4" x14ac:dyDescent="0.2">
      <c r="A2601" s="5">
        <v>2540</v>
      </c>
      <c r="B2601" s="138">
        <f>'Acct Summary 7-8'!F20</f>
        <v>-92917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66213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66213</v>
      </c>
      <c r="C2606" s="2" t="s">
        <v>573</v>
      </c>
      <c r="D2606" s="2" t="str">
        <f t="shared" si="39"/>
        <v>Error?</v>
      </c>
    </row>
    <row r="2607" spans="1:4" x14ac:dyDescent="0.2">
      <c r="A2607" s="5">
        <v>2546</v>
      </c>
      <c r="B2607" s="138">
        <f>'Acct Summary 7-8'!G12</f>
        <v>49380</v>
      </c>
      <c r="C2607" s="2" t="s">
        <v>573</v>
      </c>
      <c r="D2607" s="2" t="str">
        <f t="shared" si="39"/>
        <v>Error?</v>
      </c>
    </row>
    <row r="2608" spans="1:4" x14ac:dyDescent="0.2">
      <c r="A2608" s="5">
        <v>2547</v>
      </c>
      <c r="B2608" s="138">
        <f>'Acct Summary 7-8'!G13</f>
        <v>68509</v>
      </c>
      <c r="C2608" s="2" t="s">
        <v>573</v>
      </c>
      <c r="D2608" s="2" t="str">
        <f t="shared" si="39"/>
        <v>Error?</v>
      </c>
    </row>
    <row r="2609" spans="1:4" x14ac:dyDescent="0.2">
      <c r="A2609" s="5">
        <v>2548</v>
      </c>
      <c r="B2609" s="138">
        <f>'Acct Summary 7-8'!G14</f>
        <v>4272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122161</v>
      </c>
      <c r="C2612" s="2" t="s">
        <v>573</v>
      </c>
      <c r="D2612" s="2" t="str">
        <f t="shared" si="39"/>
        <v>Error?</v>
      </c>
    </row>
    <row r="2613" spans="1:4" x14ac:dyDescent="0.2">
      <c r="A2613" s="5">
        <v>2552</v>
      </c>
      <c r="B2613" s="138">
        <f>'Acct Summary 7-8'!G20</f>
        <v>-55948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85211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85211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87780</v>
      </c>
      <c r="C2634" s="2" t="s">
        <v>573</v>
      </c>
      <c r="D2634" s="2" t="str">
        <f t="shared" si="40"/>
        <v>Error?</v>
      </c>
    </row>
    <row r="2635" spans="1:4" x14ac:dyDescent="0.2">
      <c r="A2635" s="5">
        <v>2574</v>
      </c>
      <c r="B2635" s="138">
        <f>'Acct Summary 7-8'!E17</f>
        <v>87780</v>
      </c>
      <c r="C2635" s="2" t="s">
        <v>573</v>
      </c>
      <c r="D2635" s="2" t="str">
        <f t="shared" si="40"/>
        <v>Error?</v>
      </c>
    </row>
    <row r="2636" spans="1:4" x14ac:dyDescent="0.2">
      <c r="A2636" s="5">
        <v>2575</v>
      </c>
      <c r="B2636" s="138">
        <f>'Acct Summary 7-8'!E20</f>
        <v>-2569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140249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140249</v>
      </c>
      <c r="C2658" s="2" t="s">
        <v>573</v>
      </c>
      <c r="D2658" s="2" t="str">
        <f t="shared" si="40"/>
        <v>Error?</v>
      </c>
    </row>
    <row r="2659" spans="1:4" x14ac:dyDescent="0.2">
      <c r="A2659" s="5">
        <v>2598</v>
      </c>
      <c r="B2659" s="138">
        <f>'Acct Summary 7-8'!H13</f>
        <v>19434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19434</v>
      </c>
      <c r="C2661" s="2" t="s">
        <v>573</v>
      </c>
      <c r="D2661" s="2" t="str">
        <f t="shared" si="40"/>
        <v>Error?</v>
      </c>
    </row>
    <row r="2662" spans="1:4" x14ac:dyDescent="0.2">
      <c r="A2662" s="5">
        <v>2601</v>
      </c>
      <c r="B2662" s="138">
        <f>'Acct Summary 7-8'!H20</f>
        <v>120815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500</v>
      </c>
      <c r="D2720" s="2" t="str">
        <f t="shared" si="41"/>
        <v>Error?</v>
      </c>
    </row>
    <row r="2721" spans="1:4" x14ac:dyDescent="0.2">
      <c r="A2721" s="5">
        <v>2660</v>
      </c>
      <c r="B2721" s="138">
        <f>'Expenditures 15-22'!F51</f>
        <v>1541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2041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22817</v>
      </c>
      <c r="C2789" s="2" t="s">
        <v>573</v>
      </c>
      <c r="D2789" s="2" t="str">
        <f t="shared" si="42"/>
        <v>Error?</v>
      </c>
    </row>
    <row r="2790" spans="1:4" x14ac:dyDescent="0.2">
      <c r="A2790" s="5">
        <v>2729</v>
      </c>
      <c r="B2790" s="138">
        <f>'Expenditures 15-22'!E102</f>
        <v>22817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105311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96289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105311</v>
      </c>
      <c r="D2912" s="2" t="str">
        <f t="shared" si="44"/>
        <v>Error?</v>
      </c>
    </row>
    <row r="2913" spans="1:4" x14ac:dyDescent="0.2">
      <c r="A2913" s="5">
        <v>2852</v>
      </c>
      <c r="B2913" s="138">
        <f>'Assets-Liab 5-6'!I41</f>
        <v>105311</v>
      </c>
      <c r="C2913" s="2" t="s">
        <v>573</v>
      </c>
      <c r="D2913" s="2" t="str">
        <f t="shared" si="44"/>
        <v>Error?</v>
      </c>
    </row>
    <row r="2914" spans="1:4" x14ac:dyDescent="0.2">
      <c r="A2914" s="5">
        <v>2853</v>
      </c>
      <c r="B2914" s="138">
        <f>'Assets-Liab 5-6'!L33</f>
        <v>96289</v>
      </c>
      <c r="D2914" s="2" t="str">
        <f t="shared" si="44"/>
        <v>Error?</v>
      </c>
    </row>
    <row r="2915" spans="1:4" x14ac:dyDescent="0.2">
      <c r="A2915" s="10">
        <v>2854</v>
      </c>
      <c r="D2915" s="2" t="str">
        <f t="shared" si="44"/>
        <v>OK</v>
      </c>
    </row>
    <row r="2916" spans="1:4" x14ac:dyDescent="0.2">
      <c r="A2916" s="5">
        <v>2855</v>
      </c>
      <c r="B2916" s="138">
        <f>'Assets-Liab 5-6'!L34</f>
        <v>96289</v>
      </c>
      <c r="C2916" s="2" t="s">
        <v>573</v>
      </c>
      <c r="D2916" s="2" t="str">
        <f t="shared" si="44"/>
        <v>Error?</v>
      </c>
    </row>
    <row r="2917" spans="1:4" x14ac:dyDescent="0.2">
      <c r="A2917" s="5">
        <v>2856</v>
      </c>
      <c r="B2917" s="138">
        <f>'Assets-Liab 5-6'!L41</f>
        <v>96289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22817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8570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31387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1356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35841</v>
      </c>
      <c r="D3055" s="2" t="str">
        <f t="shared" si="46"/>
        <v>Error?</v>
      </c>
    </row>
    <row r="3056" spans="1:4" x14ac:dyDescent="0.2">
      <c r="A3056" s="5">
        <v>2995</v>
      </c>
      <c r="B3056" s="138">
        <f>'Expenditures 15-22'!D10</f>
        <v>5914</v>
      </c>
      <c r="D3056" s="2" t="str">
        <f t="shared" si="46"/>
        <v>Error?</v>
      </c>
    </row>
    <row r="3057" spans="1:4" x14ac:dyDescent="0.2">
      <c r="A3057" s="5">
        <v>2996</v>
      </c>
      <c r="B3057" s="138">
        <f>'Expenditures 15-22'!E10</f>
        <v>1594</v>
      </c>
      <c r="D3057" s="2" t="str">
        <f t="shared" si="46"/>
        <v>Error?</v>
      </c>
    </row>
    <row r="3058" spans="1:4" x14ac:dyDescent="0.2">
      <c r="A3058" s="5">
        <v>2997</v>
      </c>
      <c r="B3058" s="138">
        <f>'Expenditures 15-22'!F10</f>
        <v>30673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74022</v>
      </c>
      <c r="C3062" s="2" t="s">
        <v>573</v>
      </c>
      <c r="D3062" s="2" t="str">
        <f t="shared" si="46"/>
        <v>Error?</v>
      </c>
    </row>
    <row r="3063" spans="1:4" x14ac:dyDescent="0.2">
      <c r="A3063" s="10">
        <v>3002</v>
      </c>
      <c r="D3063" s="2" t="str">
        <f t="shared" si="46"/>
        <v>OK</v>
      </c>
    </row>
    <row r="3064" spans="1:4" x14ac:dyDescent="0.2">
      <c r="A3064" s="5">
        <v>3003</v>
      </c>
      <c r="B3064" s="138">
        <f>'Expenditures 15-22'!D219</f>
        <v>5551</v>
      </c>
      <c r="D3064" s="2" t="str">
        <f t="shared" si="46"/>
        <v>Error?</v>
      </c>
    </row>
    <row r="3065" spans="1:4" x14ac:dyDescent="0.2">
      <c r="A3065" s="5">
        <v>3004</v>
      </c>
      <c r="B3065" s="138">
        <f>'Expenditures 15-22'!K219</f>
        <v>5551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12083</v>
      </c>
      <c r="C3225" s="2" t="s">
        <v>573</v>
      </c>
      <c r="D3225" s="2" t="str">
        <f t="shared" si="49"/>
        <v>Error?</v>
      </c>
    </row>
    <row r="3226" spans="1:4" x14ac:dyDescent="0.2">
      <c r="A3226" s="5">
        <v>3165</v>
      </c>
      <c r="B3226" s="138">
        <f>'Acct Summary 7-8'!I8</f>
        <v>12083</v>
      </c>
      <c r="C3226" s="2" t="s">
        <v>573</v>
      </c>
      <c r="D3226" s="2" t="str">
        <f t="shared" si="49"/>
        <v>Error?</v>
      </c>
    </row>
    <row r="3227" spans="1:4" x14ac:dyDescent="0.2">
      <c r="A3227" s="5">
        <v>3166</v>
      </c>
      <c r="B3227" s="138">
        <f>'Acct Summary 7-8'!I20</f>
        <v>12083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60736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7473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95138</v>
      </c>
      <c r="D3251" s="2" t="str">
        <f t="shared" si="49"/>
        <v>Error?</v>
      </c>
    </row>
    <row r="3252" spans="1:4" x14ac:dyDescent="0.2">
      <c r="A3252" s="5">
        <v>3191</v>
      </c>
      <c r="B3252" s="138">
        <f>'Acct Summary 7-8'!F44</f>
        <v>95138</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95138</v>
      </c>
      <c r="C3255" s="2" t="s">
        <v>573</v>
      </c>
      <c r="D3255" s="2" t="str">
        <f t="shared" si="49"/>
        <v>Error?</v>
      </c>
    </row>
    <row r="3256" spans="1:4" x14ac:dyDescent="0.2">
      <c r="A3256" s="5">
        <v>3195</v>
      </c>
      <c r="B3256" s="138">
        <f>'Acct Summary 7-8'!F78</f>
        <v>2221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-55948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-2569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32308</v>
      </c>
      <c r="D3297" s="2" t="str">
        <f t="shared" si="50"/>
        <v>Error?</v>
      </c>
    </row>
    <row r="3298" spans="1:4" x14ac:dyDescent="0.2">
      <c r="A3298" s="5">
        <v>3237</v>
      </c>
      <c r="B3298" s="138">
        <f>'Acct Summary 7-8'!H76</f>
        <v>32308</v>
      </c>
      <c r="C3298" s="2" t="s">
        <v>573</v>
      </c>
      <c r="D3298" s="2" t="str">
        <f t="shared" si="50"/>
        <v>Error?</v>
      </c>
    </row>
    <row r="3299" spans="1:4" x14ac:dyDescent="0.2">
      <c r="A3299" s="5">
        <v>3238</v>
      </c>
      <c r="B3299" s="138">
        <f>'Acct Summary 7-8'!H77</f>
        <v>-32308</v>
      </c>
      <c r="C3299" s="2" t="s">
        <v>573</v>
      </c>
      <c r="D3299" s="2" t="str">
        <f t="shared" si="50"/>
        <v>Error?</v>
      </c>
    </row>
    <row r="3300" spans="1:4" x14ac:dyDescent="0.2">
      <c r="A3300" s="5">
        <v>3239</v>
      </c>
      <c r="B3300" s="138">
        <f>'Acct Summary 7-8'!H78</f>
        <v>88507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12083</v>
      </c>
      <c r="C3320" s="2" t="s">
        <v>573</v>
      </c>
      <c r="D3320" s="2" t="str">
        <f t="shared" si="50"/>
        <v>Error?</v>
      </c>
    </row>
    <row r="3321" spans="1:4" x14ac:dyDescent="0.2">
      <c r="A3321" s="5">
        <v>3260</v>
      </c>
      <c r="B3321" s="138">
        <f>'Acct Summary 7-8'!I79</f>
        <v>93228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105311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401968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24291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426838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16628</v>
      </c>
      <c r="D3387" s="2" t="str">
        <f t="shared" si="51"/>
        <v>Error?</v>
      </c>
    </row>
    <row r="3388" spans="1:4" x14ac:dyDescent="0.2">
      <c r="A3388" s="5">
        <v>3327</v>
      </c>
      <c r="B3388" s="138">
        <f>'Expenditures 15-22'!D217</f>
        <v>22429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16628</v>
      </c>
      <c r="C3390" s="2" t="s">
        <v>573</v>
      </c>
      <c r="D3390" s="2" t="str">
        <f t="shared" si="51"/>
        <v>Error?</v>
      </c>
    </row>
    <row r="3391" spans="1:4" x14ac:dyDescent="0.2">
      <c r="A3391" s="5">
        <v>3330</v>
      </c>
      <c r="B3391" s="138">
        <f>'Expenditures 15-22'!K217</f>
        <v>22429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184888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38062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18201</v>
      </c>
      <c r="D3417" s="2" t="str">
        <f t="shared" si="52"/>
        <v>Error?</v>
      </c>
    </row>
    <row r="3418" spans="1:4" x14ac:dyDescent="0.2">
      <c r="A3418" s="10">
        <v>3357</v>
      </c>
      <c r="D3418" s="2" t="str">
        <f t="shared" si="52"/>
        <v>OK</v>
      </c>
    </row>
    <row r="3419" spans="1:4" x14ac:dyDescent="0.2">
      <c r="A3419" s="5">
        <v>3358</v>
      </c>
      <c r="B3419" s="138">
        <f>'Assets-Liab 5-6'!F4</f>
        <v>44186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11854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192258</v>
      </c>
      <c r="D3425" s="2" t="str">
        <f t="shared" si="52"/>
        <v>Error?</v>
      </c>
    </row>
    <row r="3426" spans="1:4" x14ac:dyDescent="0.2">
      <c r="A3426" s="10">
        <v>3365</v>
      </c>
      <c r="D3426" s="2" t="str">
        <f t="shared" si="52"/>
        <v>OK</v>
      </c>
    </row>
    <row r="3427" spans="1:4" x14ac:dyDescent="0.2">
      <c r="A3427" s="5">
        <v>3366</v>
      </c>
      <c r="B3427" s="138">
        <f>'Assets-Liab 5-6'!I4</f>
        <v>105311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96289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28983</v>
      </c>
      <c r="C3446" s="2" t="s">
        <v>573</v>
      </c>
      <c r="D3446" s="2" t="str">
        <f t="shared" si="52"/>
        <v>Error?</v>
      </c>
    </row>
    <row r="3447" spans="1:4" x14ac:dyDescent="0.2">
      <c r="A3447" s="5">
        <v>3386</v>
      </c>
      <c r="B3447" s="138">
        <f>'Tax Sched 23'!D16</f>
        <v>28983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55000</v>
      </c>
      <c r="C3449" s="2" t="s">
        <v>573</v>
      </c>
      <c r="D3449" s="2" t="str">
        <f t="shared" si="52"/>
        <v>Error?</v>
      </c>
    </row>
    <row r="3450" spans="1:4" x14ac:dyDescent="0.2">
      <c r="A3450" s="5">
        <v>3389</v>
      </c>
      <c r="B3450" s="138">
        <f>'Tax Sched 23'!E16</f>
        <v>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39185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39185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39185</v>
      </c>
      <c r="D3567" s="2" t="str">
        <f t="shared" si="54"/>
        <v>Error?</v>
      </c>
    </row>
    <row r="3568" spans="1:4" x14ac:dyDescent="0.2">
      <c r="A3568" s="5">
        <v>3507</v>
      </c>
      <c r="B3568" s="138">
        <f>'Assets-Liab 5-6'!K41</f>
        <v>39185</v>
      </c>
      <c r="C3568" s="2" t="s">
        <v>573</v>
      </c>
      <c r="D3568" s="2" t="str">
        <f t="shared" si="54"/>
        <v>Error?</v>
      </c>
    </row>
    <row r="3569" spans="1:4" x14ac:dyDescent="0.2">
      <c r="A3569" s="5">
        <v>3508</v>
      </c>
      <c r="B3569" s="138">
        <f>'Acct Summary 7-8'!K4</f>
        <v>11977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11977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11977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11977</v>
      </c>
      <c r="C3588" s="2" t="s">
        <v>573</v>
      </c>
      <c r="D3588" s="2" t="str">
        <f t="shared" si="55"/>
        <v>Error?</v>
      </c>
    </row>
    <row r="3589" spans="1:4" x14ac:dyDescent="0.2">
      <c r="A3589" s="5">
        <v>3528</v>
      </c>
      <c r="B3589" s="138">
        <f>'Acct Summary 7-8'!K79</f>
        <v>27208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39185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11977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11928</v>
      </c>
      <c r="C3725" s="2" t="s">
        <v>573</v>
      </c>
      <c r="D3725" s="2" t="str">
        <f t="shared" si="57"/>
        <v>Error?</v>
      </c>
    </row>
    <row r="3726" spans="1:4" x14ac:dyDescent="0.2">
      <c r="A3726" s="5">
        <v>3665</v>
      </c>
      <c r="B3726" s="138">
        <f>'Tax Sched 23'!D13</f>
        <v>11928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12706</v>
      </c>
      <c r="C3728" s="2" t="s">
        <v>573</v>
      </c>
      <c r="D3728" s="2" t="str">
        <f t="shared" si="57"/>
        <v>Error?</v>
      </c>
    </row>
    <row r="3729" spans="1:4" x14ac:dyDescent="0.2">
      <c r="A3729" s="5">
        <v>3668</v>
      </c>
      <c r="B3729" s="138">
        <f>'Tax Sched 23'!E13</f>
        <v>12706</v>
      </c>
      <c r="D3729" s="2" t="str">
        <f t="shared" si="57"/>
        <v>Error?</v>
      </c>
    </row>
    <row r="3730" spans="1:4" x14ac:dyDescent="0.2">
      <c r="A3730" s="5">
        <v>3669</v>
      </c>
      <c r="B3730" s="138">
        <f>'ICR Computation 30'!E10</f>
        <v>66278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1022682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3680960</v>
      </c>
      <c r="C4122" s="2" t="s">
        <v>573</v>
      </c>
      <c r="D4122" s="2" t="str">
        <f t="shared" si="63"/>
        <v>Error?</v>
      </c>
    </row>
    <row r="4123" spans="1:4" x14ac:dyDescent="0.2">
      <c r="A4123" s="5">
        <v>4062</v>
      </c>
      <c r="B4123" s="138">
        <f>'Acct Summary 7-8'!D10</f>
        <v>173346</v>
      </c>
      <c r="C4123" s="2" t="s">
        <v>573</v>
      </c>
      <c r="D4123" s="2" t="str">
        <f t="shared" si="63"/>
        <v>Error?</v>
      </c>
    </row>
    <row r="4124" spans="1:4" x14ac:dyDescent="0.2">
      <c r="A4124" s="5">
        <v>4063</v>
      </c>
      <c r="B4124" s="138">
        <f>'Acct Summary 7-8'!E10</f>
        <v>85211</v>
      </c>
      <c r="C4124" s="2" t="s">
        <v>573</v>
      </c>
      <c r="D4124" s="2" t="str">
        <f t="shared" si="63"/>
        <v>Error?</v>
      </c>
    </row>
    <row r="4125" spans="1:4" x14ac:dyDescent="0.2">
      <c r="A4125" s="5">
        <v>4064</v>
      </c>
      <c r="B4125" s="138">
        <f>'Acct Summary 7-8'!F10</f>
        <v>159683</v>
      </c>
      <c r="C4125" s="2" t="s">
        <v>573</v>
      </c>
      <c r="D4125" s="2" t="str">
        <f t="shared" si="63"/>
        <v>Error?</v>
      </c>
    </row>
    <row r="4126" spans="1:4" x14ac:dyDescent="0.2">
      <c r="A4126" s="5">
        <v>4065</v>
      </c>
      <c r="B4126" s="138">
        <f>'Acct Summary 7-8'!G10</f>
        <v>66213</v>
      </c>
      <c r="C4126" s="2" t="s">
        <v>573</v>
      </c>
      <c r="D4126" s="2" t="str">
        <f t="shared" si="63"/>
        <v>Error?</v>
      </c>
    </row>
    <row r="4127" spans="1:4" x14ac:dyDescent="0.2">
      <c r="A4127" s="5">
        <v>4066</v>
      </c>
      <c r="B4127" s="138">
        <f>'Acct Summary 7-8'!H10</f>
        <v>140249</v>
      </c>
      <c r="C4127" s="2" t="s">
        <v>573</v>
      </c>
      <c r="D4127" s="2" t="str">
        <f t="shared" si="63"/>
        <v>Error?</v>
      </c>
    </row>
    <row r="4128" spans="1:4" x14ac:dyDescent="0.2">
      <c r="A4128" s="5">
        <v>4067</v>
      </c>
      <c r="B4128" s="138">
        <f>'Acct Summary 7-8'!I10</f>
        <v>12083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11977</v>
      </c>
      <c r="C4130" s="2" t="s">
        <v>573</v>
      </c>
      <c r="D4130" s="2" t="str">
        <f t="shared" si="63"/>
        <v>Error?</v>
      </c>
    </row>
    <row r="4131" spans="1:4" x14ac:dyDescent="0.2">
      <c r="A4131" s="5">
        <v>4070</v>
      </c>
      <c r="B4131" s="138">
        <f>'Acct Summary 7-8'!C18</f>
        <v>1022682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3620224</v>
      </c>
      <c r="C4136" s="2" t="s">
        <v>573</v>
      </c>
      <c r="D4136" s="2" t="str">
        <f t="shared" si="63"/>
        <v>Error?</v>
      </c>
    </row>
    <row r="4137" spans="1:4" x14ac:dyDescent="0.2">
      <c r="A4137" s="5">
        <v>4076</v>
      </c>
      <c r="B4137" s="138">
        <f>'Acct Summary 7-8'!D19</f>
        <v>165873</v>
      </c>
      <c r="C4137" s="2" t="s">
        <v>573</v>
      </c>
      <c r="D4137" s="2" t="str">
        <f t="shared" si="63"/>
        <v>Error?</v>
      </c>
    </row>
    <row r="4138" spans="1:4" x14ac:dyDescent="0.2">
      <c r="A4138" s="5">
        <v>4077</v>
      </c>
      <c r="B4138" s="138">
        <f>'Acct Summary 7-8'!E19</f>
        <v>87780</v>
      </c>
      <c r="C4138" s="2" t="s">
        <v>573</v>
      </c>
      <c r="D4138" s="2" t="str">
        <f t="shared" si="63"/>
        <v>Error?</v>
      </c>
    </row>
    <row r="4139" spans="1:4" x14ac:dyDescent="0.2">
      <c r="A4139" s="5">
        <v>4078</v>
      </c>
      <c r="B4139" s="138">
        <f>'Acct Summary 7-8'!F19</f>
        <v>252600</v>
      </c>
      <c r="C4139" s="2" t="s">
        <v>573</v>
      </c>
      <c r="D4139" s="2" t="str">
        <f t="shared" si="63"/>
        <v>Error?</v>
      </c>
    </row>
    <row r="4140" spans="1:4" x14ac:dyDescent="0.2">
      <c r="A4140" s="5">
        <v>4079</v>
      </c>
      <c r="B4140" s="138">
        <f>'Acct Summary 7-8'!G19</f>
        <v>122161</v>
      </c>
      <c r="C4140" s="2" t="s">
        <v>573</v>
      </c>
      <c r="D4140" s="2" t="str">
        <f t="shared" si="63"/>
        <v>Error?</v>
      </c>
    </row>
    <row r="4141" spans="1:4" x14ac:dyDescent="0.2">
      <c r="A4141" s="5">
        <v>4080</v>
      </c>
      <c r="B4141" s="138">
        <f>'Acct Summary 7-8'!H19</f>
        <v>19434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890357</v>
      </c>
      <c r="C4171" s="2" t="s">
        <v>573</v>
      </c>
      <c r="D4171" s="2" t="str">
        <f t="shared" si="64"/>
        <v>Error?</v>
      </c>
    </row>
    <row r="4172" spans="1:4" x14ac:dyDescent="0.2">
      <c r="A4172" s="5">
        <v>4111</v>
      </c>
      <c r="B4172" s="138">
        <f>'Short-Term Long-Term Debt 24'!J49</f>
        <v>872156</v>
      </c>
      <c r="C4172" s="2" t="s">
        <v>573</v>
      </c>
      <c r="D4172" s="2" t="str">
        <f t="shared" si="64"/>
        <v>Error?</v>
      </c>
    </row>
    <row r="4173" spans="1:4" x14ac:dyDescent="0.2">
      <c r="A4173" s="5">
        <v>4112</v>
      </c>
      <c r="B4173" s="138">
        <f>'Short-Term Long-Term Debt 24'!H49</f>
        <v>119249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27249</v>
      </c>
      <c r="D4210" s="2" t="str">
        <f t="shared" si="64"/>
        <v>Error?</v>
      </c>
    </row>
    <row r="4211" spans="1:4" x14ac:dyDescent="0.2">
      <c r="A4211" s="5">
        <v>4150</v>
      </c>
      <c r="B4211" s="138">
        <f>'Expenditures 15-22'!K206</f>
        <v>27249</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2350.46</v>
      </c>
      <c r="C4265" s="2" t="s">
        <v>573</v>
      </c>
      <c r="D4265" s="2" t="str">
        <f t="shared" si="65"/>
        <v>Error?</v>
      </c>
      <c r="E4265" s="128"/>
    </row>
    <row r="4266" spans="1:5" x14ac:dyDescent="0.2">
      <c r="A4266" s="12">
        <v>4205</v>
      </c>
      <c r="B4266" s="138">
        <f>('FP Info 3'!F10)*100000</f>
        <v>574.55999999999995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3125</v>
      </c>
      <c r="C4268" s="2" t="s">
        <v>573</v>
      </c>
      <c r="D4268" s="2" t="str">
        <f t="shared" si="65"/>
        <v>Error?</v>
      </c>
    </row>
    <row r="4269" spans="1:5" x14ac:dyDescent="0.2">
      <c r="A4269" s="12">
        <v>4208</v>
      </c>
      <c r="B4269" s="138">
        <f>'FP Info 3'!J16</f>
        <v>1363622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12288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17404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17404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32303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779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23131271</v>
      </c>
      <c r="D4995" s="2" t="str">
        <f t="shared" si="77"/>
        <v>Error?</v>
      </c>
    </row>
    <row r="4996" spans="1:4" x14ac:dyDescent="0.2">
      <c r="A4996" s="12">
        <v>4935</v>
      </c>
      <c r="B4996" s="138">
        <f>'FP Info 3'!H31</f>
        <v>3192115.398</v>
      </c>
      <c r="D4996" s="2" t="str">
        <f t="shared" si="77"/>
        <v>Error?</v>
      </c>
    </row>
    <row r="4997" spans="1:4" x14ac:dyDescent="0.2">
      <c r="A4997" s="12">
        <v>4936</v>
      </c>
      <c r="B4997" s="138">
        <f>'FP Info 3'!H37</f>
        <v>890357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11928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562254</v>
      </c>
      <c r="D5061" s="2" t="str">
        <f t="shared" si="78"/>
        <v>Error?</v>
      </c>
    </row>
    <row r="5062" spans="1:4" x14ac:dyDescent="0.2">
      <c r="A5062" s="10">
        <v>5001</v>
      </c>
      <c r="D5062" s="2" t="str">
        <f t="shared" si="78"/>
        <v>OK</v>
      </c>
    </row>
    <row r="5063" spans="1:4" x14ac:dyDescent="0.2">
      <c r="A5063" s="5">
        <v>5002</v>
      </c>
      <c r="B5063" s="138">
        <f>'Revenues 9-14'!C7</f>
        <v>9537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583719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88403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88403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15652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15652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1247</v>
      </c>
      <c r="D5093" s="2" t="str">
        <f t="shared" si="78"/>
        <v>Error?</v>
      </c>
    </row>
    <row r="5094" spans="1:4" x14ac:dyDescent="0.2">
      <c r="A5094" s="5">
        <v>5033</v>
      </c>
      <c r="B5094" s="138">
        <f>'Revenues 9-14'!C73</f>
        <v>1687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30085</v>
      </c>
      <c r="C5096" s="2" t="s">
        <v>573</v>
      </c>
      <c r="D5096" s="2" t="str">
        <f t="shared" si="78"/>
        <v>Error?</v>
      </c>
    </row>
    <row r="5097" spans="1:4" x14ac:dyDescent="0.2">
      <c r="A5097" s="5">
        <v>5036</v>
      </c>
      <c r="B5097" s="138">
        <f>'Revenues 9-14'!C77</f>
        <v>9599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978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10577</v>
      </c>
      <c r="C5102" s="2" t="s">
        <v>573</v>
      </c>
      <c r="D5102" s="2" t="str">
        <f t="shared" si="78"/>
        <v>Error?</v>
      </c>
    </row>
    <row r="5103" spans="1:4" x14ac:dyDescent="0.2">
      <c r="A5103" s="5">
        <v>5042</v>
      </c>
      <c r="B5103" s="138">
        <f>'Revenues 9-14'!C84</f>
        <v>6168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6168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3375</v>
      </c>
      <c r="D5118" s="2" t="str">
        <f t="shared" si="78"/>
        <v>Error?</v>
      </c>
    </row>
    <row r="5119" spans="1:4" x14ac:dyDescent="0.2">
      <c r="A5119" s="5">
        <v>5058</v>
      </c>
      <c r="B5119" s="138">
        <f>'Revenues 9-14'!C107</f>
        <v>1853</v>
      </c>
      <c r="D5119" s="2" t="str">
        <f t="shared" ref="D5119:D5182" si="79">IF(ISBLANK(B5119),"OK",IF(A5119-B5119=0,"OK","Error?"))</f>
        <v>Error?</v>
      </c>
    </row>
    <row r="5120" spans="1:4" x14ac:dyDescent="0.2">
      <c r="A5120" s="5">
        <v>5059</v>
      </c>
      <c r="B5120" s="138">
        <f>'Revenues 9-14'!C108</f>
        <v>5828</v>
      </c>
      <c r="C5120" s="2" t="s">
        <v>573</v>
      </c>
      <c r="D5120" s="2" t="str">
        <f t="shared" si="79"/>
        <v>Error?</v>
      </c>
    </row>
    <row r="5121" spans="1:4" x14ac:dyDescent="0.2">
      <c r="A5121" s="5">
        <v>5060</v>
      </c>
      <c r="B5121" s="138">
        <f>'Revenues 9-14'!C109</f>
        <v>740432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1484914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1484914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1693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8390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1419</v>
      </c>
      <c r="D5167" s="2" t="str">
        <f t="shared" si="79"/>
        <v>Error?</v>
      </c>
    </row>
    <row r="5168" spans="1:4" x14ac:dyDescent="0.2">
      <c r="A5168" s="5">
        <v>5107</v>
      </c>
      <c r="B5168" s="138">
        <f>'Revenues 9-14'!C148</f>
        <v>2520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135623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150424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1635338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60563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20040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80603</v>
      </c>
      <c r="C5246" s="2" t="s">
        <v>573</v>
      </c>
      <c r="D5246" s="2" t="str">
        <f t="shared" si="80"/>
        <v>Error?</v>
      </c>
    </row>
    <row r="5247" spans="1:4" x14ac:dyDescent="0.2">
      <c r="A5247" s="5">
        <v>5186</v>
      </c>
      <c r="B5247" s="138">
        <f>'Revenues 9-14'!C200</f>
        <v>139910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139910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282508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282508</v>
      </c>
      <c r="C5326" s="2" t="s">
        <v>573</v>
      </c>
      <c r="D5326" s="2" t="str">
        <f t="shared" si="82"/>
        <v>Error?</v>
      </c>
    </row>
    <row r="5327" spans="1:5" x14ac:dyDescent="0.2">
      <c r="A5327" s="5">
        <v>5266</v>
      </c>
      <c r="B5327" s="138">
        <f>'Revenues 9-14'!C268</f>
        <v>2658278</v>
      </c>
      <c r="C5327" s="2" t="s">
        <v>573</v>
      </c>
      <c r="D5327" s="2" t="str">
        <f t="shared" si="82"/>
        <v>Error?</v>
      </c>
    </row>
    <row r="5328" spans="1:5" x14ac:dyDescent="0.2">
      <c r="A5328" s="5">
        <v>5267</v>
      </c>
      <c r="B5328" s="138">
        <f>'Revenues 9-14'!D5</f>
        <v>137440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137440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1906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139346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34000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34000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34000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173346</v>
      </c>
      <c r="C5508" s="2" t="s">
        <v>573</v>
      </c>
      <c r="D5508" s="2" t="str">
        <f t="shared" si="85"/>
        <v>Error?</v>
      </c>
    </row>
    <row r="5509" spans="1:4" x14ac:dyDescent="0.2">
      <c r="A5509" s="5">
        <v>5448</v>
      </c>
      <c r="B5509" s="138">
        <f>'Revenues 9-14'!E5</f>
        <v>85171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85171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85211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85211</v>
      </c>
      <c r="C5552" s="2" t="s">
        <v>573</v>
      </c>
      <c r="D5552" s="2" t="str">
        <f t="shared" si="85"/>
        <v>Error?</v>
      </c>
    </row>
    <row r="5553" spans="1:4" x14ac:dyDescent="0.2">
      <c r="A5553" s="5">
        <v>5492</v>
      </c>
      <c r="B5553" s="138">
        <f>'Revenues 9-14'!F5</f>
        <v>47684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47684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48338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56500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56500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4773</v>
      </c>
      <c r="D5615" s="2" t="str">
        <f t="shared" si="86"/>
        <v>Error?</v>
      </c>
    </row>
    <row r="5616" spans="1:4" x14ac:dyDescent="0.2">
      <c r="A5616" s="10">
        <v>5555</v>
      </c>
      <c r="D5616" s="2" t="str">
        <f t="shared" si="86"/>
        <v>OK</v>
      </c>
    </row>
    <row r="5617" spans="1:5" x14ac:dyDescent="0.2">
      <c r="A5617" s="5">
        <v>5556</v>
      </c>
      <c r="B5617" s="138">
        <f>'Revenues 9-14'!F153</f>
        <v>50072</v>
      </c>
      <c r="D5617" s="2" t="str">
        <f t="shared" si="86"/>
        <v>Error?</v>
      </c>
    </row>
    <row r="5618" spans="1:5" x14ac:dyDescent="0.2">
      <c r="A5618" s="5">
        <v>5557</v>
      </c>
      <c r="B5618" s="138">
        <f>'Revenues 9-14'!F155</f>
        <v>54845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54845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111345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159683</v>
      </c>
      <c r="C5720" s="2" t="s">
        <v>573</v>
      </c>
      <c r="D5720" s="2" t="str">
        <f t="shared" si="88"/>
        <v>Error?</v>
      </c>
    </row>
    <row r="5721" spans="1:4" x14ac:dyDescent="0.2">
      <c r="A5721" s="5">
        <v>5660</v>
      </c>
      <c r="B5721" s="138">
        <f>'Revenues 9-14'!G5</f>
        <v>33813</v>
      </c>
      <c r="D5721" s="2" t="str">
        <f t="shared" si="88"/>
        <v>Error?</v>
      </c>
    </row>
    <row r="5722" spans="1:4" x14ac:dyDescent="0.2">
      <c r="A5722" s="5">
        <v>5661</v>
      </c>
      <c r="B5722" s="138">
        <f>'Revenues 9-14'!G7</f>
        <v>0</v>
      </c>
      <c r="D5722" s="2" t="str">
        <f t="shared" si="88"/>
        <v>Error?</v>
      </c>
    </row>
    <row r="5723" spans="1:4" x14ac:dyDescent="0.2">
      <c r="A5723" s="5">
        <v>5662</v>
      </c>
      <c r="B5723" s="138">
        <f>'Revenues 9-14'!G8</f>
        <v>28983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62796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1917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66213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2040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2040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138209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140249</v>
      </c>
      <c r="C5915" s="2" t="s">
        <v>573</v>
      </c>
      <c r="D5915" s="2" t="str">
        <f t="shared" si="91"/>
        <v>Error?</v>
      </c>
    </row>
    <row r="5916" spans="1:4" x14ac:dyDescent="0.2">
      <c r="A5916" s="5">
        <v>5855</v>
      </c>
      <c r="B5916" s="138">
        <f>'Revenues 9-14'!I5</f>
        <v>11921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11921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12083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11921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11921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11977</v>
      </c>
      <c r="C6023" s="2" t="s">
        <v>573</v>
      </c>
      <c r="D6023" s="2" t="str">
        <f t="shared" si="93"/>
        <v>Error?</v>
      </c>
    </row>
    <row r="6024" spans="1:5" x14ac:dyDescent="0.2">
      <c r="A6024" s="5">
        <v>5963</v>
      </c>
      <c r="B6024" s="138">
        <f>'Revenues 9-14'!G109</f>
        <v>66213</v>
      </c>
      <c r="C6024" s="2" t="s">
        <v>573</v>
      </c>
      <c r="D6024" s="2" t="str">
        <f t="shared" si="93"/>
        <v>Error?</v>
      </c>
    </row>
    <row r="6025" spans="1:5" x14ac:dyDescent="0.2">
      <c r="A6025" s="5">
        <v>5964</v>
      </c>
      <c r="B6025" s="138">
        <f>'Revenues 9-14'!H109</f>
        <v>140249</v>
      </c>
      <c r="C6025" s="2" t="s">
        <v>573</v>
      </c>
      <c r="D6025" s="2" t="str">
        <f t="shared" si="93"/>
        <v>Error?</v>
      </c>
    </row>
    <row r="6026" spans="1:5" x14ac:dyDescent="0.2">
      <c r="A6026" s="5">
        <v>5965</v>
      </c>
      <c r="B6026" s="138">
        <f>'Revenues 9-14'!I109</f>
        <v>12083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11977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27151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8764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280.60000000000002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53743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130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130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53613</v>
      </c>
      <c r="D6215" s="2" t="str">
        <f t="shared" si="96"/>
        <v>Error?</v>
      </c>
      <c r="E6215" s="2" t="s">
        <v>190</v>
      </c>
    </row>
    <row r="6216" spans="1:5" x14ac:dyDescent="0.2">
      <c r="A6216">
        <v>6155</v>
      </c>
      <c r="B6216" s="138">
        <f>'Assets-Liab 5-6'!J41</f>
        <v>53743</v>
      </c>
      <c r="D6216" s="2" t="str">
        <f t="shared" si="96"/>
        <v>Error?</v>
      </c>
      <c r="E6216" s="2" t="s">
        <v>190</v>
      </c>
    </row>
    <row r="6217" spans="1:5" x14ac:dyDescent="0.2">
      <c r="A6217">
        <v>6156</v>
      </c>
      <c r="B6217" s="138">
        <f>'Assets-Liab 5-6'!J4</f>
        <v>53743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232889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232889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232889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224467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224467</v>
      </c>
      <c r="D6229" s="2" t="str">
        <f t="shared" si="96"/>
        <v>Error?</v>
      </c>
      <c r="E6229" s="2" t="s">
        <v>190</v>
      </c>
    </row>
    <row r="6230" spans="1:5" x14ac:dyDescent="0.2">
      <c r="A6230">
        <v>6169</v>
      </c>
      <c r="B6230" s="138">
        <f>'Acct Summary 7-8'!J20</f>
        <v>8422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8422</v>
      </c>
      <c r="D6263" s="2" t="str">
        <f t="shared" si="96"/>
        <v>Error?</v>
      </c>
      <c r="E6263" s="2" t="s">
        <v>190</v>
      </c>
    </row>
    <row r="6264" spans="1:5" x14ac:dyDescent="0.2">
      <c r="A6264">
        <v>6203</v>
      </c>
      <c r="B6264" s="138">
        <f>'Acct Summary 7-8'!J79</f>
        <v>45191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53613</v>
      </c>
      <c r="D6266" s="2" t="str">
        <f t="shared" si="96"/>
        <v>Error?</v>
      </c>
      <c r="E6266" s="2" t="s">
        <v>190</v>
      </c>
    </row>
    <row r="6267" spans="1:5" x14ac:dyDescent="0.2">
      <c r="A6267">
        <v>6206</v>
      </c>
      <c r="B6267" s="138">
        <f>'Acct Summary 7-8'!C82</f>
        <v>60736</v>
      </c>
      <c r="D6267" s="2" t="str">
        <f t="shared" si="96"/>
        <v>Error?</v>
      </c>
      <c r="E6267" s="2" t="s">
        <v>190</v>
      </c>
    </row>
    <row r="6268" spans="1:5" x14ac:dyDescent="0.2">
      <c r="A6268">
        <v>6207</v>
      </c>
      <c r="B6268" s="138">
        <f>'Acct Summary 7-8'!D82</f>
        <v>7473</v>
      </c>
      <c r="D6268" s="2" t="str">
        <f t="shared" si="96"/>
        <v>Error?</v>
      </c>
      <c r="E6268" s="2" t="s">
        <v>190</v>
      </c>
    </row>
    <row r="6269" spans="1:5" x14ac:dyDescent="0.2">
      <c r="A6269">
        <v>6208</v>
      </c>
      <c r="B6269" s="138">
        <f>'Acct Summary 7-8'!E82</f>
        <v>-2569</v>
      </c>
      <c r="D6269" s="2" t="str">
        <f t="shared" si="96"/>
        <v>Error?</v>
      </c>
      <c r="E6269" s="2" t="s">
        <v>190</v>
      </c>
    </row>
    <row r="6270" spans="1:5" x14ac:dyDescent="0.2">
      <c r="A6270">
        <v>6209</v>
      </c>
      <c r="B6270" s="138">
        <f>'Acct Summary 7-8'!F82</f>
        <v>2221</v>
      </c>
      <c r="D6270" s="2" t="str">
        <f t="shared" si="96"/>
        <v>Error?</v>
      </c>
      <c r="E6270" s="2" t="s">
        <v>190</v>
      </c>
    </row>
    <row r="6271" spans="1:5" x14ac:dyDescent="0.2">
      <c r="A6271">
        <v>6210</v>
      </c>
      <c r="B6271" s="138">
        <f>'Acct Summary 7-8'!G82</f>
        <v>-55948</v>
      </c>
      <c r="D6271" s="2" t="str">
        <f t="shared" ref="D6271:D6334" si="97">IF(ISBLANK(B6271),"OK",IF(A6271-B6271=0,"OK","Error?"))</f>
        <v>Error?</v>
      </c>
      <c r="E6271" s="2" t="s">
        <v>190</v>
      </c>
    </row>
    <row r="6272" spans="1:5" x14ac:dyDescent="0.2">
      <c r="A6272">
        <v>6211</v>
      </c>
      <c r="B6272" s="138">
        <f>'Acct Summary 7-8'!H82</f>
        <v>88507</v>
      </c>
      <c r="D6272" s="2" t="str">
        <f t="shared" si="97"/>
        <v>Error?</v>
      </c>
      <c r="E6272" s="2" t="s">
        <v>190</v>
      </c>
    </row>
    <row r="6273" spans="1:5" x14ac:dyDescent="0.2">
      <c r="A6273">
        <v>6212</v>
      </c>
      <c r="B6273" s="138">
        <f>'Acct Summary 7-8'!I82</f>
        <v>12083</v>
      </c>
      <c r="D6273" s="2" t="str">
        <f t="shared" si="97"/>
        <v>Error?</v>
      </c>
      <c r="E6273" s="2" t="s">
        <v>190</v>
      </c>
    </row>
    <row r="6274" spans="1:5" x14ac:dyDescent="0.2">
      <c r="A6274">
        <v>6213</v>
      </c>
      <c r="B6274" s="138">
        <f>'Acct Summary 7-8'!J82</f>
        <v>8422</v>
      </c>
      <c r="D6274" s="2" t="str">
        <f t="shared" si="97"/>
        <v>Error?</v>
      </c>
      <c r="E6274" s="2" t="s">
        <v>190</v>
      </c>
    </row>
    <row r="6275" spans="1:5" x14ac:dyDescent="0.2">
      <c r="A6275">
        <v>6214</v>
      </c>
      <c r="B6275" s="138">
        <f>'Acct Summary 7-8'!K82</f>
        <v>11977</v>
      </c>
      <c r="D6275" s="2" t="str">
        <f t="shared" si="97"/>
        <v>Error?</v>
      </c>
      <c r="E6275" s="2" t="s">
        <v>190</v>
      </c>
    </row>
    <row r="6276" spans="1:5" x14ac:dyDescent="0.2">
      <c r="A6276">
        <v>6215</v>
      </c>
      <c r="B6276" s="138">
        <f>'Acct Summary 7-8'!C83</f>
        <v>5.8615807622487019E-2</v>
      </c>
      <c r="D6276" s="2" t="str">
        <f t="shared" si="97"/>
        <v>Error?</v>
      </c>
      <c r="E6276" s="2" t="s">
        <v>190</v>
      </c>
    </row>
    <row r="6277" spans="1:5" x14ac:dyDescent="0.2">
      <c r="A6277">
        <v>6216</v>
      </c>
      <c r="B6277" s="138">
        <f>'Acct Summary 7-8'!D83</f>
        <v>5.2293115754411992E-2</v>
      </c>
      <c r="D6277" s="2" t="str">
        <f t="shared" si="97"/>
        <v>Error?</v>
      </c>
      <c r="E6277" s="2" t="s">
        <v>190</v>
      </c>
    </row>
    <row r="6278" spans="1:5" x14ac:dyDescent="0.2">
      <c r="A6278">
        <v>6217</v>
      </c>
      <c r="B6278" s="138">
        <f>'Acct Summary 7-8'!E83</f>
        <v>-0.1411460908741278</v>
      </c>
      <c r="D6278" s="2" t="str">
        <f t="shared" si="97"/>
        <v>Error?</v>
      </c>
      <c r="E6278" s="2" t="s">
        <v>190</v>
      </c>
    </row>
    <row r="6279" spans="1:5" x14ac:dyDescent="0.2">
      <c r="A6279">
        <v>6218</v>
      </c>
      <c r="B6279" s="138">
        <f>'Acct Summary 7-8'!F83</f>
        <v>2.803089582754878E-2</v>
      </c>
      <c r="D6279" s="2" t="str">
        <f t="shared" si="97"/>
        <v>Error?</v>
      </c>
      <c r="E6279" s="2" t="s">
        <v>190</v>
      </c>
    </row>
    <row r="6280" spans="1:5" x14ac:dyDescent="0.2">
      <c r="A6280">
        <v>6219</v>
      </c>
      <c r="B6280" s="138">
        <f>'Acct Summary 7-8'!G83</f>
        <v>-0.48964660166984647</v>
      </c>
      <c r="D6280" s="2" t="str">
        <f t="shared" si="97"/>
        <v>Error?</v>
      </c>
      <c r="E6280" s="2" t="s">
        <v>190</v>
      </c>
    </row>
    <row r="6281" spans="1:5" x14ac:dyDescent="0.2">
      <c r="A6281">
        <v>6220</v>
      </c>
      <c r="B6281" s="138">
        <f>'Acct Summary 7-8'!H83</f>
        <v>0.30036380172805821</v>
      </c>
      <c r="D6281" s="2" t="str">
        <f t="shared" si="97"/>
        <v>Error?</v>
      </c>
      <c r="E6281" s="2" t="s">
        <v>190</v>
      </c>
    </row>
    <row r="6282" spans="1:5" x14ac:dyDescent="0.2">
      <c r="A6282">
        <v>6221</v>
      </c>
      <c r="B6282" s="138">
        <f>'Acct Summary 7-8'!I83</f>
        <v>0.11473635232786698</v>
      </c>
      <c r="D6282" s="2" t="str">
        <f t="shared" si="97"/>
        <v>Error?</v>
      </c>
      <c r="E6282" s="2" t="s">
        <v>190</v>
      </c>
    </row>
    <row r="6283" spans="1:5" x14ac:dyDescent="0.2">
      <c r="A6283">
        <v>6222</v>
      </c>
      <c r="B6283" s="138">
        <f>'Acct Summary 7-8'!J83</f>
        <v>0.15708876578441797</v>
      </c>
      <c r="D6283" s="2" t="str">
        <f t="shared" si="97"/>
        <v>Error?</v>
      </c>
      <c r="E6283" s="2" t="s">
        <v>190</v>
      </c>
    </row>
    <row r="6284" spans="1:5" x14ac:dyDescent="0.2">
      <c r="A6284">
        <v>6223</v>
      </c>
      <c r="B6284" s="138">
        <f>'Acct Summary 7-8'!K83</f>
        <v>0.30565267321679213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232816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232816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232889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8390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79399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4193</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113430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4193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108342</v>
      </c>
      <c r="D6983" s="2" t="str">
        <f t="shared" si="108"/>
        <v>Error?</v>
      </c>
    </row>
    <row r="6984" spans="1:4" x14ac:dyDescent="0.2">
      <c r="A6984">
        <v>6923</v>
      </c>
      <c r="B6984" s="138">
        <f>'Expenditures 15-22'!K86</f>
        <v>108342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108342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4193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4914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4914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4914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224467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4914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232889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3272</v>
      </c>
      <c r="D7067" s="2" t="str">
        <f t="shared" si="109"/>
        <v>Error?</v>
      </c>
    </row>
    <row r="7068" spans="1:4" x14ac:dyDescent="0.2">
      <c r="A7068">
        <v>7007</v>
      </c>
      <c r="B7068" s="138">
        <f>'Expenditures 15-22'!K205</f>
        <v>3272</v>
      </c>
      <c r="D7068" s="2" t="str">
        <f t="shared" si="109"/>
        <v>Error?</v>
      </c>
    </row>
    <row r="7069" spans="1:4" x14ac:dyDescent="0.2">
      <c r="A7069">
        <v>7008</v>
      </c>
      <c r="B7069" s="138">
        <f>'Expenditures 15-22'!H207</f>
        <v>12181</v>
      </c>
      <c r="D7069" s="2" t="str">
        <f t="shared" si="109"/>
        <v>Error?</v>
      </c>
    </row>
    <row r="7070" spans="1:4" x14ac:dyDescent="0.2">
      <c r="A7070">
        <v>7009</v>
      </c>
      <c r="B7070" s="138">
        <f>'Expenditures 15-22'!K207</f>
        <v>12181</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2318</v>
      </c>
      <c r="D7073" s="2" t="str">
        <f t="shared" si="109"/>
        <v>Error?</v>
      </c>
    </row>
    <row r="7074" spans="1:4" x14ac:dyDescent="0.2">
      <c r="A7074">
        <v>7013</v>
      </c>
      <c r="B7074" s="138">
        <f>'Expenditures 15-22'!K216</f>
        <v>2318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68</v>
      </c>
      <c r="D7079" s="2" t="str">
        <f t="shared" si="109"/>
        <v>Error?</v>
      </c>
    </row>
    <row r="7080" spans="1:4" x14ac:dyDescent="0.2">
      <c r="A7080">
        <v>7019</v>
      </c>
      <c r="B7080" s="138">
        <f>'Expenditures 15-22'!K226</f>
        <v>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9170</v>
      </c>
      <c r="D7089" s="2" t="str">
        <f t="shared" si="109"/>
        <v>Error?</v>
      </c>
    </row>
    <row r="7090" spans="1:4" x14ac:dyDescent="0.2">
      <c r="A7090">
        <v>7029</v>
      </c>
      <c r="B7090" s="138">
        <f>'Expenditures 15-22'!K252</f>
        <v>9170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3453</v>
      </c>
      <c r="D7153" s="2" t="str">
        <f t="shared" si="110"/>
        <v>Error?</v>
      </c>
    </row>
    <row r="7154" spans="1:4" x14ac:dyDescent="0.2">
      <c r="A7154">
        <v>7093</v>
      </c>
      <c r="B7154" s="138">
        <f>'Expenditures 15-22'!C323</f>
        <v>100290</v>
      </c>
      <c r="D7154" s="2" t="str">
        <f t="shared" si="110"/>
        <v>Error?</v>
      </c>
    </row>
    <row r="7155" spans="1:4" x14ac:dyDescent="0.2">
      <c r="A7155">
        <v>7094</v>
      </c>
      <c r="B7155" s="138">
        <f>'Expenditures 15-22'!D323</f>
        <v>8610</v>
      </c>
      <c r="D7155" s="2" t="str">
        <f t="shared" si="110"/>
        <v>Error?</v>
      </c>
    </row>
    <row r="7156" spans="1:4" x14ac:dyDescent="0.2">
      <c r="A7156">
        <v>7095</v>
      </c>
      <c r="B7156" s="138">
        <f>'Expenditures 15-22'!E323</f>
        <v>54418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163318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980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14578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14578</v>
      </c>
      <c r="D7198" s="2" t="str">
        <f t="shared" si="111"/>
        <v>Error?</v>
      </c>
    </row>
    <row r="7199" spans="1:4" x14ac:dyDescent="0.2">
      <c r="A7199">
        <v>7138</v>
      </c>
      <c r="B7199" s="138">
        <f>'Expenditures 15-22'!C330</f>
        <v>100290</v>
      </c>
      <c r="D7199" s="2" t="str">
        <f t="shared" si="111"/>
        <v>Error?</v>
      </c>
    </row>
    <row r="7200" spans="1:4" x14ac:dyDescent="0.2">
      <c r="A7200">
        <v>7139</v>
      </c>
      <c r="B7200" s="138">
        <f>'Expenditures 15-22'!D330</f>
        <v>8610</v>
      </c>
      <c r="D7200" s="2" t="str">
        <f t="shared" si="111"/>
        <v>Error?</v>
      </c>
    </row>
    <row r="7201" spans="1:4" x14ac:dyDescent="0.2">
      <c r="A7201">
        <v>7140</v>
      </c>
      <c r="B7201" s="138">
        <f>'Expenditures 15-22'!E330</f>
        <v>115567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224467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100290</v>
      </c>
      <c r="D7216" s="2" t="str">
        <f t="shared" si="111"/>
        <v>Error?</v>
      </c>
    </row>
    <row r="7217" spans="1:4" x14ac:dyDescent="0.2">
      <c r="A7217">
        <v>7156</v>
      </c>
      <c r="B7217" s="138">
        <f>'Expenditures 15-22'!D342</f>
        <v>8610</v>
      </c>
      <c r="D7217" s="2" t="str">
        <f t="shared" si="111"/>
        <v>Error?</v>
      </c>
    </row>
    <row r="7218" spans="1:4" x14ac:dyDescent="0.2">
      <c r="A7218">
        <v>7157</v>
      </c>
      <c r="B7218" s="138">
        <f>'Expenditures 15-22'!E342</f>
        <v>115567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224467</v>
      </c>
      <c r="D7224" s="2" t="str">
        <f t="shared" si="111"/>
        <v>Error?</v>
      </c>
    </row>
    <row r="7225" spans="1:4" x14ac:dyDescent="0.2">
      <c r="A7225">
        <v>7164</v>
      </c>
      <c r="B7225" s="138">
        <f>'Expenditures 15-22'!K343</f>
        <v>8422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6785</v>
      </c>
      <c r="D7246" s="2" t="str">
        <f t="shared" si="112"/>
        <v>Error?</v>
      </c>
    </row>
    <row r="7247" spans="1:4" x14ac:dyDescent="0.2">
      <c r="A7247">
        <f t="shared" si="113"/>
        <v>7186</v>
      </c>
      <c r="B7247" s="138">
        <f>'Expenditures 15-22'!E7</f>
        <v>427</v>
      </c>
      <c r="D7247" s="2" t="str">
        <f t="shared" si="112"/>
        <v>Error?</v>
      </c>
    </row>
    <row r="7248" spans="1:4" x14ac:dyDescent="0.2">
      <c r="A7248">
        <f t="shared" si="113"/>
        <v>7187</v>
      </c>
      <c r="B7248" s="138">
        <f>'Expenditures 15-22'!F7</f>
        <v>22626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4892</v>
      </c>
      <c r="D7263" s="2" t="str">
        <f t="shared" si="112"/>
        <v>Error?</v>
      </c>
    </row>
    <row r="7264" spans="1:4" x14ac:dyDescent="0.2">
      <c r="A7264">
        <f t="shared" si="113"/>
        <v>7203</v>
      </c>
      <c r="B7264" s="138">
        <f>'Expenditures 15-22'!D17</f>
        <v>214</v>
      </c>
      <c r="D7264" s="2" t="str">
        <f t="shared" si="112"/>
        <v>Error?</v>
      </c>
    </row>
    <row r="7265" spans="1:5" x14ac:dyDescent="0.2">
      <c r="A7265">
        <f t="shared" si="113"/>
        <v>7204</v>
      </c>
      <c r="B7265" s="138">
        <f>'Expenditures 15-22'!E17</f>
        <v>70</v>
      </c>
      <c r="D7265" s="2" t="str">
        <f t="shared" si="112"/>
        <v>Error?</v>
      </c>
    </row>
    <row r="7266" spans="1:5" x14ac:dyDescent="0.2">
      <c r="A7266">
        <f t="shared" si="113"/>
        <v>7205</v>
      </c>
      <c r="B7266" s="138">
        <f>'Expenditures 15-22'!F17</f>
        <v>12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9107</v>
      </c>
      <c r="D7624" s="2" t="str">
        <f t="shared" si="124"/>
        <v>Error?</v>
      </c>
      <c r="E7624" s="2" t="s">
        <v>19</v>
      </c>
    </row>
    <row r="7625" spans="1:5" x14ac:dyDescent="0.2">
      <c r="A7625">
        <f t="shared" si="123"/>
        <v>7564</v>
      </c>
      <c r="B7625" s="138">
        <f>'Cap Outlay Deprec 26'!I17</f>
        <v>910.7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144731.70000000001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23004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23004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4295</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4295</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206159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2040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600</v>
      </c>
      <c r="D7712" s="2" t="str">
        <f t="shared" si="126"/>
        <v>Error?</v>
      </c>
      <c r="E7712" s="2" t="s">
        <v>827</v>
      </c>
    </row>
    <row r="7713" spans="1:6" x14ac:dyDescent="0.2">
      <c r="A7713">
        <v>7652</v>
      </c>
      <c r="B7713" s="138">
        <f>'Rest Tax Levies-Tort Im 25'!J8</f>
        <v>138209</v>
      </c>
      <c r="D7713" s="2" t="str">
        <f t="shared" si="126"/>
        <v>Error?</v>
      </c>
      <c r="E7713" s="2" t="s">
        <v>827</v>
      </c>
    </row>
    <row r="7714" spans="1:6" x14ac:dyDescent="0.2">
      <c r="A7714">
        <v>7653</v>
      </c>
      <c r="B7714" s="138">
        <f>'Rest Tax Levies-Tort Im 25'!K9</f>
        <v>2520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140249</v>
      </c>
      <c r="D7718" s="2" t="str">
        <f t="shared" si="126"/>
        <v>Error?</v>
      </c>
      <c r="E7718" s="2" t="s">
        <v>827</v>
      </c>
    </row>
    <row r="7719" spans="1:6" x14ac:dyDescent="0.2">
      <c r="A7719">
        <v>7658</v>
      </c>
      <c r="B7719" s="138">
        <f>'Rest Tax Levies-Tort Im 25'!K12</f>
        <v>3120</v>
      </c>
      <c r="D7719" s="2" t="str">
        <f t="shared" si="126"/>
        <v>Error?</v>
      </c>
      <c r="E7719" s="2" t="s">
        <v>827</v>
      </c>
    </row>
    <row r="7720" spans="1:6" x14ac:dyDescent="0.2">
      <c r="A7720">
        <v>7659</v>
      </c>
      <c r="B7720" s="138">
        <f>'Rest Tax Levies-Tort Im 25'!H14</f>
        <v>61302</v>
      </c>
      <c r="D7720" s="2" t="str">
        <f t="shared" si="126"/>
        <v>Error?</v>
      </c>
      <c r="E7720" s="2" t="s">
        <v>827</v>
      </c>
    </row>
    <row r="7721" spans="1:6" x14ac:dyDescent="0.2">
      <c r="A7721">
        <v>7660</v>
      </c>
      <c r="B7721" s="138">
        <f>'Rest Tax Levies-Tort Im 25'!K14</f>
        <v>3120</v>
      </c>
      <c r="D7721" s="2" t="str">
        <f t="shared" si="126"/>
        <v>Error?</v>
      </c>
      <c r="E7721" s="2" t="s">
        <v>827</v>
      </c>
    </row>
    <row r="7722" spans="1:6" x14ac:dyDescent="0.2">
      <c r="A7722">
        <v>7661</v>
      </c>
      <c r="B7722" s="138">
        <f>'Rest Tax Levies-Tort Im 25'!J15</f>
        <v>19434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51742</v>
      </c>
      <c r="D7730" s="2" t="str">
        <f t="shared" si="126"/>
        <v>Error?</v>
      </c>
      <c r="E7730" s="2" t="s">
        <v>827</v>
      </c>
    </row>
    <row r="7731" spans="1:6" x14ac:dyDescent="0.2">
      <c r="A7731">
        <v>7670</v>
      </c>
      <c r="B7731" s="138">
        <f>'Revenues 9-14'!H103</f>
        <v>138209</v>
      </c>
      <c r="D7731" s="2" t="str">
        <f t="shared" si="126"/>
        <v>Error?</v>
      </c>
      <c r="E7731" s="2" t="s">
        <v>827</v>
      </c>
    </row>
    <row r="7732" spans="1:6" x14ac:dyDescent="0.2">
      <c r="A7732">
        <v>7671</v>
      </c>
      <c r="B7732" s="138">
        <f>'Rest Tax Levies-Tort Im 25'!J24</f>
        <v>294666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294666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32308</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49258</v>
      </c>
      <c r="D7797" s="2" t="str">
        <f t="shared" si="127"/>
        <v>Error?</v>
      </c>
      <c r="E7797" s="4" t="s">
        <v>1903</v>
      </c>
    </row>
    <row r="7798" spans="1:5" x14ac:dyDescent="0.2">
      <c r="A7798">
        <v>7737</v>
      </c>
      <c r="B7798" s="138">
        <f>'Contracts Paid in CY 29'!F142</f>
        <v>49258</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1987</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Grayville CUSD 1</v>
      </c>
      <c r="B7" s="2408"/>
      <c r="C7" s="2408"/>
      <c r="D7" s="2409"/>
      <c r="E7" s="2410">
        <f>COVER!A13</f>
        <v>20097001026</v>
      </c>
      <c r="F7" s="2411"/>
      <c r="G7" s="2417" t="str">
        <f>COVER!T23</f>
        <v>066-003657</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Botsch &amp; Associates, CPA's, LLC</v>
      </c>
      <c r="H9" s="2423"/>
      <c r="I9" s="2423"/>
      <c r="J9" s="2423"/>
      <c r="K9" s="2423"/>
      <c r="L9" s="2424"/>
    </row>
    <row r="10" spans="1:29" ht="13.5" customHeight="1" x14ac:dyDescent="0.2">
      <c r="A10" s="2397" t="str">
        <f>COVER!A38</f>
        <v>Sarah Emery</v>
      </c>
      <c r="B10" s="2398"/>
      <c r="C10" s="2398"/>
      <c r="D10" s="2398"/>
      <c r="E10" s="2398"/>
      <c r="F10" s="2399"/>
      <c r="G10" s="2391" t="str">
        <f>COVER!T17</f>
        <v>113 East Main Street</v>
      </c>
      <c r="H10" s="2392"/>
      <c r="I10" s="2392"/>
      <c r="J10" s="2392"/>
      <c r="K10" s="2392"/>
      <c r="L10" s="2393"/>
    </row>
    <row r="11" spans="1:29" ht="13.5" customHeight="1" x14ac:dyDescent="0.2">
      <c r="A11" s="1184" t="s">
        <v>1519</v>
      </c>
      <c r="B11" s="1185"/>
      <c r="C11" s="1186"/>
      <c r="D11" s="1191"/>
      <c r="E11" s="1186"/>
      <c r="F11" s="1190"/>
      <c r="G11" s="2391" t="str">
        <f>COVER!T19</f>
        <v>Carmi</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arlynne.stroman@botsch.com</v>
      </c>
      <c r="J13" s="2404"/>
      <c r="K13" s="2404"/>
      <c r="L13" s="2405"/>
    </row>
    <row r="14" spans="1:29" ht="13.5" customHeight="1" x14ac:dyDescent="0.2">
      <c r="A14" s="2391" t="str">
        <f>COVER!A19</f>
        <v>728 West North Street</v>
      </c>
      <c r="B14" s="2392"/>
      <c r="C14" s="2392"/>
      <c r="D14" s="2392"/>
      <c r="E14" s="2392"/>
      <c r="F14" s="2393"/>
      <c r="G14" s="1195" t="s">
        <v>1185</v>
      </c>
      <c r="H14" s="1193"/>
      <c r="I14" s="1193"/>
      <c r="J14" s="1193"/>
      <c r="K14" s="1193"/>
      <c r="L14" s="1194"/>
    </row>
    <row r="15" spans="1:29" ht="13.5" customHeight="1" x14ac:dyDescent="0.2">
      <c r="A15" s="2391" t="str">
        <f>COVER!A21</f>
        <v>Grayville</v>
      </c>
      <c r="B15" s="2392"/>
      <c r="C15" s="2392"/>
      <c r="D15" s="2392"/>
      <c r="E15" s="2392"/>
      <c r="F15" s="2393"/>
      <c r="G15" s="2388" t="str">
        <f>COVER!T15</f>
        <v>Arlynne Stroman, CPA</v>
      </c>
      <c r="H15" s="2389"/>
      <c r="I15" s="2389"/>
      <c r="J15" s="2389"/>
      <c r="K15" s="2389"/>
      <c r="L15" s="2390"/>
    </row>
    <row r="16" spans="1:29" ht="12.2" customHeight="1" x14ac:dyDescent="0.2">
      <c r="A16" s="2413">
        <f>COVER!A25</f>
        <v>62844</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618-382-4151</v>
      </c>
      <c r="H18" s="2408"/>
      <c r="I18" s="2408"/>
      <c r="J18" s="2408"/>
      <c r="K18" s="2407" t="str">
        <f>COVER!X21</f>
        <v>618-382-4153</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Grayville CUSD 1</v>
      </c>
      <c r="B1" s="2406"/>
      <c r="C1" s="2406"/>
      <c r="D1" s="2406"/>
    </row>
    <row r="2" spans="1:11" s="1212" customFormat="1" ht="12.75" x14ac:dyDescent="0.2">
      <c r="A2" s="2430">
        <f>'Single Audit Cover'!E7</f>
        <v>20097001026</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Grayville CUSD 1</v>
      </c>
      <c r="B1" s="2433"/>
      <c r="C1" s="2433"/>
      <c r="D1" s="2433"/>
      <c r="E1" s="2433"/>
    </row>
    <row r="2" spans="1:5" x14ac:dyDescent="0.2">
      <c r="A2" s="2434">
        <f>'Single Audit Cover'!E7</f>
        <v>20097001026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282508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8764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-12288</v>
      </c>
    </row>
    <row r="19" spans="1:4" ht="13.5" thickBot="1" x14ac:dyDescent="0.25">
      <c r="A19" s="1262" t="s">
        <v>1235</v>
      </c>
      <c r="D19" s="1263">
        <f>SUM(D10:D17)</f>
        <v>278984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278984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278984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Grayville CUSD 1</v>
      </c>
      <c r="C1" s="2437"/>
      <c r="D1" s="2437"/>
      <c r="E1" s="2437"/>
      <c r="F1" s="2437"/>
      <c r="G1" s="2437"/>
      <c r="H1" s="2437"/>
      <c r="I1" s="2437"/>
      <c r="J1" s="2437"/>
      <c r="K1" s="2437"/>
      <c r="L1" s="2437"/>
      <c r="M1" s="2437"/>
    </row>
    <row r="2" spans="2:14" ht="15" x14ac:dyDescent="0.2">
      <c r="B2" s="2438">
        <f>'Single Audit Cover'!E7</f>
        <v>20097001026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Grayville CUSD 1</v>
      </c>
      <c r="B1" s="2450"/>
      <c r="C1" s="2450"/>
      <c r="D1" s="2450"/>
      <c r="E1" s="2450"/>
      <c r="F1" s="2450"/>
    </row>
    <row r="2" spans="1:7" ht="13.5" customHeight="1" x14ac:dyDescent="0.2">
      <c r="A2" s="2438">
        <f>'Single Audit Cover'!E7</f>
        <v>20097001026</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B20" sqref="B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2065</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Grayville CUSD 1</v>
      </c>
      <c r="C1" s="2465"/>
      <c r="D1" s="2465"/>
      <c r="E1" s="2465"/>
      <c r="F1" s="2465"/>
      <c r="G1" s="2465"/>
      <c r="H1" s="2465"/>
      <c r="I1" s="2465"/>
      <c r="J1" s="1406"/>
    </row>
    <row r="2" spans="2:10" s="317" customFormat="1" ht="12.75" customHeight="1" x14ac:dyDescent="0.2">
      <c r="B2" s="2466">
        <f>'Single Audit Cover'!E7</f>
        <v>20097001026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2062</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Grayville CUSD 1</v>
      </c>
      <c r="C1" s="2464"/>
      <c r="D1" s="2464"/>
      <c r="E1" s="2464"/>
      <c r="F1" s="2464"/>
      <c r="G1" s="2464"/>
      <c r="H1" s="2464"/>
      <c r="I1" s="2464"/>
      <c r="J1" s="2464"/>
      <c r="K1" s="2464"/>
      <c r="L1" s="1371"/>
      <c r="M1" s="1371"/>
    </row>
    <row r="2" spans="1:13" ht="12" customHeight="1" x14ac:dyDescent="0.2">
      <c r="B2" s="2466">
        <f>'Single Audit Cover'!E7</f>
        <v>20097001026</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Grayville CUSD 1</v>
      </c>
      <c r="C1" s="2487"/>
      <c r="D1" s="2487"/>
      <c r="E1" s="2487"/>
      <c r="F1" s="2487"/>
      <c r="G1" s="2487"/>
      <c r="H1" s="2487"/>
      <c r="I1" s="2487"/>
      <c r="J1" s="2487"/>
      <c r="K1" s="2487"/>
      <c r="L1" s="1449"/>
    </row>
    <row r="2" spans="1:12" ht="12.75" customHeight="1" x14ac:dyDescent="0.2">
      <c r="B2" s="2488">
        <f>'Single Audit Cover'!E7</f>
        <v>20097001026</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Grayville CUSD 1</v>
      </c>
      <c r="C1" s="2464"/>
      <c r="D1" s="2464"/>
      <c r="E1" s="1469"/>
    </row>
    <row r="2" spans="2:5" s="1279" customFormat="1" ht="12.75" customHeight="1" x14ac:dyDescent="0.2">
      <c r="B2" s="2466">
        <f>'Single Audit Cover'!E7</f>
        <v>20097001026</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23131271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2.35046E-2</v>
      </c>
      <c r="E10" s="356" t="s">
        <v>1005</v>
      </c>
      <c r="F10" s="355">
        <v>5.7456E-3</v>
      </c>
      <c r="G10" s="356" t="s">
        <v>1005</v>
      </c>
      <c r="H10" s="355">
        <v>2E-3</v>
      </c>
      <c r="I10" s="356" t="s">
        <v>1006</v>
      </c>
      <c r="J10" s="1732">
        <f>ROUND(D10+F10+H10,5)</f>
        <v>3.125E-2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3003390</v>
      </c>
      <c r="E16" s="356"/>
      <c r="F16" s="1733">
        <f>SUM('Acct Summary 7-8'!C17,'Acct Summary 7-8'!D17,'Acct Summary 7-8'!F17)</f>
        <v>3016015</v>
      </c>
      <c r="G16" s="356"/>
      <c r="H16" s="1733">
        <f>SUM(D16-F16)</f>
        <v>-12625</v>
      </c>
      <c r="I16" s="222"/>
      <c r="J16" s="1733">
        <f>SUM('Acct Summary 7-8'!C81,'Acct Summary 7-8'!D81,'Acct Summary 7-8'!F81,'Acct Summary 7-8'!I81)</f>
        <v>1363622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3192115.398</v>
      </c>
      <c r="I31" s="368"/>
      <c r="J31" s="222"/>
      <c r="K31" s="222"/>
      <c r="L31" s="222"/>
      <c r="M31" s="222"/>
    </row>
    <row r="32" spans="1:13" ht="13.35" customHeight="1" x14ac:dyDescent="0.2">
      <c r="B32" s="369" t="s">
        <v>2066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890357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Grayville CUSD 1</v>
      </c>
      <c r="E7" s="391"/>
      <c r="G7" s="252"/>
      <c r="H7" s="387"/>
      <c r="I7" s="387"/>
      <c r="J7" s="387"/>
      <c r="K7" s="387"/>
      <c r="L7" s="329"/>
      <c r="M7" s="329"/>
      <c r="N7" s="329"/>
      <c r="O7" s="329"/>
      <c r="P7" s="329"/>
    </row>
    <row r="8" spans="1:18" ht="12.75" x14ac:dyDescent="0.2">
      <c r="A8" s="329"/>
      <c r="B8" s="329"/>
      <c r="C8" s="389" t="s">
        <v>1125</v>
      </c>
      <c r="D8" s="392">
        <f>COVER!A13</f>
        <v>20097001026</v>
      </c>
      <c r="E8" s="393"/>
      <c r="G8" s="329"/>
      <c r="H8" s="329"/>
      <c r="I8" s="329"/>
      <c r="J8" s="329"/>
      <c r="K8" s="329"/>
      <c r="L8" s="329"/>
      <c r="M8" s="329"/>
      <c r="N8" s="329"/>
      <c r="O8" s="329"/>
      <c r="P8" s="329"/>
    </row>
    <row r="9" spans="1:18" ht="12.75" x14ac:dyDescent="0.2">
      <c r="A9" s="329"/>
      <c r="B9" s="329"/>
      <c r="C9" s="389" t="s">
        <v>713</v>
      </c>
      <c r="D9" s="394" t="str">
        <f>COVER!A15</f>
        <v>White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1363622</v>
      </c>
      <c r="I12" s="404"/>
      <c r="J12" s="404"/>
      <c r="K12" s="405">
        <f>TRUNC((H12/H13*100000),5)/100000</f>
        <v>0.45402761539999997</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3003390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3016015</v>
      </c>
      <c r="I17" s="404"/>
      <c r="J17" s="416"/>
      <c r="K17" s="405">
        <f>TRUNC((H17/H18*100000),5)/100000</f>
        <v>1.0042035832</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3003390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84.2204373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1365047</v>
      </c>
      <c r="I24" s="422"/>
      <c r="J24" s="422"/>
      <c r="K24" s="423">
        <f>TRUNC(((H24/H25*100000)/100000),2)</f>
        <v>162.93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8377.8194399999993</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614424.38593999995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890357</v>
      </c>
      <c r="I32" s="420"/>
      <c r="J32" s="420"/>
      <c r="K32" s="423">
        <f>TRUNC(100-((((H32/H33*100))*100)/100),2)</f>
        <v>72.099999999999994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3192115.398</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C4" sqref="C4:L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184888</v>
      </c>
      <c r="D4" s="466">
        <v>38062</v>
      </c>
      <c r="E4" s="466">
        <v>18201</v>
      </c>
      <c r="F4" s="466">
        <v>44186</v>
      </c>
      <c r="G4" s="466">
        <v>11854</v>
      </c>
      <c r="H4" s="466">
        <v>192258</v>
      </c>
      <c r="I4" s="466">
        <v>105311</v>
      </c>
      <c r="J4" s="467">
        <v>53743</v>
      </c>
      <c r="K4" s="466">
        <v>39185</v>
      </c>
      <c r="L4" s="466">
        <v>96289</v>
      </c>
      <c r="M4" s="468"/>
      <c r="N4" s="469"/>
    </row>
    <row r="5" spans="1:14" x14ac:dyDescent="0.2">
      <c r="A5" s="463" t="s">
        <v>992</v>
      </c>
      <c r="B5" s="470">
        <v>120</v>
      </c>
      <c r="C5" s="465">
        <v>852664</v>
      </c>
      <c r="D5" s="466">
        <v>104885</v>
      </c>
      <c r="E5" s="466"/>
      <c r="F5" s="466">
        <v>35051</v>
      </c>
      <c r="G5" s="466">
        <v>102408</v>
      </c>
      <c r="H5" s="466">
        <v>102408</v>
      </c>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1037552</v>
      </c>
      <c r="D13" s="1737">
        <f t="shared" ref="D13:L13" si="0">SUM(D4:D12)</f>
        <v>142947</v>
      </c>
      <c r="E13" s="1737">
        <f t="shared" si="0"/>
        <v>18201</v>
      </c>
      <c r="F13" s="1737">
        <f t="shared" si="0"/>
        <v>79237</v>
      </c>
      <c r="G13" s="1737">
        <f t="shared" si="0"/>
        <v>114262</v>
      </c>
      <c r="H13" s="1737">
        <f t="shared" si="0"/>
        <v>294666</v>
      </c>
      <c r="I13" s="1737">
        <f t="shared" si="0"/>
        <v>105311</v>
      </c>
      <c r="J13" s="1737">
        <f t="shared" si="0"/>
        <v>53743</v>
      </c>
      <c r="K13" s="1737">
        <f t="shared" si="0"/>
        <v>39185</v>
      </c>
      <c r="L13" s="1737">
        <f t="shared" si="0"/>
        <v>96289</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25000</v>
      </c>
      <c r="N16" s="484"/>
    </row>
    <row r="17" spans="1:14" s="485" customFormat="1" ht="12.75" customHeight="1" x14ac:dyDescent="0.2">
      <c r="A17" s="482" t="s">
        <v>1403</v>
      </c>
      <c r="B17" s="483">
        <v>230</v>
      </c>
      <c r="C17" s="477"/>
      <c r="D17" s="477"/>
      <c r="E17" s="477"/>
      <c r="F17" s="477"/>
      <c r="G17" s="477"/>
      <c r="H17" s="477"/>
      <c r="I17" s="477"/>
      <c r="J17" s="477"/>
      <c r="K17" s="477"/>
      <c r="L17" s="477"/>
      <c r="M17" s="467">
        <v>2953152</v>
      </c>
      <c r="N17" s="484"/>
    </row>
    <row r="18" spans="1:14" s="485" customFormat="1" ht="12.75" customHeight="1" x14ac:dyDescent="0.2">
      <c r="A18" s="482" t="s">
        <v>1404</v>
      </c>
      <c r="B18" s="483">
        <v>240</v>
      </c>
      <c r="C18" s="477"/>
      <c r="D18" s="477"/>
      <c r="E18" s="477"/>
      <c r="F18" s="477"/>
      <c r="G18" s="477"/>
      <c r="H18" s="477"/>
      <c r="I18" s="477"/>
      <c r="J18" s="477"/>
      <c r="K18" s="477"/>
      <c r="L18" s="477"/>
      <c r="M18" s="467">
        <v>12530</v>
      </c>
      <c r="N18" s="484"/>
    </row>
    <row r="19" spans="1:14" s="485" customFormat="1" ht="12.75" customHeight="1" x14ac:dyDescent="0.2">
      <c r="A19" s="482" t="s">
        <v>1405</v>
      </c>
      <c r="B19" s="483">
        <v>250</v>
      </c>
      <c r="C19" s="477"/>
      <c r="D19" s="477"/>
      <c r="E19" s="477"/>
      <c r="F19" s="477"/>
      <c r="G19" s="477"/>
      <c r="H19" s="477"/>
      <c r="I19" s="477"/>
      <c r="J19" s="477"/>
      <c r="K19" s="477"/>
      <c r="L19" s="477"/>
      <c r="M19" s="467">
        <v>118653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18201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872156</v>
      </c>
    </row>
    <row r="23" spans="1:14" ht="13.5" customHeight="1" thickBot="1" x14ac:dyDescent="0.25">
      <c r="A23" s="1736" t="s">
        <v>643</v>
      </c>
      <c r="B23" s="1741"/>
      <c r="C23" s="468"/>
      <c r="D23" s="468"/>
      <c r="E23" s="468"/>
      <c r="F23" s="468"/>
      <c r="G23" s="468"/>
      <c r="H23" s="468"/>
      <c r="I23" s="468"/>
      <c r="J23" s="468"/>
      <c r="K23" s="468"/>
      <c r="L23" s="468"/>
      <c r="M23" s="1688">
        <f>SUM(M15:M22)</f>
        <v>3109335</v>
      </c>
      <c r="N23" s="1688">
        <f>SUM(N21:N22)</f>
        <v>890357</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1381</v>
      </c>
      <c r="D31" s="467">
        <v>41</v>
      </c>
      <c r="E31" s="467"/>
      <c r="F31" s="466">
        <v>3</v>
      </c>
      <c r="G31" s="467"/>
      <c r="H31" s="467"/>
      <c r="I31" s="467"/>
      <c r="J31" s="467">
        <v>130</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96289</v>
      </c>
      <c r="M33" s="468"/>
      <c r="N33" s="469"/>
    </row>
    <row r="34" spans="1:14" ht="13.5" customHeight="1" thickBot="1" x14ac:dyDescent="0.25">
      <c r="A34" s="1738" t="s">
        <v>654</v>
      </c>
      <c r="B34" s="1739"/>
      <c r="C34" s="1740">
        <f>SUM(C25:C33)</f>
        <v>1381</v>
      </c>
      <c r="D34" s="1740">
        <f t="shared" ref="D34:K34" si="1">SUM(D25:D33)</f>
        <v>41</v>
      </c>
      <c r="E34" s="1740">
        <f t="shared" si="1"/>
        <v>0</v>
      </c>
      <c r="F34" s="1740">
        <f t="shared" si="1"/>
        <v>3</v>
      </c>
      <c r="G34" s="1740">
        <f t="shared" si="1"/>
        <v>0</v>
      </c>
      <c r="H34" s="1740">
        <f t="shared" si="1"/>
        <v>0</v>
      </c>
      <c r="I34" s="1740">
        <f t="shared" si="1"/>
        <v>0</v>
      </c>
      <c r="J34" s="1740">
        <f t="shared" si="1"/>
        <v>130</v>
      </c>
      <c r="K34" s="1740">
        <f t="shared" si="1"/>
        <v>0</v>
      </c>
      <c r="L34" s="1721">
        <f>SUM(L33)</f>
        <v>96289</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890357</v>
      </c>
    </row>
    <row r="37" spans="1:14" ht="13.5" thickBot="1" x14ac:dyDescent="0.25">
      <c r="A37" s="1736" t="s">
        <v>653</v>
      </c>
      <c r="B37" s="1741"/>
      <c r="C37" s="477"/>
      <c r="D37" s="477"/>
      <c r="E37" s="477"/>
      <c r="F37" s="477"/>
      <c r="G37" s="477"/>
      <c r="H37" s="477"/>
      <c r="I37" s="477"/>
      <c r="J37" s="477"/>
      <c r="K37" s="477"/>
      <c r="L37" s="480"/>
      <c r="M37" s="468"/>
      <c r="N37" s="1688">
        <f>SUM(N36:N36)</f>
        <v>890357</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1036171</v>
      </c>
      <c r="D39" s="466">
        <v>142906</v>
      </c>
      <c r="E39" s="466">
        <v>18201</v>
      </c>
      <c r="F39" s="466">
        <v>79234</v>
      </c>
      <c r="G39" s="466">
        <v>114262</v>
      </c>
      <c r="H39" s="466">
        <v>294666</v>
      </c>
      <c r="I39" s="466">
        <v>105311</v>
      </c>
      <c r="J39" s="467">
        <v>53613</v>
      </c>
      <c r="K39" s="466">
        <v>39185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3109335</v>
      </c>
      <c r="N40" s="497"/>
    </row>
    <row r="41" spans="1:14" ht="13.5" customHeight="1" thickBot="1" x14ac:dyDescent="0.25">
      <c r="A41" s="1736" t="s">
        <v>655</v>
      </c>
      <c r="B41" s="1706"/>
      <c r="C41" s="1688">
        <f>(SUM(C34,C37,C38,C39))</f>
        <v>1037552</v>
      </c>
      <c r="D41" s="1688">
        <f t="shared" ref="D41:L41" si="2">SUM(D34,D37,D38:D39)</f>
        <v>142947</v>
      </c>
      <c r="E41" s="1688">
        <f t="shared" si="2"/>
        <v>18201</v>
      </c>
      <c r="F41" s="1688">
        <f t="shared" si="2"/>
        <v>79237</v>
      </c>
      <c r="G41" s="1688">
        <f t="shared" si="2"/>
        <v>114262</v>
      </c>
      <c r="H41" s="1688">
        <f t="shared" si="2"/>
        <v>294666</v>
      </c>
      <c r="I41" s="1688">
        <f t="shared" si="2"/>
        <v>105311</v>
      </c>
      <c r="J41" s="1688">
        <f t="shared" si="2"/>
        <v>53743</v>
      </c>
      <c r="K41" s="1688">
        <f t="shared" si="2"/>
        <v>39185</v>
      </c>
      <c r="L41" s="1688">
        <f t="shared" si="2"/>
        <v>96289</v>
      </c>
      <c r="M41" s="1688">
        <f>SUM(M40)</f>
        <v>3109335</v>
      </c>
      <c r="N41" s="1688">
        <f>SUM(N37)</f>
        <v>890357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22" sqref="D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740432</v>
      </c>
      <c r="D4" s="1742">
        <f>'Revenues 9-14'!D109</f>
        <v>139346</v>
      </c>
      <c r="E4" s="1742">
        <f>'Revenues 9-14'!E109</f>
        <v>85211</v>
      </c>
      <c r="F4" s="1742">
        <f>'Revenues 9-14'!F109</f>
        <v>48338</v>
      </c>
      <c r="G4" s="1742">
        <f>'Revenues 9-14'!G109</f>
        <v>66213</v>
      </c>
      <c r="H4" s="1742">
        <f>'Revenues 9-14'!H109</f>
        <v>140249</v>
      </c>
      <c r="I4" s="1742">
        <f>'Revenues 9-14'!I109</f>
        <v>12083</v>
      </c>
      <c r="J4" s="1742">
        <f>'Revenues 9-14'!J109</f>
        <v>232889</v>
      </c>
      <c r="K4" s="1742">
        <f>'Revenues 9-14'!K109</f>
        <v>11977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1635338</v>
      </c>
      <c r="D6" s="1743">
        <f>'Revenues 9-14'!D170</f>
        <v>34000</v>
      </c>
      <c r="E6" s="1743">
        <f>'Revenues 9-14'!E170</f>
        <v>0</v>
      </c>
      <c r="F6" s="1743">
        <f>'Revenues 9-14'!F170</f>
        <v>111345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282508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2658278</v>
      </c>
      <c r="D8" s="1688">
        <f t="shared" ref="D8:K8" si="0">SUM(D4:D7)</f>
        <v>173346</v>
      </c>
      <c r="E8" s="1688">
        <f t="shared" si="0"/>
        <v>85211</v>
      </c>
      <c r="F8" s="1688">
        <f t="shared" si="0"/>
        <v>159683</v>
      </c>
      <c r="G8" s="1688">
        <f t="shared" si="0"/>
        <v>66213</v>
      </c>
      <c r="H8" s="1688">
        <f t="shared" si="0"/>
        <v>140249</v>
      </c>
      <c r="I8" s="1688">
        <f t="shared" si="0"/>
        <v>12083</v>
      </c>
      <c r="J8" s="1688">
        <f t="shared" si="0"/>
        <v>232889</v>
      </c>
      <c r="K8" s="1688">
        <f t="shared" si="0"/>
        <v>11977</v>
      </c>
      <c r="L8" s="347"/>
    </row>
    <row r="9" spans="1:13" ht="15.75" thickTop="1" x14ac:dyDescent="0.2">
      <c r="A9" s="514" t="s">
        <v>1653</v>
      </c>
      <c r="B9" s="515">
        <v>3998</v>
      </c>
      <c r="C9" s="481">
        <v>1022682</v>
      </c>
      <c r="D9" s="516"/>
      <c r="E9" s="481"/>
      <c r="F9" s="481"/>
      <c r="G9" s="517"/>
      <c r="H9" s="481"/>
      <c r="I9" s="509" t="s">
        <v>1169</v>
      </c>
      <c r="J9" s="478"/>
      <c r="K9" s="481"/>
      <c r="L9" s="347"/>
    </row>
    <row r="10" spans="1:13" s="519" customFormat="1" ht="13.5" thickBot="1" x14ac:dyDescent="0.25">
      <c r="A10" s="1736" t="s">
        <v>1173</v>
      </c>
      <c r="B10" s="1709"/>
      <c r="C10" s="1688">
        <f>SUM(C8:C9)</f>
        <v>3680960</v>
      </c>
      <c r="D10" s="1688">
        <f t="shared" ref="D10:K10" si="1">SUM(D8:D9)</f>
        <v>173346</v>
      </c>
      <c r="E10" s="1688">
        <f t="shared" si="1"/>
        <v>85211</v>
      </c>
      <c r="F10" s="1688">
        <f t="shared" si="1"/>
        <v>159683</v>
      </c>
      <c r="G10" s="1688">
        <f t="shared" si="1"/>
        <v>66213</v>
      </c>
      <c r="H10" s="1688">
        <f t="shared" si="1"/>
        <v>140249</v>
      </c>
      <c r="I10" s="1688">
        <f t="shared" si="1"/>
        <v>12083</v>
      </c>
      <c r="J10" s="1688">
        <f t="shared" si="1"/>
        <v>232889</v>
      </c>
      <c r="K10" s="1688">
        <f t="shared" si="1"/>
        <v>11977</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1785210</v>
      </c>
      <c r="D12" s="520" t="s">
        <v>1169</v>
      </c>
      <c r="E12" s="468" t="s">
        <v>1169</v>
      </c>
      <c r="F12" s="468" t="s">
        <v>1169</v>
      </c>
      <c r="G12" s="1742">
        <f>'Expenditures 15-22'!K229</f>
        <v>49380</v>
      </c>
      <c r="H12" s="521"/>
      <c r="I12" s="468" t="s">
        <v>1169</v>
      </c>
      <c r="J12" s="468" t="s">
        <v>1169</v>
      </c>
      <c r="K12" s="521" t="s">
        <v>1169</v>
      </c>
      <c r="L12" s="347"/>
    </row>
    <row r="13" spans="1:13" ht="15.75" customHeight="1" x14ac:dyDescent="0.2">
      <c r="A13" s="1576" t="s">
        <v>457</v>
      </c>
      <c r="B13" s="1578">
        <v>2000</v>
      </c>
      <c r="C13" s="1743">
        <f>'Expenditures 15-22'!K74</f>
        <v>645315</v>
      </c>
      <c r="D13" s="1743">
        <f>'Expenditures 15-22'!K129</f>
        <v>165873</v>
      </c>
      <c r="E13" s="469" t="s">
        <v>1169</v>
      </c>
      <c r="F13" s="1743">
        <f>'Expenditures 15-22'!K184</f>
        <v>209898</v>
      </c>
      <c r="G13" s="1743">
        <f>'Expenditures 15-22'!K279</f>
        <v>68509</v>
      </c>
      <c r="H13" s="1743">
        <f>'Expenditures 15-22'!K303</f>
        <v>19434</v>
      </c>
      <c r="I13" s="468" t="s">
        <v>1169</v>
      </c>
      <c r="J13" s="1743">
        <f>'Expenditures 15-22'!K330</f>
        <v>224467</v>
      </c>
      <c r="K13" s="1747">
        <f>'Expenditures 15-22'!K352</f>
        <v>0</v>
      </c>
      <c r="L13" s="347"/>
    </row>
    <row r="14" spans="1:13" ht="15.75" customHeight="1" x14ac:dyDescent="0.2">
      <c r="A14" s="1576" t="s">
        <v>449</v>
      </c>
      <c r="B14" s="1578">
        <v>3000</v>
      </c>
      <c r="C14" s="1743">
        <f>'Expenditures 15-22'!K75</f>
        <v>25932</v>
      </c>
      <c r="D14" s="1743">
        <f>'Expenditures 15-22'!K130</f>
        <v>0</v>
      </c>
      <c r="E14" s="520" t="s">
        <v>1169</v>
      </c>
      <c r="F14" s="1743">
        <f>'Expenditures 15-22'!K185</f>
        <v>0</v>
      </c>
      <c r="G14" s="1743">
        <f>'Expenditures 15-22'!K280</f>
        <v>4272</v>
      </c>
      <c r="H14" s="512"/>
      <c r="I14" s="468" t="s">
        <v>1169</v>
      </c>
      <c r="J14" s="468" t="s">
        <v>1169</v>
      </c>
      <c r="K14" s="512" t="s">
        <v>1169</v>
      </c>
      <c r="L14" s="347"/>
    </row>
    <row r="15" spans="1:13" ht="15.75" customHeight="1" x14ac:dyDescent="0.2">
      <c r="A15" s="1576" t="s">
        <v>107</v>
      </c>
      <c r="B15" s="1578">
        <v>4000</v>
      </c>
      <c r="C15" s="1743">
        <f>'Expenditures 15-22'!K102</f>
        <v>141085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87780</v>
      </c>
      <c r="F16" s="1743">
        <f>'Expenditures 15-22'!K208</f>
        <v>42702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2597542</v>
      </c>
      <c r="D17" s="1688">
        <f t="shared" si="2"/>
        <v>165873</v>
      </c>
      <c r="E17" s="1688">
        <f t="shared" si="2"/>
        <v>87780</v>
      </c>
      <c r="F17" s="1688">
        <f t="shared" si="2"/>
        <v>252600</v>
      </c>
      <c r="G17" s="1688">
        <f t="shared" si="2"/>
        <v>122161</v>
      </c>
      <c r="H17" s="1688">
        <f t="shared" si="2"/>
        <v>19434</v>
      </c>
      <c r="I17" s="468"/>
      <c r="J17" s="1688">
        <f>SUM(J12:J16)</f>
        <v>224467</v>
      </c>
      <c r="K17" s="1688">
        <f>SUM(K12:K16)</f>
        <v>0</v>
      </c>
      <c r="L17" s="347"/>
    </row>
    <row r="18" spans="1:12" ht="15" customHeight="1" thickTop="1" x14ac:dyDescent="0.2">
      <c r="A18" s="1744" t="s">
        <v>1654</v>
      </c>
      <c r="B18" s="1745">
        <v>4180</v>
      </c>
      <c r="C18" s="1742">
        <f t="shared" ref="C18:H18" si="3">C9</f>
        <v>1022682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3620224</v>
      </c>
      <c r="D19" s="1688">
        <f t="shared" si="4"/>
        <v>165873</v>
      </c>
      <c r="E19" s="1688">
        <f t="shared" si="4"/>
        <v>87780</v>
      </c>
      <c r="F19" s="1688">
        <f t="shared" si="4"/>
        <v>252600</v>
      </c>
      <c r="G19" s="1688">
        <f t="shared" si="4"/>
        <v>122161</v>
      </c>
      <c r="H19" s="1688">
        <f t="shared" si="4"/>
        <v>19434</v>
      </c>
      <c r="I19" s="468"/>
      <c r="J19" s="1688">
        <f>SUM(J17:J18)</f>
        <v>224467</v>
      </c>
      <c r="K19" s="1688">
        <f>SUM(K17:K18)</f>
        <v>0</v>
      </c>
      <c r="L19" s="347"/>
    </row>
    <row r="20" spans="1:12" ht="16.5" thickTop="1" thickBot="1" x14ac:dyDescent="0.25">
      <c r="A20" s="2130" t="s">
        <v>1655</v>
      </c>
      <c r="B20" s="2131"/>
      <c r="C20" s="1746">
        <f>C8-C17</f>
        <v>60736</v>
      </c>
      <c r="D20" s="1746">
        <f t="shared" ref="D20:K20" si="5">D8-D17</f>
        <v>7473</v>
      </c>
      <c r="E20" s="1746">
        <f t="shared" si="5"/>
        <v>-2569</v>
      </c>
      <c r="F20" s="1746">
        <f t="shared" si="5"/>
        <v>-92917</v>
      </c>
      <c r="G20" s="1746">
        <f t="shared" si="5"/>
        <v>-55948</v>
      </c>
      <c r="H20" s="1746">
        <f t="shared" si="5"/>
        <v>120815</v>
      </c>
      <c r="I20" s="1746">
        <f t="shared" si="5"/>
        <v>12083</v>
      </c>
      <c r="J20" s="1746">
        <f t="shared" si="5"/>
        <v>8422</v>
      </c>
      <c r="K20" s="1746">
        <f t="shared" si="5"/>
        <v>11977</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v>95138</v>
      </c>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95138</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32308</v>
      </c>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32308</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95138</v>
      </c>
      <c r="G77" s="1703">
        <f t="shared" si="8"/>
        <v>0</v>
      </c>
      <c r="H77" s="1703">
        <f t="shared" si="8"/>
        <v>-32308</v>
      </c>
      <c r="I77" s="1703">
        <f t="shared" si="8"/>
        <v>0</v>
      </c>
      <c r="J77" s="1703">
        <f t="shared" si="8"/>
        <v>0</v>
      </c>
      <c r="K77" s="1703">
        <f t="shared" si="8"/>
        <v>0</v>
      </c>
      <c r="L77" s="347"/>
    </row>
    <row r="78" spans="1:12" ht="21.75" customHeight="1" thickTop="1" thickBot="1" x14ac:dyDescent="0.25">
      <c r="A78" s="2126" t="s">
        <v>597</v>
      </c>
      <c r="B78" s="2127"/>
      <c r="C78" s="1702">
        <f t="shared" ref="C78:K78" si="9">C20+C77</f>
        <v>60736</v>
      </c>
      <c r="D78" s="1702">
        <f t="shared" si="9"/>
        <v>7473</v>
      </c>
      <c r="E78" s="1702">
        <f t="shared" si="9"/>
        <v>-2569</v>
      </c>
      <c r="F78" s="1702">
        <f t="shared" si="9"/>
        <v>2221</v>
      </c>
      <c r="G78" s="1702">
        <f t="shared" si="9"/>
        <v>-55948</v>
      </c>
      <c r="H78" s="1702">
        <f t="shared" si="9"/>
        <v>88507</v>
      </c>
      <c r="I78" s="1702">
        <f t="shared" si="9"/>
        <v>12083</v>
      </c>
      <c r="J78" s="1702">
        <f t="shared" si="9"/>
        <v>8422</v>
      </c>
      <c r="K78" s="1702">
        <f t="shared" si="9"/>
        <v>11977</v>
      </c>
      <c r="L78" s="533"/>
    </row>
    <row r="79" spans="1:12" ht="13.5" thickTop="1" x14ac:dyDescent="0.2">
      <c r="A79" s="1494" t="s">
        <v>1947</v>
      </c>
      <c r="B79" s="534"/>
      <c r="C79" s="478">
        <v>975435</v>
      </c>
      <c r="D79" s="535">
        <v>135433</v>
      </c>
      <c r="E79" s="535">
        <v>20770</v>
      </c>
      <c r="F79" s="535">
        <v>77013</v>
      </c>
      <c r="G79" s="535">
        <v>170210</v>
      </c>
      <c r="H79" s="535">
        <v>206159</v>
      </c>
      <c r="I79" s="535">
        <v>93228</v>
      </c>
      <c r="J79" s="535">
        <v>45191</v>
      </c>
      <c r="K79" s="535">
        <v>27208</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1036171</v>
      </c>
      <c r="D81" s="1688">
        <f>SUM(D78:D80)</f>
        <v>142906</v>
      </c>
      <c r="E81" s="1688">
        <f t="shared" ref="E81:K81" si="10">SUM(E78:E80)</f>
        <v>18201</v>
      </c>
      <c r="F81" s="1688">
        <f t="shared" si="10"/>
        <v>79234</v>
      </c>
      <c r="G81" s="1688">
        <f t="shared" si="10"/>
        <v>114262</v>
      </c>
      <c r="H81" s="1688">
        <f t="shared" si="10"/>
        <v>294666</v>
      </c>
      <c r="I81" s="1688">
        <f t="shared" si="10"/>
        <v>105311</v>
      </c>
      <c r="J81" s="1688">
        <f t="shared" si="10"/>
        <v>53613</v>
      </c>
      <c r="K81" s="1688">
        <f t="shared" si="10"/>
        <v>39185</v>
      </c>
      <c r="L81" s="347"/>
    </row>
    <row r="82" spans="1:12" ht="0.75" customHeight="1" thickTop="1" thickBot="1" x14ac:dyDescent="0.25">
      <c r="A82" s="536" t="s">
        <v>343</v>
      </c>
      <c r="B82" s="537"/>
      <c r="C82" s="538">
        <f>(C81-C79)</f>
        <v>60736</v>
      </c>
      <c r="D82" s="538">
        <f t="shared" ref="D82:K82" si="11">(D81-D79)</f>
        <v>7473</v>
      </c>
      <c r="E82" s="538">
        <f t="shared" si="11"/>
        <v>-2569</v>
      </c>
      <c r="F82" s="538">
        <f t="shared" si="11"/>
        <v>2221</v>
      </c>
      <c r="G82" s="538">
        <f t="shared" si="11"/>
        <v>-55948</v>
      </c>
      <c r="H82" s="538">
        <f t="shared" si="11"/>
        <v>88507</v>
      </c>
      <c r="I82" s="538">
        <f t="shared" si="11"/>
        <v>12083</v>
      </c>
      <c r="J82" s="538">
        <f t="shared" si="11"/>
        <v>8422</v>
      </c>
      <c r="K82" s="538">
        <f t="shared" si="11"/>
        <v>11977</v>
      </c>
    </row>
    <row r="83" spans="1:12" ht="14.25" hidden="1" thickTop="1" thickBot="1" x14ac:dyDescent="0.25">
      <c r="A83" s="539" t="s">
        <v>344</v>
      </c>
      <c r="B83" s="464"/>
      <c r="C83" s="540">
        <f>C82/C81</f>
        <v>5.8615807622487019E-2</v>
      </c>
      <c r="D83" s="540">
        <f t="shared" ref="D83:K83" si="12">D82/D81</f>
        <v>5.2293115754411992E-2</v>
      </c>
      <c r="E83" s="540">
        <f t="shared" si="12"/>
        <v>-0.1411460908741278</v>
      </c>
      <c r="F83" s="540">
        <f t="shared" si="12"/>
        <v>2.803089582754878E-2</v>
      </c>
      <c r="G83" s="540">
        <f t="shared" si="12"/>
        <v>-0.48964660166984647</v>
      </c>
      <c r="H83" s="540">
        <f t="shared" si="12"/>
        <v>0.30036380172805821</v>
      </c>
      <c r="I83" s="540">
        <f t="shared" si="12"/>
        <v>0.11473635232786698</v>
      </c>
      <c r="J83" s="540">
        <f t="shared" si="12"/>
        <v>0.15708876578441797</v>
      </c>
      <c r="K83" s="540">
        <f t="shared" si="12"/>
        <v>0.30565267321679213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89"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562254</v>
      </c>
      <c r="D5" s="481">
        <v>137440</v>
      </c>
      <c r="E5" s="466">
        <v>85171</v>
      </c>
      <c r="F5" s="548">
        <v>47684</v>
      </c>
      <c r="G5" s="466">
        <v>33813</v>
      </c>
      <c r="H5" s="466"/>
      <c r="I5" s="466">
        <v>11921</v>
      </c>
      <c r="J5" s="467">
        <v>232816</v>
      </c>
      <c r="K5" s="466">
        <v>11921</v>
      </c>
    </row>
    <row r="6" spans="1:12" ht="15" x14ac:dyDescent="0.2">
      <c r="A6" s="463" t="s">
        <v>1662</v>
      </c>
      <c r="B6" s="470">
        <v>1130</v>
      </c>
      <c r="C6" s="466">
        <v>11928</v>
      </c>
      <c r="D6" s="466"/>
      <c r="E6" s="475"/>
      <c r="F6" s="475"/>
      <c r="G6" s="468"/>
      <c r="H6" s="468"/>
      <c r="I6" s="468"/>
      <c r="J6" s="468"/>
      <c r="K6" s="468"/>
    </row>
    <row r="7" spans="1:12" x14ac:dyDescent="0.2">
      <c r="A7" s="463" t="s">
        <v>110</v>
      </c>
      <c r="B7" s="549">
        <v>1140</v>
      </c>
      <c r="C7" s="466">
        <v>9537</v>
      </c>
      <c r="D7" s="466"/>
      <c r="E7" s="468"/>
      <c r="F7" s="467"/>
      <c r="G7" s="467"/>
      <c r="H7" s="467"/>
      <c r="I7" s="468"/>
      <c r="J7" s="468"/>
      <c r="K7" s="468"/>
    </row>
    <row r="8" spans="1:12" x14ac:dyDescent="0.2">
      <c r="A8" s="463" t="s">
        <v>413</v>
      </c>
      <c r="B8" s="470">
        <v>1150</v>
      </c>
      <c r="C8" s="475"/>
      <c r="D8" s="475"/>
      <c r="E8" s="477"/>
      <c r="F8" s="477"/>
      <c r="G8" s="481">
        <v>28983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583719</v>
      </c>
      <c r="D12" s="1707">
        <f t="shared" si="0"/>
        <v>137440</v>
      </c>
      <c r="E12" s="1707">
        <f t="shared" si="0"/>
        <v>85171</v>
      </c>
      <c r="F12" s="1707">
        <f t="shared" si="0"/>
        <v>47684</v>
      </c>
      <c r="G12" s="1707">
        <f t="shared" si="0"/>
        <v>62796</v>
      </c>
      <c r="H12" s="1707">
        <f t="shared" si="0"/>
        <v>0</v>
      </c>
      <c r="I12" s="1707">
        <f t="shared" si="0"/>
        <v>11921</v>
      </c>
      <c r="J12" s="1707">
        <f t="shared" si="0"/>
        <v>232816</v>
      </c>
      <c r="K12" s="1688">
        <f t="shared" si="0"/>
        <v>11921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88403</v>
      </c>
      <c r="D16" s="466"/>
      <c r="E16" s="466"/>
      <c r="F16" s="466"/>
      <c r="G16" s="466">
        <v>1500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88403</v>
      </c>
      <c r="D18" s="1710">
        <f t="shared" ref="D18:K18" si="1">SUM(D14:D17)</f>
        <v>0</v>
      </c>
      <c r="E18" s="1710">
        <f t="shared" si="1"/>
        <v>0</v>
      </c>
      <c r="F18" s="1710">
        <f t="shared" si="1"/>
        <v>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15652</v>
      </c>
      <c r="D65" s="466">
        <v>1906</v>
      </c>
      <c r="E65" s="466">
        <v>40</v>
      </c>
      <c r="F65" s="467">
        <v>654</v>
      </c>
      <c r="G65" s="466">
        <v>1917</v>
      </c>
      <c r="H65" s="466">
        <v>2040</v>
      </c>
      <c r="I65" s="466">
        <v>162</v>
      </c>
      <c r="J65" s="467">
        <v>73</v>
      </c>
      <c r="K65" s="466">
        <v>56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15652</v>
      </c>
      <c r="D67" s="1688">
        <f t="shared" ref="D67:K67" si="2">SUM(D65:D66)</f>
        <v>1906</v>
      </c>
      <c r="E67" s="1688">
        <f t="shared" si="2"/>
        <v>40</v>
      </c>
      <c r="F67" s="1688">
        <f t="shared" si="2"/>
        <v>654</v>
      </c>
      <c r="G67" s="1688">
        <f t="shared" si="2"/>
        <v>1917</v>
      </c>
      <c r="H67" s="1688">
        <f t="shared" si="2"/>
        <v>2040</v>
      </c>
      <c r="I67" s="1688">
        <f t="shared" si="2"/>
        <v>162</v>
      </c>
      <c r="J67" s="1688">
        <f t="shared" si="2"/>
        <v>73</v>
      </c>
      <c r="K67" s="1688">
        <f t="shared" si="2"/>
        <v>56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27151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1247</v>
      </c>
      <c r="D72" s="468"/>
      <c r="E72" s="468"/>
      <c r="F72" s="468"/>
      <c r="G72" s="468"/>
      <c r="H72" s="468"/>
      <c r="I72" s="468"/>
      <c r="J72" s="468"/>
      <c r="K72" s="468"/>
    </row>
    <row r="73" spans="1:11" ht="12.75" customHeight="1" x14ac:dyDescent="0.2">
      <c r="A73" s="463" t="s">
        <v>998</v>
      </c>
      <c r="B73" s="470">
        <v>1620</v>
      </c>
      <c r="C73" s="551">
        <v>1687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30085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9599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978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10577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6168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6168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138209</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3375</v>
      </c>
      <c r="D106" s="489"/>
      <c r="E106" s="467"/>
      <c r="F106" s="467"/>
      <c r="G106" s="467"/>
      <c r="H106" s="467"/>
      <c r="I106" s="521"/>
      <c r="J106" s="467"/>
      <c r="K106" s="467"/>
    </row>
    <row r="107" spans="1:12" ht="12.75" customHeight="1" x14ac:dyDescent="0.2">
      <c r="A107" s="463" t="s">
        <v>78</v>
      </c>
      <c r="B107" s="470">
        <v>1999</v>
      </c>
      <c r="C107" s="551">
        <v>1853</v>
      </c>
      <c r="D107" s="466"/>
      <c r="E107" s="466"/>
      <c r="F107" s="466"/>
      <c r="G107" s="466"/>
      <c r="H107" s="466"/>
      <c r="I107" s="466"/>
      <c r="J107" s="467"/>
      <c r="K107" s="466"/>
    </row>
    <row r="108" spans="1:12" ht="12.75" customHeight="1" thickBot="1" x14ac:dyDescent="0.25">
      <c r="A108" s="1708" t="s">
        <v>487</v>
      </c>
      <c r="B108" s="1712"/>
      <c r="C108" s="1707">
        <f>SUM(C95:C107)</f>
        <v>5828</v>
      </c>
      <c r="D108" s="1707">
        <f t="shared" ref="D108:K108" si="3">SUM(D95:D107)</f>
        <v>0</v>
      </c>
      <c r="E108" s="1707">
        <f t="shared" si="3"/>
        <v>0</v>
      </c>
      <c r="F108" s="1707">
        <f t="shared" si="3"/>
        <v>0</v>
      </c>
      <c r="G108" s="1707">
        <f t="shared" si="3"/>
        <v>0</v>
      </c>
      <c r="H108" s="1707">
        <f t="shared" si="3"/>
        <v>138209</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740432</v>
      </c>
      <c r="D109" s="1715">
        <f t="shared" si="4"/>
        <v>139346</v>
      </c>
      <c r="E109" s="1715">
        <f t="shared" si="4"/>
        <v>85211</v>
      </c>
      <c r="F109" s="1715">
        <f t="shared" si="4"/>
        <v>48338</v>
      </c>
      <c r="G109" s="1715">
        <f t="shared" si="4"/>
        <v>66213</v>
      </c>
      <c r="H109" s="1715">
        <f t="shared" si="4"/>
        <v>140249</v>
      </c>
      <c r="I109" s="1715">
        <f t="shared" si="4"/>
        <v>12083</v>
      </c>
      <c r="J109" s="1715">
        <f t="shared" si="4"/>
        <v>232889</v>
      </c>
      <c r="K109" s="1702">
        <f t="shared" si="4"/>
        <v>11977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1484914</v>
      </c>
      <c r="D117" s="481">
        <v>34000</v>
      </c>
      <c r="E117" s="466"/>
      <c r="F117" s="481">
        <v>56500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1484914</v>
      </c>
      <c r="D122" s="1707">
        <f t="shared" si="5"/>
        <v>34000</v>
      </c>
      <c r="E122" s="1707">
        <f t="shared" si="5"/>
        <v>0</v>
      </c>
      <c r="F122" s="1707">
        <f t="shared" si="5"/>
        <v>56500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1693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1693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8390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8390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1419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2520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4773</v>
      </c>
      <c r="G152" s="467"/>
      <c r="H152" s="468"/>
      <c r="I152" s="468"/>
      <c r="J152" s="468"/>
      <c r="K152" s="468"/>
    </row>
    <row r="153" spans="1:11" ht="12.75" customHeight="1" x14ac:dyDescent="0.2">
      <c r="A153" s="463" t="s">
        <v>1057</v>
      </c>
      <c r="B153" s="562">
        <v>3510</v>
      </c>
      <c r="C153" s="551"/>
      <c r="D153" s="466"/>
      <c r="E153" s="561"/>
      <c r="F153" s="466">
        <v>50072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54845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135623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779</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150424</v>
      </c>
      <c r="D169" s="1722">
        <f t="shared" si="6"/>
        <v>0</v>
      </c>
      <c r="E169" s="1722">
        <f t="shared" si="6"/>
        <v>0</v>
      </c>
      <c r="F169" s="1722">
        <f t="shared" si="6"/>
        <v>54845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1635338</v>
      </c>
      <c r="D170" s="1715">
        <f t="shared" si="7"/>
        <v>34000</v>
      </c>
      <c r="E170" s="1715">
        <f t="shared" si="7"/>
        <v>0</v>
      </c>
      <c r="F170" s="1715">
        <f t="shared" si="7"/>
        <v>111345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17404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17404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60563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20040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80603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139910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139910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32303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12288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282508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282508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2658278</v>
      </c>
      <c r="D268" s="1715">
        <f t="shared" si="12"/>
        <v>173346</v>
      </c>
      <c r="E268" s="1715">
        <f t="shared" si="12"/>
        <v>85211</v>
      </c>
      <c r="F268" s="1715">
        <f t="shared" si="12"/>
        <v>159683</v>
      </c>
      <c r="G268" s="1715">
        <f t="shared" si="12"/>
        <v>66213</v>
      </c>
      <c r="H268" s="1715">
        <f t="shared" si="12"/>
        <v>140249</v>
      </c>
      <c r="I268" s="1715">
        <f t="shared" si="12"/>
        <v>12083</v>
      </c>
      <c r="J268" s="1715">
        <f t="shared" si="12"/>
        <v>232889</v>
      </c>
      <c r="K268" s="1702">
        <f t="shared" si="12"/>
        <v>11977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2" activePane="bottomLeft" state="frozen"/>
      <selection pane="bottomLeft" activeCell="K170" sqref="K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854358</v>
      </c>
      <c r="D5" s="466">
        <v>93088</v>
      </c>
      <c r="E5" s="466">
        <v>49776</v>
      </c>
      <c r="F5" s="466">
        <v>42000</v>
      </c>
      <c r="G5" s="466"/>
      <c r="H5" s="466">
        <v>903</v>
      </c>
      <c r="I5" s="467"/>
      <c r="J5" s="467"/>
      <c r="K5" s="1671">
        <f>SUM(C5:J5)</f>
        <v>1040125</v>
      </c>
      <c r="L5" s="466">
        <v>1041362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79399</v>
      </c>
      <c r="D7" s="467">
        <v>6785</v>
      </c>
      <c r="E7" s="467">
        <v>427</v>
      </c>
      <c r="F7" s="467">
        <v>22626</v>
      </c>
      <c r="G7" s="467"/>
      <c r="H7" s="467"/>
      <c r="I7" s="467">
        <v>4193</v>
      </c>
      <c r="J7" s="467"/>
      <c r="K7" s="1671">
        <f t="shared" ref="K7:K32" si="0">SUM(C7:J7)</f>
        <v>113430</v>
      </c>
      <c r="L7" s="466"/>
    </row>
    <row r="8" spans="1:14" x14ac:dyDescent="0.2">
      <c r="A8" s="1504" t="s">
        <v>164</v>
      </c>
      <c r="B8" s="614">
        <v>1200</v>
      </c>
      <c r="C8" s="466">
        <v>401968</v>
      </c>
      <c r="D8" s="466">
        <v>24291</v>
      </c>
      <c r="E8" s="466"/>
      <c r="F8" s="466">
        <v>579</v>
      </c>
      <c r="G8" s="466"/>
      <c r="H8" s="466"/>
      <c r="I8" s="467"/>
      <c r="J8" s="467"/>
      <c r="K8" s="1671">
        <f t="shared" si="0"/>
        <v>426838</v>
      </c>
      <c r="L8" s="466">
        <v>555972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35841</v>
      </c>
      <c r="D10" s="466">
        <v>5914</v>
      </c>
      <c r="E10" s="466">
        <v>1594</v>
      </c>
      <c r="F10" s="466">
        <v>30673</v>
      </c>
      <c r="G10" s="466"/>
      <c r="H10" s="466"/>
      <c r="I10" s="467"/>
      <c r="J10" s="467"/>
      <c r="K10" s="1671">
        <f t="shared" si="0"/>
        <v>74022</v>
      </c>
      <c r="L10" s="466">
        <v>74642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33203</v>
      </c>
      <c r="D13" s="466">
        <v>726</v>
      </c>
      <c r="E13" s="466">
        <v>330</v>
      </c>
      <c r="F13" s="466">
        <v>2888</v>
      </c>
      <c r="G13" s="466"/>
      <c r="H13" s="466">
        <v>727</v>
      </c>
      <c r="I13" s="467"/>
      <c r="J13" s="467"/>
      <c r="K13" s="1671">
        <f t="shared" si="0"/>
        <v>37874</v>
      </c>
      <c r="L13" s="466">
        <v>42718</v>
      </c>
    </row>
    <row r="14" spans="1:14" x14ac:dyDescent="0.2">
      <c r="A14" s="1504" t="s">
        <v>963</v>
      </c>
      <c r="B14" s="614">
        <v>1500</v>
      </c>
      <c r="C14" s="466">
        <v>68130</v>
      </c>
      <c r="D14" s="466">
        <v>5088</v>
      </c>
      <c r="E14" s="466">
        <v>8895</v>
      </c>
      <c r="F14" s="466">
        <v>4380</v>
      </c>
      <c r="G14" s="466"/>
      <c r="H14" s="466">
        <v>1240</v>
      </c>
      <c r="I14" s="467"/>
      <c r="J14" s="467"/>
      <c r="K14" s="1671">
        <f t="shared" si="0"/>
        <v>87733</v>
      </c>
      <c r="L14" s="466">
        <v>88131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4892</v>
      </c>
      <c r="D17" s="467">
        <v>214</v>
      </c>
      <c r="E17" s="467">
        <v>70</v>
      </c>
      <c r="F17" s="467">
        <v>12</v>
      </c>
      <c r="G17" s="467"/>
      <c r="H17" s="467"/>
      <c r="I17" s="467"/>
      <c r="J17" s="467"/>
      <c r="K17" s="1671">
        <f t="shared" si="0"/>
        <v>5188</v>
      </c>
      <c r="L17" s="466">
        <v>5385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1477791</v>
      </c>
      <c r="D33" s="1670">
        <f t="shared" ref="D33:L33" si="1">SUM(D5:D32)</f>
        <v>136106</v>
      </c>
      <c r="E33" s="1670">
        <f t="shared" si="1"/>
        <v>61092</v>
      </c>
      <c r="F33" s="1670">
        <f t="shared" si="1"/>
        <v>103158</v>
      </c>
      <c r="G33" s="1670">
        <f t="shared" si="1"/>
        <v>0</v>
      </c>
      <c r="H33" s="1670">
        <f t="shared" si="1"/>
        <v>2870</v>
      </c>
      <c r="I33" s="1670">
        <f t="shared" si="1"/>
        <v>4193</v>
      </c>
      <c r="J33" s="1670">
        <f t="shared" si="1"/>
        <v>0</v>
      </c>
      <c r="K33" s="1670">
        <f t="shared" si="1"/>
        <v>1785210</v>
      </c>
      <c r="L33" s="1670">
        <f t="shared" si="1"/>
        <v>1808210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41789</v>
      </c>
      <c r="D37" s="466">
        <v>6320</v>
      </c>
      <c r="E37" s="466"/>
      <c r="F37" s="466"/>
      <c r="G37" s="466"/>
      <c r="H37" s="466"/>
      <c r="I37" s="467"/>
      <c r="J37" s="467"/>
      <c r="K37" s="1671">
        <f t="shared" si="2"/>
        <v>48109</v>
      </c>
      <c r="L37" s="466">
        <v>48789</v>
      </c>
    </row>
    <row r="38" spans="1:14" x14ac:dyDescent="0.2">
      <c r="A38" s="1504" t="s">
        <v>198</v>
      </c>
      <c r="B38" s="614">
        <v>2130</v>
      </c>
      <c r="C38" s="466">
        <v>1844</v>
      </c>
      <c r="D38" s="466">
        <v>266</v>
      </c>
      <c r="E38" s="466"/>
      <c r="F38" s="466">
        <v>762</v>
      </c>
      <c r="G38" s="466"/>
      <c r="H38" s="466"/>
      <c r="I38" s="467"/>
      <c r="J38" s="467"/>
      <c r="K38" s="1671">
        <f t="shared" si="2"/>
        <v>2872</v>
      </c>
      <c r="L38" s="466">
        <v>3105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15348</v>
      </c>
      <c r="D41" s="466">
        <v>1255</v>
      </c>
      <c r="E41" s="466"/>
      <c r="F41" s="466"/>
      <c r="G41" s="466"/>
      <c r="H41" s="466">
        <v>384</v>
      </c>
      <c r="I41" s="467"/>
      <c r="J41" s="467"/>
      <c r="K41" s="1671">
        <f t="shared" si="2"/>
        <v>16987</v>
      </c>
      <c r="L41" s="466">
        <v>17530</v>
      </c>
    </row>
    <row r="42" spans="1:14" ht="12.75" customHeight="1" thickBot="1" x14ac:dyDescent="0.25">
      <c r="A42" s="1668" t="s">
        <v>560</v>
      </c>
      <c r="B42" s="1669" t="s">
        <v>716</v>
      </c>
      <c r="C42" s="1670">
        <f>SUM(C36:C41)</f>
        <v>58981</v>
      </c>
      <c r="D42" s="1670">
        <f t="shared" ref="D42:L42" si="3">SUM(D36:D41)</f>
        <v>7841</v>
      </c>
      <c r="E42" s="1670">
        <f t="shared" si="3"/>
        <v>0</v>
      </c>
      <c r="F42" s="1670">
        <f t="shared" si="3"/>
        <v>762</v>
      </c>
      <c r="G42" s="1670">
        <f t="shared" si="3"/>
        <v>0</v>
      </c>
      <c r="H42" s="1670">
        <f t="shared" si="3"/>
        <v>384</v>
      </c>
      <c r="I42" s="1670">
        <f t="shared" si="3"/>
        <v>0</v>
      </c>
      <c r="J42" s="1670">
        <f t="shared" si="3"/>
        <v>0</v>
      </c>
      <c r="K42" s="1670">
        <f t="shared" si="3"/>
        <v>67968</v>
      </c>
      <c r="L42" s="1670">
        <f t="shared" si="3"/>
        <v>69424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8855</v>
      </c>
      <c r="D44" s="481">
        <v>872</v>
      </c>
      <c r="E44" s="481">
        <v>19586</v>
      </c>
      <c r="F44" s="481">
        <v>1055</v>
      </c>
      <c r="G44" s="481"/>
      <c r="H44" s="481"/>
      <c r="I44" s="467"/>
      <c r="J44" s="467"/>
      <c r="K44" s="1672">
        <f>SUM(C44:J44)</f>
        <v>30368</v>
      </c>
      <c r="L44" s="481">
        <v>33570</v>
      </c>
    </row>
    <row r="45" spans="1:14" x14ac:dyDescent="0.2">
      <c r="A45" s="1504" t="s">
        <v>815</v>
      </c>
      <c r="B45" s="614">
        <v>2220</v>
      </c>
      <c r="C45" s="466"/>
      <c r="D45" s="466"/>
      <c r="E45" s="466">
        <v>2066</v>
      </c>
      <c r="F45" s="466">
        <v>9706</v>
      </c>
      <c r="G45" s="466"/>
      <c r="H45" s="466">
        <v>1530</v>
      </c>
      <c r="I45" s="467"/>
      <c r="J45" s="467"/>
      <c r="K45" s="1672">
        <f>SUM(C45:J45)</f>
        <v>13302</v>
      </c>
      <c r="L45" s="466">
        <v>13471</v>
      </c>
    </row>
    <row r="46" spans="1:14" x14ac:dyDescent="0.2">
      <c r="A46" s="1504" t="s">
        <v>816</v>
      </c>
      <c r="B46" s="614">
        <v>2230</v>
      </c>
      <c r="C46" s="466"/>
      <c r="D46" s="466"/>
      <c r="E46" s="466">
        <v>4199</v>
      </c>
      <c r="F46" s="466"/>
      <c r="G46" s="466"/>
      <c r="H46" s="466"/>
      <c r="I46" s="467"/>
      <c r="J46" s="467"/>
      <c r="K46" s="1672">
        <f>SUM(C46:J46)</f>
        <v>4199</v>
      </c>
      <c r="L46" s="466">
        <v>4199</v>
      </c>
    </row>
    <row r="47" spans="1:14" ht="12.75" customHeight="1" thickBot="1" x14ac:dyDescent="0.25">
      <c r="A47" s="1668" t="s">
        <v>561</v>
      </c>
      <c r="B47" s="1669" t="s">
        <v>32</v>
      </c>
      <c r="C47" s="1670">
        <f>SUM(C44:C46)</f>
        <v>8855</v>
      </c>
      <c r="D47" s="1670">
        <f t="shared" ref="D47:K47" si="4">SUM(D44:D46)</f>
        <v>872</v>
      </c>
      <c r="E47" s="1670">
        <f t="shared" si="4"/>
        <v>25851</v>
      </c>
      <c r="F47" s="1670">
        <f t="shared" si="4"/>
        <v>10761</v>
      </c>
      <c r="G47" s="1670">
        <f t="shared" si="4"/>
        <v>0</v>
      </c>
      <c r="H47" s="1670">
        <f t="shared" si="4"/>
        <v>1530</v>
      </c>
      <c r="I47" s="1670">
        <f t="shared" si="4"/>
        <v>0</v>
      </c>
      <c r="J47" s="1670">
        <f t="shared" si="4"/>
        <v>0</v>
      </c>
      <c r="K47" s="1670">
        <f t="shared" si="4"/>
        <v>47869</v>
      </c>
      <c r="L47" s="1670">
        <f>SUM(L44:L46)</f>
        <v>51240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693</v>
      </c>
      <c r="F49" s="481"/>
      <c r="G49" s="481"/>
      <c r="H49" s="481">
        <v>39</v>
      </c>
      <c r="I49" s="467"/>
      <c r="J49" s="467"/>
      <c r="K49" s="1672">
        <f>SUM(C49:J49)</f>
        <v>732</v>
      </c>
      <c r="L49" s="481">
        <v>2560</v>
      </c>
    </row>
    <row r="50" spans="1:14" x14ac:dyDescent="0.2">
      <c r="A50" s="1504" t="s">
        <v>818</v>
      </c>
      <c r="B50" s="614">
        <v>2320</v>
      </c>
      <c r="C50" s="466">
        <v>23079</v>
      </c>
      <c r="D50" s="466">
        <v>644</v>
      </c>
      <c r="E50" s="466">
        <v>1111</v>
      </c>
      <c r="F50" s="466">
        <v>35</v>
      </c>
      <c r="G50" s="466"/>
      <c r="H50" s="466"/>
      <c r="I50" s="467"/>
      <c r="J50" s="467"/>
      <c r="K50" s="1672">
        <f>SUM(C50:J50)</f>
        <v>24869</v>
      </c>
      <c r="L50" s="466">
        <v>25470</v>
      </c>
    </row>
    <row r="51" spans="1:14" x14ac:dyDescent="0.2">
      <c r="A51" s="1504" t="s">
        <v>42</v>
      </c>
      <c r="B51" s="614">
        <v>2330</v>
      </c>
      <c r="C51" s="466"/>
      <c r="D51" s="466"/>
      <c r="E51" s="466">
        <v>500</v>
      </c>
      <c r="F51" s="466">
        <v>1541</v>
      </c>
      <c r="G51" s="466"/>
      <c r="H51" s="466"/>
      <c r="I51" s="467"/>
      <c r="J51" s="467"/>
      <c r="K51" s="1672">
        <f>SUM(C51:J51)</f>
        <v>2041</v>
      </c>
      <c r="L51" s="466">
        <v>2000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23079</v>
      </c>
      <c r="D53" s="1670">
        <f t="shared" ref="D53:L53" si="5">SUM(D49:D52)</f>
        <v>644</v>
      </c>
      <c r="E53" s="1670">
        <f t="shared" si="5"/>
        <v>2304</v>
      </c>
      <c r="F53" s="1670">
        <f t="shared" si="5"/>
        <v>1576</v>
      </c>
      <c r="G53" s="1670">
        <f t="shared" si="5"/>
        <v>0</v>
      </c>
      <c r="H53" s="1670">
        <f t="shared" si="5"/>
        <v>39</v>
      </c>
      <c r="I53" s="1670">
        <f t="shared" si="5"/>
        <v>0</v>
      </c>
      <c r="J53" s="1670">
        <f t="shared" si="5"/>
        <v>0</v>
      </c>
      <c r="K53" s="1670">
        <f t="shared" si="5"/>
        <v>27642</v>
      </c>
      <c r="L53" s="1670">
        <f t="shared" si="5"/>
        <v>30030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209727</v>
      </c>
      <c r="D55" s="481">
        <v>21257</v>
      </c>
      <c r="E55" s="481">
        <v>1238</v>
      </c>
      <c r="F55" s="481">
        <v>566</v>
      </c>
      <c r="G55" s="481"/>
      <c r="H55" s="481"/>
      <c r="I55" s="467"/>
      <c r="J55" s="467"/>
      <c r="K55" s="1672">
        <f>SUM(C55:J55)</f>
        <v>232788</v>
      </c>
      <c r="L55" s="481">
        <v>235250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209727</v>
      </c>
      <c r="D57" s="1674">
        <f t="shared" ref="D57:K57" si="6">SUM(D55:D56)</f>
        <v>21257</v>
      </c>
      <c r="E57" s="1674">
        <f t="shared" si="6"/>
        <v>1238</v>
      </c>
      <c r="F57" s="1674">
        <f t="shared" si="6"/>
        <v>566</v>
      </c>
      <c r="G57" s="1674">
        <f t="shared" si="6"/>
        <v>0</v>
      </c>
      <c r="H57" s="1674">
        <f t="shared" si="6"/>
        <v>0</v>
      </c>
      <c r="I57" s="1674">
        <f t="shared" si="6"/>
        <v>0</v>
      </c>
      <c r="J57" s="1674">
        <f t="shared" si="6"/>
        <v>0</v>
      </c>
      <c r="K57" s="1674">
        <f t="shared" si="6"/>
        <v>232788</v>
      </c>
      <c r="L57" s="1670">
        <f>SUM(L55:L56)</f>
        <v>235250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51197</v>
      </c>
      <c r="D60" s="466">
        <v>7090</v>
      </c>
      <c r="E60" s="466">
        <v>7479</v>
      </c>
      <c r="F60" s="466">
        <v>740</v>
      </c>
      <c r="G60" s="466"/>
      <c r="H60" s="466">
        <v>439</v>
      </c>
      <c r="I60" s="467"/>
      <c r="J60" s="467"/>
      <c r="K60" s="1672">
        <f t="shared" si="7"/>
        <v>66945</v>
      </c>
      <c r="L60" s="466">
        <v>67115</v>
      </c>
      <c r="M60" s="609"/>
      <c r="N60" s="609"/>
    </row>
    <row r="61" spans="1:14" s="343" customFormat="1" x14ac:dyDescent="0.2">
      <c r="A61" s="1504" t="s">
        <v>197</v>
      </c>
      <c r="B61" s="614">
        <v>2540</v>
      </c>
      <c r="C61" s="466"/>
      <c r="D61" s="466"/>
      <c r="E61" s="466">
        <v>13965</v>
      </c>
      <c r="F61" s="466">
        <v>48765</v>
      </c>
      <c r="G61" s="466"/>
      <c r="H61" s="466"/>
      <c r="I61" s="467"/>
      <c r="J61" s="467"/>
      <c r="K61" s="1672">
        <f t="shared" si="7"/>
        <v>62730</v>
      </c>
      <c r="L61" s="466">
        <v>63600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54570</v>
      </c>
      <c r="D63" s="466">
        <v>6180</v>
      </c>
      <c r="E63" s="466">
        <v>4415</v>
      </c>
      <c r="F63" s="466">
        <v>72256</v>
      </c>
      <c r="G63" s="466"/>
      <c r="H63" s="466">
        <v>960</v>
      </c>
      <c r="I63" s="467"/>
      <c r="J63" s="467"/>
      <c r="K63" s="1672">
        <f t="shared" si="7"/>
        <v>138381</v>
      </c>
      <c r="L63" s="466">
        <v>140298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105767</v>
      </c>
      <c r="D65" s="1670">
        <f t="shared" ref="D65:L65" si="8">SUM(D59:D64)</f>
        <v>13270</v>
      </c>
      <c r="E65" s="1670">
        <f t="shared" si="8"/>
        <v>25859</v>
      </c>
      <c r="F65" s="1670">
        <f t="shared" si="8"/>
        <v>121761</v>
      </c>
      <c r="G65" s="1670">
        <f t="shared" si="8"/>
        <v>0</v>
      </c>
      <c r="H65" s="1670">
        <f t="shared" si="8"/>
        <v>1399</v>
      </c>
      <c r="I65" s="1670">
        <f t="shared" si="8"/>
        <v>0</v>
      </c>
      <c r="J65" s="1670">
        <f t="shared" si="8"/>
        <v>0</v>
      </c>
      <c r="K65" s="1670">
        <f t="shared" si="8"/>
        <v>268056</v>
      </c>
      <c r="L65" s="1670">
        <f t="shared" si="8"/>
        <v>271013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992</v>
      </c>
      <c r="G73" s="573"/>
      <c r="H73" s="573"/>
      <c r="I73" s="531"/>
      <c r="J73" s="531"/>
      <c r="K73" s="1670">
        <f>SUM(C73:J73)</f>
        <v>992</v>
      </c>
      <c r="L73" s="576">
        <v>994</v>
      </c>
      <c r="M73" s="609"/>
      <c r="N73" s="609"/>
    </row>
    <row r="74" spans="1:14" ht="12.75" customHeight="1" thickTop="1" thickBot="1" x14ac:dyDescent="0.25">
      <c r="A74" s="1668" t="s">
        <v>811</v>
      </c>
      <c r="B74" s="1676">
        <v>2000</v>
      </c>
      <c r="C74" s="1677">
        <f>SUM(C42,C47,C53,C57,C65,C72,C73)</f>
        <v>406409</v>
      </c>
      <c r="D74" s="1677">
        <f t="shared" ref="D74:K74" si="10">SUM(D42,D47,D53,D57,D65,D72,D73)</f>
        <v>43884</v>
      </c>
      <c r="E74" s="1677">
        <f t="shared" si="10"/>
        <v>55252</v>
      </c>
      <c r="F74" s="1677">
        <f t="shared" si="10"/>
        <v>136418</v>
      </c>
      <c r="G74" s="1677">
        <f t="shared" si="10"/>
        <v>0</v>
      </c>
      <c r="H74" s="1677">
        <f t="shared" si="10"/>
        <v>3352</v>
      </c>
      <c r="I74" s="1677">
        <f t="shared" si="10"/>
        <v>0</v>
      </c>
      <c r="J74" s="1677">
        <f t="shared" si="10"/>
        <v>0</v>
      </c>
      <c r="K74" s="1677">
        <f t="shared" si="10"/>
        <v>645315</v>
      </c>
      <c r="L74" s="1677">
        <f>SUM(L42,L47,L53,L57,L65,L72,L73)</f>
        <v>657951</v>
      </c>
    </row>
    <row r="75" spans="1:14" s="259" customFormat="1" ht="15.75" customHeight="1" thickTop="1" thickBot="1" x14ac:dyDescent="0.25">
      <c r="A75" s="1610" t="s">
        <v>47</v>
      </c>
      <c r="B75" s="1611" t="s">
        <v>575</v>
      </c>
      <c r="C75" s="573">
        <v>25874</v>
      </c>
      <c r="D75" s="573">
        <v>58</v>
      </c>
      <c r="E75" s="573"/>
      <c r="F75" s="573"/>
      <c r="G75" s="573"/>
      <c r="H75" s="573"/>
      <c r="I75" s="531"/>
      <c r="J75" s="531"/>
      <c r="K75" s="1670">
        <f>SUM(C75:J75)</f>
        <v>25932</v>
      </c>
      <c r="L75" s="576">
        <v>27094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22817</v>
      </c>
      <c r="F79" s="616"/>
      <c r="G79" s="616"/>
      <c r="H79" s="466">
        <v>8570</v>
      </c>
      <c r="I79" s="477"/>
      <c r="J79" s="477"/>
      <c r="K79" s="1671">
        <f t="shared" si="11"/>
        <v>31387</v>
      </c>
      <c r="L79" s="466">
        <v>32200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1356</v>
      </c>
      <c r="I83" s="477"/>
      <c r="J83" s="477"/>
      <c r="K83" s="1671">
        <f t="shared" si="11"/>
        <v>1356</v>
      </c>
      <c r="L83" s="466"/>
    </row>
    <row r="84" spans="1:12" ht="13.5" thickBot="1" x14ac:dyDescent="0.25">
      <c r="A84" s="1668" t="s">
        <v>1485</v>
      </c>
      <c r="B84" s="1678">
        <v>4100</v>
      </c>
      <c r="C84" s="616"/>
      <c r="D84" s="616"/>
      <c r="E84" s="1670">
        <f>SUM(E78:E83)</f>
        <v>22817</v>
      </c>
      <c r="F84" s="616"/>
      <c r="G84" s="616"/>
      <c r="H84" s="1670">
        <f>SUM(H78:H83)</f>
        <v>9926</v>
      </c>
      <c r="I84" s="477"/>
      <c r="J84" s="477"/>
      <c r="K84" s="1670">
        <f>SUM(K78:K83)</f>
        <v>32743</v>
      </c>
      <c r="L84" s="1670">
        <f>SUM(L78:L83)</f>
        <v>32200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108342</v>
      </c>
      <c r="I86" s="477"/>
      <c r="J86" s="477"/>
      <c r="K86" s="1677">
        <f t="shared" ref="K86:K98" si="12">H86</f>
        <v>108342</v>
      </c>
      <c r="L86" s="530">
        <v>109000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108342</v>
      </c>
      <c r="I92" s="477"/>
      <c r="J92" s="477"/>
      <c r="K92" s="1677">
        <f t="shared" si="12"/>
        <v>108342</v>
      </c>
      <c r="L92" s="1670">
        <f>SUM(L85:L91)</f>
        <v>109000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22817</v>
      </c>
      <c r="F102" s="616"/>
      <c r="G102" s="616"/>
      <c r="H102" s="1677">
        <f>SUM(H84,H92,H100,H101)</f>
        <v>118268</v>
      </c>
      <c r="I102" s="477"/>
      <c r="J102" s="477"/>
      <c r="K102" s="1677">
        <f>SUM(K84,K92,K100,K101)</f>
        <v>141085</v>
      </c>
      <c r="L102" s="1677">
        <f>SUM(L84,L92,L100,L101)</f>
        <v>141200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1910074</v>
      </c>
      <c r="D114" s="1670">
        <f t="shared" ref="D114:K114" si="13">SUM(D33,D74,D75,D102,D112,D113)</f>
        <v>180048</v>
      </c>
      <c r="E114" s="1670">
        <f t="shared" si="13"/>
        <v>139161</v>
      </c>
      <c r="F114" s="1670">
        <f t="shared" si="13"/>
        <v>239576</v>
      </c>
      <c r="G114" s="1670">
        <f t="shared" si="13"/>
        <v>0</v>
      </c>
      <c r="H114" s="1670">
        <f>SUM(H33,H74,H75,H102,H112,H113)</f>
        <v>124490</v>
      </c>
      <c r="I114" s="1670">
        <f t="shared" si="13"/>
        <v>4193</v>
      </c>
      <c r="J114" s="1670">
        <f t="shared" si="13"/>
        <v>0</v>
      </c>
      <c r="K114" s="1670">
        <f t="shared" si="13"/>
        <v>2597542</v>
      </c>
      <c r="L114" s="1670">
        <f>SUM(L33,L74,L75,L102,L112,L113)</f>
        <v>2634455</v>
      </c>
    </row>
    <row r="115" spans="1:14" ht="13.5" thickTop="1" x14ac:dyDescent="0.2">
      <c r="A115" s="2185" t="s">
        <v>996</v>
      </c>
      <c r="B115" s="2186"/>
      <c r="C115" s="618"/>
      <c r="D115" s="618"/>
      <c r="E115" s="618"/>
      <c r="F115" s="618"/>
      <c r="G115" s="618"/>
      <c r="H115" s="618"/>
      <c r="I115" s="618"/>
      <c r="J115" s="618"/>
      <c r="K115" s="1684">
        <f>'Revenues 9-14'!C268-'Expenditures 15-22'!K114</f>
        <v>60736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109743</v>
      </c>
      <c r="D124" s="466">
        <v>6000</v>
      </c>
      <c r="E124" s="466">
        <v>20258</v>
      </c>
      <c r="F124" s="466">
        <v>24958</v>
      </c>
      <c r="G124" s="466"/>
      <c r="H124" s="466"/>
      <c r="I124" s="467">
        <v>4914</v>
      </c>
      <c r="J124" s="467"/>
      <c r="K124" s="1670">
        <f>SUM(C124:J124)</f>
        <v>165873</v>
      </c>
      <c r="L124" s="466">
        <v>171444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109743</v>
      </c>
      <c r="D127" s="1670">
        <f t="shared" ref="D127:L127" si="14">SUM(D122:D126)</f>
        <v>6000</v>
      </c>
      <c r="E127" s="1670">
        <f t="shared" si="14"/>
        <v>20258</v>
      </c>
      <c r="F127" s="1670">
        <f t="shared" si="14"/>
        <v>24958</v>
      </c>
      <c r="G127" s="1670">
        <f t="shared" si="14"/>
        <v>0</v>
      </c>
      <c r="H127" s="1670">
        <f t="shared" si="14"/>
        <v>0</v>
      </c>
      <c r="I127" s="1670">
        <f t="shared" si="14"/>
        <v>4914</v>
      </c>
      <c r="J127" s="1670">
        <f t="shared" si="14"/>
        <v>0</v>
      </c>
      <c r="K127" s="1670">
        <f t="shared" si="14"/>
        <v>165873</v>
      </c>
      <c r="L127" s="1670">
        <f t="shared" si="14"/>
        <v>171444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109743</v>
      </c>
      <c r="D129" s="1677">
        <f t="shared" ref="D129:L129" si="15">SUM(D120,D127,D128)</f>
        <v>6000</v>
      </c>
      <c r="E129" s="1677">
        <f t="shared" si="15"/>
        <v>20258</v>
      </c>
      <c r="F129" s="1677">
        <f t="shared" si="15"/>
        <v>24958</v>
      </c>
      <c r="G129" s="1677">
        <f t="shared" si="15"/>
        <v>0</v>
      </c>
      <c r="H129" s="1677">
        <f t="shared" si="15"/>
        <v>0</v>
      </c>
      <c r="I129" s="1677">
        <f t="shared" si="15"/>
        <v>4914</v>
      </c>
      <c r="J129" s="1677">
        <f t="shared" si="15"/>
        <v>0</v>
      </c>
      <c r="K129" s="1677">
        <f t="shared" si="15"/>
        <v>165873</v>
      </c>
      <c r="L129" s="1677">
        <f t="shared" si="15"/>
        <v>171444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109743</v>
      </c>
      <c r="D151" s="1670">
        <f t="shared" ref="D151:K151" si="16">SUM(D129,D130,D139,D149,D150)</f>
        <v>6000</v>
      </c>
      <c r="E151" s="1670">
        <f t="shared" si="16"/>
        <v>20258</v>
      </c>
      <c r="F151" s="1670">
        <f t="shared" si="16"/>
        <v>24958</v>
      </c>
      <c r="G151" s="1670">
        <f t="shared" si="16"/>
        <v>0</v>
      </c>
      <c r="H151" s="1670">
        <f t="shared" si="16"/>
        <v>0</v>
      </c>
      <c r="I151" s="1670">
        <f t="shared" si="16"/>
        <v>4914</v>
      </c>
      <c r="J151" s="1670">
        <f t="shared" si="16"/>
        <v>0</v>
      </c>
      <c r="K151" s="1670">
        <f t="shared" si="16"/>
        <v>165873</v>
      </c>
      <c r="L151" s="1670">
        <f>SUM(L129,L130,L139,L149,L150)</f>
        <v>171444</v>
      </c>
    </row>
    <row r="152" spans="1:14" ht="12.75" customHeight="1" thickTop="1" x14ac:dyDescent="0.2">
      <c r="A152" s="2178" t="s">
        <v>1178</v>
      </c>
      <c r="B152" s="2179"/>
      <c r="C152" s="618"/>
      <c r="D152" s="618"/>
      <c r="E152" s="618"/>
      <c r="F152" s="618"/>
      <c r="G152" s="618"/>
      <c r="H152" s="618"/>
      <c r="I152" s="618"/>
      <c r="J152" s="616"/>
      <c r="K152" s="1684">
        <f>'Revenues 9-14'!D268-'Expenditures 15-22'!K151</f>
        <v>7473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22580</v>
      </c>
      <c r="I169" s="616"/>
      <c r="J169" s="616"/>
      <c r="K169" s="1671">
        <f>SUM(C169:H169)</f>
        <v>22580</v>
      </c>
      <c r="L169" s="656">
        <v>22580</v>
      </c>
    </row>
    <row r="170" spans="1:14" ht="33.75" customHeight="1" x14ac:dyDescent="0.2">
      <c r="A170" s="669" t="s">
        <v>1670</v>
      </c>
      <c r="B170" s="671" t="s">
        <v>31</v>
      </c>
      <c r="C170" s="616"/>
      <c r="D170" s="616"/>
      <c r="E170" s="616"/>
      <c r="F170" s="616"/>
      <c r="G170" s="616"/>
      <c r="H170" s="569">
        <v>65000</v>
      </c>
      <c r="I170" s="616"/>
      <c r="J170" s="616"/>
      <c r="K170" s="1671">
        <f>SUM(C170:J170)</f>
        <v>65000</v>
      </c>
      <c r="L170" s="569">
        <v>65000</v>
      </c>
    </row>
    <row r="171" spans="1:14" ht="15.75" customHeight="1" x14ac:dyDescent="0.2">
      <c r="A171" s="621" t="s">
        <v>766</v>
      </c>
      <c r="B171" s="672" t="s">
        <v>84</v>
      </c>
      <c r="C171" s="616"/>
      <c r="D171" s="616"/>
      <c r="E171" s="466"/>
      <c r="F171" s="616"/>
      <c r="G171" s="616"/>
      <c r="H171" s="569">
        <v>200</v>
      </c>
      <c r="I171" s="477"/>
      <c r="J171" s="616"/>
      <c r="K171" s="1671">
        <f>SUM(C171:J171)</f>
        <v>200</v>
      </c>
      <c r="L171" s="569">
        <v>200</v>
      </c>
    </row>
    <row r="172" spans="1:14" ht="12.75" customHeight="1" thickBot="1" x14ac:dyDescent="0.25">
      <c r="A172" s="1668" t="s">
        <v>638</v>
      </c>
      <c r="B172" s="1669" t="s">
        <v>492</v>
      </c>
      <c r="C172" s="616"/>
      <c r="D172" s="616"/>
      <c r="E172" s="1677">
        <f>SUM(E168,E169,E170,E171)</f>
        <v>0</v>
      </c>
      <c r="F172" s="616"/>
      <c r="G172" s="616"/>
      <c r="H172" s="1677">
        <f>SUM(H168,H169,H170,H171)</f>
        <v>87780</v>
      </c>
      <c r="I172" s="638"/>
      <c r="J172" s="616"/>
      <c r="K172" s="1677">
        <f>SUM(K168,K169,K170,K171)</f>
        <v>87780</v>
      </c>
      <c r="L172" s="1677">
        <f>SUM(L168,L169,L170,L171)</f>
        <v>87780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87780</v>
      </c>
      <c r="I174" s="638"/>
      <c r="J174" s="616"/>
      <c r="K174" s="1677">
        <f>SUM(K160,K172,K173)</f>
        <v>87780</v>
      </c>
      <c r="L174" s="1677">
        <f>SUM(L160,L172,L173)</f>
        <v>87780</v>
      </c>
    </row>
    <row r="175" spans="1:14" ht="13.5" thickTop="1" x14ac:dyDescent="0.2">
      <c r="A175" s="2185" t="s">
        <v>996</v>
      </c>
      <c r="B175" s="2186"/>
      <c r="C175" s="616"/>
      <c r="D175" s="616"/>
      <c r="E175" s="616"/>
      <c r="F175" s="616"/>
      <c r="G175" s="616"/>
      <c r="H175" s="618"/>
      <c r="I175" s="616"/>
      <c r="J175" s="616"/>
      <c r="K175" s="1684">
        <f>'Revenues 9-14'!E268-'Expenditures 15-22'!K174</f>
        <v>-2569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85940</v>
      </c>
      <c r="D182" s="466">
        <v>677</v>
      </c>
      <c r="E182" s="466">
        <v>5577</v>
      </c>
      <c r="F182" s="466">
        <v>21889</v>
      </c>
      <c r="G182" s="466">
        <v>95138</v>
      </c>
      <c r="H182" s="466">
        <v>677</v>
      </c>
      <c r="I182" s="467"/>
      <c r="J182" s="467"/>
      <c r="K182" s="1671">
        <f>SUM(C182:J182)</f>
        <v>209898</v>
      </c>
      <c r="L182" s="466">
        <v>140325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85940</v>
      </c>
      <c r="D184" s="1677">
        <f t="shared" ref="D184:J184" si="17">SUM(D180,D182,D183)</f>
        <v>677</v>
      </c>
      <c r="E184" s="1677">
        <f t="shared" si="17"/>
        <v>5577</v>
      </c>
      <c r="F184" s="1677">
        <f t="shared" si="17"/>
        <v>21889</v>
      </c>
      <c r="G184" s="1677">
        <f t="shared" si="17"/>
        <v>95138</v>
      </c>
      <c r="H184" s="1677">
        <f t="shared" si="17"/>
        <v>677</v>
      </c>
      <c r="I184" s="1677">
        <f t="shared" si="17"/>
        <v>0</v>
      </c>
      <c r="J184" s="1677">
        <f t="shared" si="17"/>
        <v>0</v>
      </c>
      <c r="K184" s="1677">
        <f>SUM(K180,K182,K183)</f>
        <v>209898</v>
      </c>
      <c r="L184" s="1677">
        <f>SUM(L180, L182:L183)</f>
        <v>140325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3272</v>
      </c>
      <c r="I205" s="616"/>
      <c r="J205" s="616"/>
      <c r="K205" s="1685">
        <f>SUM(H205)</f>
        <v>3272</v>
      </c>
      <c r="L205" s="535">
        <v>1520</v>
      </c>
    </row>
    <row r="206" spans="1:14" ht="30" customHeight="1" x14ac:dyDescent="0.2">
      <c r="A206" s="681" t="s">
        <v>1671</v>
      </c>
      <c r="B206" s="672" t="s">
        <v>31</v>
      </c>
      <c r="C206" s="616"/>
      <c r="D206" s="616"/>
      <c r="E206" s="616"/>
      <c r="F206" s="616"/>
      <c r="G206" s="616"/>
      <c r="H206" s="466">
        <v>27249</v>
      </c>
      <c r="I206" s="616"/>
      <c r="J206" s="616"/>
      <c r="K206" s="1671">
        <f>SUM(H206)</f>
        <v>27249</v>
      </c>
      <c r="L206" s="466">
        <v>17500</v>
      </c>
    </row>
    <row r="207" spans="1:14" ht="15.75" customHeight="1" x14ac:dyDescent="0.2">
      <c r="A207" s="621" t="s">
        <v>766</v>
      </c>
      <c r="B207" s="672" t="s">
        <v>84</v>
      </c>
      <c r="C207" s="616"/>
      <c r="D207" s="616"/>
      <c r="E207" s="616"/>
      <c r="F207" s="616"/>
      <c r="G207" s="616"/>
      <c r="H207" s="467">
        <v>12181</v>
      </c>
      <c r="I207" s="616"/>
      <c r="J207" s="616"/>
      <c r="K207" s="1671">
        <f>H207</f>
        <v>12181</v>
      </c>
      <c r="L207" s="466"/>
    </row>
    <row r="208" spans="1:14" ht="12.75" customHeight="1" thickBot="1" x14ac:dyDescent="0.25">
      <c r="A208" s="1686" t="s">
        <v>638</v>
      </c>
      <c r="B208" s="1687" t="s">
        <v>492</v>
      </c>
      <c r="C208" s="616"/>
      <c r="D208" s="616"/>
      <c r="E208" s="616"/>
      <c r="F208" s="616"/>
      <c r="G208" s="616"/>
      <c r="H208" s="1677">
        <f>SUM(H204,H205,H206,H207)</f>
        <v>42702</v>
      </c>
      <c r="I208" s="616"/>
      <c r="J208" s="616"/>
      <c r="K208" s="1677">
        <f>SUM(K204,K205,K206,K207)</f>
        <v>42702</v>
      </c>
      <c r="L208" s="1677">
        <f>SUM(L204,L205,L206,L207)</f>
        <v>19020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85940</v>
      </c>
      <c r="D210" s="1670">
        <f>SUM(D184,D185)</f>
        <v>677</v>
      </c>
      <c r="E210" s="1670">
        <f>SUM(E184,E185,E196)</f>
        <v>5577</v>
      </c>
      <c r="F210" s="1670">
        <f>SUM(F184,F185)</f>
        <v>21889</v>
      </c>
      <c r="G210" s="1670">
        <f>SUM(G184,G185)</f>
        <v>95138</v>
      </c>
      <c r="H210" s="1670">
        <f>SUM(H184,H185,H196,H208,H209)</f>
        <v>43379</v>
      </c>
      <c r="I210" s="1670">
        <f>SUM(I184,I185)</f>
        <v>0</v>
      </c>
      <c r="J210" s="1670">
        <f>SUM(J184,J185)</f>
        <v>0</v>
      </c>
      <c r="K210" s="1671">
        <f>SUM(K184,K185,K196,K208,K209)</f>
        <v>252600</v>
      </c>
      <c r="L210" s="1670">
        <f>SUM(L184,L185,L196,L208,L209)</f>
        <v>159345</v>
      </c>
    </row>
    <row r="211" spans="1:14" ht="13.5" thickTop="1" x14ac:dyDescent="0.2">
      <c r="A211" s="2185" t="s">
        <v>996</v>
      </c>
      <c r="B211" s="2186"/>
      <c r="C211" s="618"/>
      <c r="D211" s="618"/>
      <c r="E211" s="618"/>
      <c r="F211" s="618"/>
      <c r="G211" s="618"/>
      <c r="H211" s="618"/>
      <c r="I211" s="616"/>
      <c r="J211" s="616"/>
      <c r="K211" s="1684">
        <f>'Revenues 9-14'!F268-'Expenditures 15-22'!K210</f>
        <v>-92917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16628</v>
      </c>
      <c r="E215" s="616"/>
      <c r="F215" s="616"/>
      <c r="G215" s="616"/>
      <c r="H215" s="616"/>
      <c r="I215" s="616"/>
      <c r="J215" s="616"/>
      <c r="K215" s="1671">
        <f>D215</f>
        <v>16628</v>
      </c>
      <c r="L215" s="466">
        <v>20861</v>
      </c>
    </row>
    <row r="216" spans="1:14" x14ac:dyDescent="0.2">
      <c r="A216" s="1504" t="s">
        <v>163</v>
      </c>
      <c r="B216" s="614" t="s">
        <v>967</v>
      </c>
      <c r="C216" s="616"/>
      <c r="D216" s="467">
        <v>2318</v>
      </c>
      <c r="E216" s="616"/>
      <c r="F216" s="616"/>
      <c r="G216" s="616"/>
      <c r="H216" s="616"/>
      <c r="I216" s="616"/>
      <c r="J216" s="616"/>
      <c r="K216" s="1671">
        <f t="shared" ref="K216:K228" si="19">D216</f>
        <v>2318</v>
      </c>
      <c r="L216" s="466"/>
    </row>
    <row r="217" spans="1:14" x14ac:dyDescent="0.2">
      <c r="A217" s="1504" t="s">
        <v>164</v>
      </c>
      <c r="B217" s="614">
        <v>1200</v>
      </c>
      <c r="C217" s="616"/>
      <c r="D217" s="466">
        <v>22429</v>
      </c>
      <c r="E217" s="616"/>
      <c r="F217" s="616"/>
      <c r="G217" s="616"/>
      <c r="H217" s="616"/>
      <c r="I217" s="616"/>
      <c r="J217" s="616"/>
      <c r="K217" s="1671">
        <f t="shared" si="19"/>
        <v>22429</v>
      </c>
      <c r="L217" s="466">
        <v>18875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5551</v>
      </c>
      <c r="E219" s="616"/>
      <c r="F219" s="616"/>
      <c r="G219" s="616"/>
      <c r="H219" s="616"/>
      <c r="I219" s="616"/>
      <c r="J219" s="616"/>
      <c r="K219" s="1671">
        <f t="shared" si="19"/>
        <v>5551</v>
      </c>
      <c r="L219" s="466">
        <v>4810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589</v>
      </c>
      <c r="E222" s="616"/>
      <c r="F222" s="616"/>
      <c r="G222" s="616"/>
      <c r="H222" s="616"/>
      <c r="I222" s="616"/>
      <c r="J222" s="616"/>
      <c r="K222" s="1671">
        <f t="shared" si="19"/>
        <v>589</v>
      </c>
      <c r="L222" s="466">
        <v>530</v>
      </c>
    </row>
    <row r="223" spans="1:14" x14ac:dyDescent="0.2">
      <c r="A223" s="1504" t="s">
        <v>963</v>
      </c>
      <c r="B223" s="614">
        <v>1500</v>
      </c>
      <c r="C223" s="616"/>
      <c r="D223" s="466">
        <v>1797</v>
      </c>
      <c r="E223" s="616"/>
      <c r="F223" s="616"/>
      <c r="G223" s="616"/>
      <c r="H223" s="616"/>
      <c r="I223" s="616"/>
      <c r="J223" s="616"/>
      <c r="K223" s="1671">
        <f t="shared" si="19"/>
        <v>1797</v>
      </c>
      <c r="L223" s="466">
        <v>2500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68</v>
      </c>
      <c r="E226" s="616"/>
      <c r="F226" s="616"/>
      <c r="G226" s="616"/>
      <c r="H226" s="616"/>
      <c r="I226" s="616"/>
      <c r="J226" s="616"/>
      <c r="K226" s="1671">
        <f t="shared" si="19"/>
        <v>68</v>
      </c>
      <c r="L226" s="466">
        <v>100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49380</v>
      </c>
      <c r="E229" s="616"/>
      <c r="F229" s="616"/>
      <c r="G229" s="616"/>
      <c r="H229" s="616"/>
      <c r="I229" s="616"/>
      <c r="J229" s="616"/>
      <c r="K229" s="1670">
        <f>SUM(K215:K228)</f>
        <v>49380</v>
      </c>
      <c r="L229" s="1670">
        <f>SUM(L215:L228)</f>
        <v>47676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569</v>
      </c>
      <c r="E233" s="616"/>
      <c r="F233" s="616"/>
      <c r="G233" s="616"/>
      <c r="H233" s="616"/>
      <c r="I233" s="616"/>
      <c r="J233" s="616"/>
      <c r="K233" s="1671">
        <f t="shared" si="20"/>
        <v>569</v>
      </c>
      <c r="L233" s="466">
        <v>550</v>
      </c>
    </row>
    <row r="234" spans="1:12" x14ac:dyDescent="0.2">
      <c r="A234" s="1504" t="s">
        <v>198</v>
      </c>
      <c r="B234" s="614">
        <v>2130</v>
      </c>
      <c r="C234" s="616"/>
      <c r="D234" s="466">
        <v>304</v>
      </c>
      <c r="E234" s="616"/>
      <c r="F234" s="616"/>
      <c r="G234" s="616"/>
      <c r="H234" s="616"/>
      <c r="I234" s="616"/>
      <c r="J234" s="616"/>
      <c r="K234" s="1671">
        <f t="shared" si="20"/>
        <v>304</v>
      </c>
      <c r="L234" s="466">
        <v>2500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221</v>
      </c>
      <c r="E237" s="616"/>
      <c r="F237" s="616"/>
      <c r="G237" s="616"/>
      <c r="H237" s="616"/>
      <c r="I237" s="616"/>
      <c r="J237" s="616"/>
      <c r="K237" s="1671">
        <f t="shared" si="20"/>
        <v>221</v>
      </c>
      <c r="L237" s="466">
        <v>500</v>
      </c>
    </row>
    <row r="238" spans="1:12" ht="12.75" customHeight="1" thickBot="1" x14ac:dyDescent="0.25">
      <c r="A238" s="1668" t="s">
        <v>560</v>
      </c>
      <c r="B238" s="1675" t="s">
        <v>716</v>
      </c>
      <c r="C238" s="616"/>
      <c r="D238" s="1670">
        <f>SUM(D232:D237)</f>
        <v>1094</v>
      </c>
      <c r="E238" s="616"/>
      <c r="F238" s="616"/>
      <c r="G238" s="616"/>
      <c r="H238" s="616"/>
      <c r="I238" s="616"/>
      <c r="J238" s="616"/>
      <c r="K238" s="1670">
        <f>SUM(K232:K237)</f>
        <v>1094</v>
      </c>
      <c r="L238" s="1670">
        <f>SUM(L232:L237)</f>
        <v>3550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266</v>
      </c>
      <c r="E240" s="616"/>
      <c r="F240" s="616"/>
      <c r="G240" s="616"/>
      <c r="H240" s="616"/>
      <c r="I240" s="616"/>
      <c r="J240" s="616"/>
      <c r="K240" s="1672">
        <f>D240</f>
        <v>266</v>
      </c>
      <c r="L240" s="481">
        <v>100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266</v>
      </c>
      <c r="E243" s="616"/>
      <c r="F243" s="616"/>
      <c r="G243" s="616"/>
      <c r="H243" s="616"/>
      <c r="I243" s="616"/>
      <c r="J243" s="616"/>
      <c r="K243" s="1670">
        <f>SUM(K240:K242)</f>
        <v>266</v>
      </c>
      <c r="L243" s="1670">
        <f>SUM(L240:L242)</f>
        <v>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334</v>
      </c>
      <c r="E246" s="616"/>
      <c r="F246" s="616"/>
      <c r="G246" s="616"/>
      <c r="H246" s="616"/>
      <c r="I246" s="616"/>
      <c r="J246" s="616"/>
      <c r="K246" s="1672">
        <f t="shared" ref="K246:K256" si="21">D246</f>
        <v>334</v>
      </c>
      <c r="L246" s="466">
        <v>350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9170</v>
      </c>
      <c r="E252" s="616"/>
      <c r="F252" s="616"/>
      <c r="G252" s="616"/>
      <c r="H252" s="616"/>
      <c r="I252" s="616"/>
      <c r="J252" s="616"/>
      <c r="K252" s="1672">
        <f t="shared" si="21"/>
        <v>9170</v>
      </c>
      <c r="L252" s="466">
        <v>5950</v>
      </c>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9504</v>
      </c>
      <c r="E257" s="616"/>
      <c r="F257" s="616"/>
      <c r="G257" s="616"/>
      <c r="H257" s="616"/>
      <c r="I257" s="616"/>
      <c r="J257" s="616"/>
      <c r="K257" s="1670">
        <f>SUM(K245:K256)</f>
        <v>9504</v>
      </c>
      <c r="L257" s="1670">
        <f>SUM(L245:L256)</f>
        <v>6300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12368</v>
      </c>
      <c r="E259" s="616"/>
      <c r="F259" s="616"/>
      <c r="G259" s="616"/>
      <c r="H259" s="616"/>
      <c r="I259" s="616"/>
      <c r="J259" s="616"/>
      <c r="K259" s="1672">
        <f>D259</f>
        <v>12368</v>
      </c>
      <c r="L259" s="481">
        <v>12500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12368</v>
      </c>
      <c r="E261" s="616"/>
      <c r="F261" s="616"/>
      <c r="G261" s="616"/>
      <c r="H261" s="616"/>
      <c r="I261" s="616"/>
      <c r="J261" s="616"/>
      <c r="K261" s="1670">
        <f>SUM(K259:K260)</f>
        <v>12368</v>
      </c>
      <c r="L261" s="1670">
        <f>SUM(L259:L260)</f>
        <v>12500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7793</v>
      </c>
      <c r="E264" s="616"/>
      <c r="F264" s="616"/>
      <c r="G264" s="616"/>
      <c r="H264" s="616"/>
      <c r="I264" s="616"/>
      <c r="J264" s="616"/>
      <c r="K264" s="1672">
        <f t="shared" ref="K264:K269" si="22">D264</f>
        <v>7793</v>
      </c>
      <c r="L264" s="466">
        <v>7500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17346</v>
      </c>
      <c r="E266" s="616"/>
      <c r="F266" s="616"/>
      <c r="G266" s="616"/>
      <c r="H266" s="616"/>
      <c r="I266" s="616"/>
      <c r="J266" s="616"/>
      <c r="K266" s="1672">
        <f t="shared" si="22"/>
        <v>17346</v>
      </c>
      <c r="L266" s="466">
        <v>19525</v>
      </c>
    </row>
    <row r="267" spans="1:14" x14ac:dyDescent="0.2">
      <c r="A267" s="1504" t="s">
        <v>953</v>
      </c>
      <c r="B267" s="614">
        <v>2550</v>
      </c>
      <c r="C267" s="616"/>
      <c r="D267" s="466">
        <v>11638</v>
      </c>
      <c r="E267" s="616"/>
      <c r="F267" s="616"/>
      <c r="G267" s="616"/>
      <c r="H267" s="616"/>
      <c r="I267" s="616"/>
      <c r="J267" s="616"/>
      <c r="K267" s="1672">
        <f t="shared" si="22"/>
        <v>11638</v>
      </c>
      <c r="L267" s="466">
        <v>13910</v>
      </c>
    </row>
    <row r="268" spans="1:14" x14ac:dyDescent="0.2">
      <c r="A268" s="1504" t="s">
        <v>100</v>
      </c>
      <c r="B268" s="614">
        <v>2560</v>
      </c>
      <c r="C268" s="616"/>
      <c r="D268" s="466">
        <v>8500</v>
      </c>
      <c r="E268" s="616"/>
      <c r="F268" s="616"/>
      <c r="G268" s="616"/>
      <c r="H268" s="616"/>
      <c r="I268" s="616"/>
      <c r="J268" s="616"/>
      <c r="K268" s="1672">
        <f t="shared" si="22"/>
        <v>8500</v>
      </c>
      <c r="L268" s="466">
        <v>7500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45277</v>
      </c>
      <c r="E270" s="616"/>
      <c r="F270" s="616"/>
      <c r="G270" s="616"/>
      <c r="H270" s="616"/>
      <c r="I270" s="616"/>
      <c r="J270" s="616"/>
      <c r="K270" s="1670">
        <f>SUM(K263:K269)</f>
        <v>45277</v>
      </c>
      <c r="L270" s="1670">
        <f>SUM(L263:L269)</f>
        <v>48435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v>100</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100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68509</v>
      </c>
      <c r="E279" s="616"/>
      <c r="F279" s="616"/>
      <c r="G279" s="616"/>
      <c r="H279" s="616"/>
      <c r="I279" s="616"/>
      <c r="J279" s="616"/>
      <c r="K279" s="1677">
        <f>SUM(K238,K243,K257,K261,K270,K277,K278)</f>
        <v>68509</v>
      </c>
      <c r="L279" s="1677">
        <f>SUM(L238,L243,L257,L261,L270,L277,L278)</f>
        <v>70985</v>
      </c>
    </row>
    <row r="280" spans="1:12" ht="15.75" customHeight="1" thickTop="1" thickBot="1" x14ac:dyDescent="0.25">
      <c r="A280" s="1624" t="s">
        <v>875</v>
      </c>
      <c r="B280" s="1613">
        <v>3000</v>
      </c>
      <c r="C280" s="616"/>
      <c r="D280" s="576">
        <v>4272</v>
      </c>
      <c r="E280" s="616"/>
      <c r="F280" s="616"/>
      <c r="G280" s="616"/>
      <c r="H280" s="616"/>
      <c r="I280" s="616"/>
      <c r="J280" s="616"/>
      <c r="K280" s="1679">
        <f>D280</f>
        <v>4272</v>
      </c>
      <c r="L280" s="576">
        <v>3500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122161</v>
      </c>
      <c r="E295" s="616"/>
      <c r="F295" s="616"/>
      <c r="G295" s="616"/>
      <c r="H295" s="1670">
        <f>H293</f>
        <v>0</v>
      </c>
      <c r="I295" s="616"/>
      <c r="J295" s="616"/>
      <c r="K295" s="1670">
        <f>SUM(K229,K279,K280,K285,K293,K294)</f>
        <v>122161</v>
      </c>
      <c r="L295" s="1670">
        <f>SUM(L229,L279,L280,L285,L293,L294)</f>
        <v>122161</v>
      </c>
    </row>
    <row r="296" spans="1:14" ht="13.5" thickTop="1" x14ac:dyDescent="0.2">
      <c r="A296" s="2185" t="s">
        <v>996</v>
      </c>
      <c r="B296" s="2186"/>
      <c r="C296" s="616"/>
      <c r="D296" s="618"/>
      <c r="E296" s="616"/>
      <c r="F296" s="616"/>
      <c r="G296" s="616"/>
      <c r="H296" s="687"/>
      <c r="I296" s="616"/>
      <c r="J296" s="616"/>
      <c r="K296" s="1684">
        <f>'Revenues 9-14'!G268-'Expenditures 15-22'!K295</f>
        <v>-55948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19084</v>
      </c>
      <c r="F301" s="466"/>
      <c r="G301" s="466"/>
      <c r="H301" s="466">
        <v>350</v>
      </c>
      <c r="I301" s="467"/>
      <c r="J301" s="467"/>
      <c r="K301" s="1671">
        <f>SUM(C301:J301)</f>
        <v>19434</v>
      </c>
      <c r="L301" s="467">
        <v>19129</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19084</v>
      </c>
      <c r="F303" s="1677">
        <f t="shared" si="23"/>
        <v>0</v>
      </c>
      <c r="G303" s="1677">
        <f t="shared" si="23"/>
        <v>0</v>
      </c>
      <c r="H303" s="1677">
        <f t="shared" si="23"/>
        <v>350</v>
      </c>
      <c r="I303" s="1677">
        <f t="shared" si="23"/>
        <v>0</v>
      </c>
      <c r="J303" s="1677">
        <f t="shared" si="23"/>
        <v>0</v>
      </c>
      <c r="K303" s="1677">
        <f t="shared" si="23"/>
        <v>19434</v>
      </c>
      <c r="L303" s="1677">
        <f t="shared" si="23"/>
        <v>19129</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v>32658</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32658</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19084</v>
      </c>
      <c r="F312" s="1670">
        <f>SUM(F303)</f>
        <v>0</v>
      </c>
      <c r="G312" s="1670">
        <f>SUM(G303)</f>
        <v>0</v>
      </c>
      <c r="H312" s="1670">
        <f>SUM(H303,H310)</f>
        <v>350</v>
      </c>
      <c r="I312" s="1670">
        <f>SUM(I303)</f>
        <v>0</v>
      </c>
      <c r="J312" s="1670">
        <f>SUM(J303)</f>
        <v>0</v>
      </c>
      <c r="K312" s="1670">
        <f>SUM(K303,K310,K311)</f>
        <v>19434</v>
      </c>
      <c r="L312" s="1670">
        <f>SUM(L303,L310,L311)</f>
        <v>51787</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120815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14839</v>
      </c>
      <c r="F320" s="467"/>
      <c r="G320" s="467"/>
      <c r="H320" s="467"/>
      <c r="I320" s="467"/>
      <c r="J320" s="467"/>
      <c r="K320" s="1671">
        <f t="shared" ref="K320:K327" si="24">SUM(C320:J320)</f>
        <v>14839</v>
      </c>
      <c r="L320" s="467">
        <v>14839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3453</v>
      </c>
      <c r="F322" s="467"/>
      <c r="G322" s="467"/>
      <c r="H322" s="467"/>
      <c r="I322" s="467"/>
      <c r="J322" s="467"/>
      <c r="K322" s="1671">
        <f t="shared" si="24"/>
        <v>3453</v>
      </c>
      <c r="L322" s="467">
        <v>3453</v>
      </c>
      <c r="M322" s="665"/>
      <c r="N322" s="665"/>
    </row>
    <row r="323" spans="1:14" s="674" customFormat="1" x14ac:dyDescent="0.2">
      <c r="A323" s="1519" t="s">
        <v>702</v>
      </c>
      <c r="B323" s="697" t="s">
        <v>285</v>
      </c>
      <c r="C323" s="467">
        <v>100290</v>
      </c>
      <c r="D323" s="467">
        <v>8610</v>
      </c>
      <c r="E323" s="467">
        <v>54418</v>
      </c>
      <c r="F323" s="467"/>
      <c r="G323" s="467"/>
      <c r="H323" s="467"/>
      <c r="I323" s="467"/>
      <c r="J323" s="467"/>
      <c r="K323" s="1671">
        <f t="shared" si="24"/>
        <v>163318</v>
      </c>
      <c r="L323" s="467">
        <v>163924</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980</v>
      </c>
      <c r="F325" s="467"/>
      <c r="G325" s="467"/>
      <c r="H325" s="467"/>
      <c r="I325" s="467"/>
      <c r="J325" s="467"/>
      <c r="K325" s="1671">
        <f t="shared" si="24"/>
        <v>980</v>
      </c>
      <c r="L325" s="467">
        <v>1000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14578</v>
      </c>
      <c r="F327" s="467"/>
      <c r="G327" s="467"/>
      <c r="H327" s="467"/>
      <c r="I327" s="467"/>
      <c r="J327" s="467"/>
      <c r="K327" s="1671">
        <f t="shared" si="24"/>
        <v>14578</v>
      </c>
      <c r="L327" s="467">
        <v>14600</v>
      </c>
      <c r="M327" s="665"/>
      <c r="N327" s="665"/>
    </row>
    <row r="328" spans="1:14" s="674" customFormat="1" x14ac:dyDescent="0.2">
      <c r="A328" s="1520" t="s">
        <v>472</v>
      </c>
      <c r="B328" s="690" t="s">
        <v>1132</v>
      </c>
      <c r="C328" s="474"/>
      <c r="D328" s="474"/>
      <c r="E328" s="474">
        <v>23004</v>
      </c>
      <c r="F328" s="474"/>
      <c r="G328" s="474"/>
      <c r="H328" s="474"/>
      <c r="I328" s="474"/>
      <c r="J328" s="474"/>
      <c r="K328" s="1699">
        <f>SUM(C328:J328)</f>
        <v>23004</v>
      </c>
      <c r="L328" s="474">
        <v>23004</v>
      </c>
      <c r="M328" s="665"/>
      <c r="N328" s="665"/>
    </row>
    <row r="329" spans="1:14" s="674" customFormat="1" x14ac:dyDescent="0.2">
      <c r="A329" s="1520" t="s">
        <v>1133</v>
      </c>
      <c r="B329" s="690" t="s">
        <v>1134</v>
      </c>
      <c r="C329" s="474"/>
      <c r="D329" s="474"/>
      <c r="E329" s="474">
        <v>4295</v>
      </c>
      <c r="F329" s="474"/>
      <c r="G329" s="474"/>
      <c r="H329" s="474"/>
      <c r="I329" s="474"/>
      <c r="J329" s="474"/>
      <c r="K329" s="1699">
        <f>SUM(C329:J329)</f>
        <v>4295</v>
      </c>
      <c r="L329" s="474">
        <v>4295</v>
      </c>
      <c r="M329" s="665"/>
      <c r="N329" s="665"/>
    </row>
    <row r="330" spans="1:14" s="674" customFormat="1" ht="12.75" customHeight="1" thickBot="1" x14ac:dyDescent="0.25">
      <c r="A330" s="1700" t="s">
        <v>717</v>
      </c>
      <c r="B330" s="1669" t="s">
        <v>569</v>
      </c>
      <c r="C330" s="1670">
        <f>SUM(C319:C329)</f>
        <v>100290</v>
      </c>
      <c r="D330" s="1670">
        <f t="shared" ref="D330:J330" si="25">SUM(D319:D329)</f>
        <v>8610</v>
      </c>
      <c r="E330" s="1670">
        <f t="shared" si="25"/>
        <v>115567</v>
      </c>
      <c r="F330" s="1670">
        <f t="shared" si="25"/>
        <v>0</v>
      </c>
      <c r="G330" s="1670">
        <f t="shared" si="25"/>
        <v>0</v>
      </c>
      <c r="H330" s="1670">
        <f t="shared" si="25"/>
        <v>0</v>
      </c>
      <c r="I330" s="1670">
        <f t="shared" si="25"/>
        <v>0</v>
      </c>
      <c r="J330" s="1670">
        <f t="shared" si="25"/>
        <v>0</v>
      </c>
      <c r="K330" s="1670">
        <f>SUM(K319:K329)</f>
        <v>224467</v>
      </c>
      <c r="L330" s="1670">
        <f>SUM(L319:L329)</f>
        <v>225115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100290</v>
      </c>
      <c r="D342" s="1670">
        <f>SUM(D330)</f>
        <v>8610</v>
      </c>
      <c r="E342" s="1670">
        <f>SUM(E330)</f>
        <v>115567</v>
      </c>
      <c r="F342" s="1670">
        <f>SUM(F330)</f>
        <v>0</v>
      </c>
      <c r="G342" s="1670">
        <f>SUM(G330)</f>
        <v>0</v>
      </c>
      <c r="H342" s="1670">
        <f>SUM(H330,H334,H340)</f>
        <v>0</v>
      </c>
      <c r="I342" s="1670">
        <f>SUM(I330)</f>
        <v>0</v>
      </c>
      <c r="J342" s="1670">
        <f>SUM(J330)</f>
        <v>0</v>
      </c>
      <c r="K342" s="1670">
        <f>SUM(K330,K334,K340)</f>
        <v>224467</v>
      </c>
      <c r="L342" s="1677">
        <f>SUM(L330,L334,L340,L341)</f>
        <v>225115</v>
      </c>
    </row>
    <row r="343" spans="1:14" ht="12.75" customHeight="1" thickTop="1" x14ac:dyDescent="0.2">
      <c r="A343" s="2171" t="s">
        <v>996</v>
      </c>
      <c r="B343" s="2172"/>
      <c r="C343" s="616"/>
      <c r="D343" s="616"/>
      <c r="E343" s="616"/>
      <c r="F343" s="616"/>
      <c r="G343" s="616"/>
      <c r="H343" s="616"/>
      <c r="I343" s="616"/>
      <c r="J343" s="616"/>
      <c r="K343" s="1684">
        <f>'Revenues 9-14'!J268-'Expenditures 15-22'!K342</f>
        <v>8422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5" t="s">
        <v>996</v>
      </c>
      <c r="B368" s="2186"/>
      <c r="C368" s="654"/>
      <c r="D368" s="654"/>
      <c r="E368" s="626"/>
      <c r="F368" s="626"/>
      <c r="G368" s="626"/>
      <c r="H368" s="626"/>
      <c r="I368" s="626"/>
      <c r="J368" s="623"/>
      <c r="K368" s="1671">
        <f>'Revenues 9-14'!K268-'Expenditures 15-22'!K367</f>
        <v>11977</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terms/"/>
    <ds:schemaRef ds:uri="http://purl.org/dc/dcmitype/"/>
    <ds:schemaRef ds:uri="http://www.w3.org/XML/1998/namespace"/>
    <ds:schemaRef ds:uri="http://purl.org/dc/elements/1.1/"/>
    <ds:schemaRef ds:uri="http://schemas.microsoft.com/office/infopath/2007/PartnerControl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2019-10-15T16:24:54Z</cp:lastPrinted>
  <dcterms:created xsi:type="dcterms:W3CDTF">2003-10-29T19:06:34Z</dcterms:created>
  <dcterms:modified xsi:type="dcterms:W3CDTF">2019-11-26T20:15:38Z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