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18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8" i="127"/>
  <c r="B69" i="127"/>
  <c r="E26" i="108"/>
  <c r="G26" i="108"/>
  <c r="D27" i="108"/>
  <c r="E27" i="108"/>
  <c r="F27" i="108"/>
  <c r="G27" i="108"/>
  <c r="F28" i="108"/>
  <c r="F31" i="108"/>
  <c r="F36" i="108"/>
  <c r="G28" i="108"/>
  <c r="D31"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14" i="4" l="1"/>
  <c r="B2570" i="106" s="1"/>
  <c r="D2570" i="106" s="1"/>
  <c r="F56" i="34"/>
  <c r="F50" i="34"/>
  <c r="F46" i="34"/>
  <c r="H365" i="29"/>
  <c r="B7242" i="106" s="1"/>
  <c r="D7242" i="106" s="1"/>
  <c r="F68" i="34"/>
  <c r="F42" i="34"/>
  <c r="E34" i="108"/>
  <c r="G29" i="108"/>
  <c r="B7047" i="106"/>
  <c r="D7047" i="106" s="1"/>
  <c r="E29" i="108"/>
  <c r="F37" i="34"/>
  <c r="G39" i="108"/>
  <c r="E38" i="108"/>
  <c r="E33" i="108"/>
  <c r="J210" i="29"/>
  <c r="B7072" i="106" s="1"/>
  <c r="D7072" i="106" s="1"/>
  <c r="C129" i="29"/>
  <c r="C151" i="29" s="1"/>
  <c r="B1226" i="106" s="1"/>
  <c r="D1226" i="106" s="1"/>
  <c r="B3647" i="106"/>
  <c r="D3647" i="106" s="1"/>
  <c r="B1274" i="106"/>
  <c r="D1274" i="106" s="1"/>
  <c r="F34" i="34"/>
  <c r="F38" i="34"/>
  <c r="B6995" i="106"/>
  <c r="D6995" i="106" s="1"/>
  <c r="B6289" i="106"/>
  <c r="D6289" i="106" s="1"/>
  <c r="J77" i="4"/>
  <c r="B6262" i="106" s="1"/>
  <c r="D6262" i="106" s="1"/>
  <c r="D6103" i="106"/>
  <c r="G15" i="145"/>
  <c r="J22" i="37"/>
  <c r="L342" i="29"/>
  <c r="J352" i="29"/>
  <c r="J367" i="29" s="1"/>
  <c r="B7245" i="106" s="1"/>
  <c r="D7245" i="106" s="1"/>
  <c r="H76" i="4"/>
  <c r="B3298" i="106" s="1"/>
  <c r="D3298" i="106" s="1"/>
  <c r="L5" i="11"/>
  <c r="B2056" i="106" s="1"/>
  <c r="D2056" i="106" s="1"/>
  <c r="D68" i="36"/>
  <c r="D22" i="37"/>
  <c r="H33" i="118"/>
  <c r="H28" i="118"/>
  <c r="D69" i="36"/>
  <c r="L22" i="37"/>
  <c r="D24" i="37"/>
  <c r="B4270" i="106" s="1"/>
  <c r="D4270" i="106" s="1"/>
  <c r="C352" i="29"/>
  <c r="C367" i="29" s="1"/>
  <c r="B3622" i="106" s="1"/>
  <c r="D3622" i="106" s="1"/>
  <c r="G210" i="29"/>
  <c r="L367" i="29"/>
  <c r="H342" i="29"/>
  <c r="J129" i="29"/>
  <c r="B7038" i="106" s="1"/>
  <c r="D7038" i="106" s="1"/>
  <c r="I210" i="29"/>
  <c r="B7071" i="106" s="1"/>
  <c r="D7071" i="106" s="1"/>
  <c r="I129" i="29"/>
  <c r="B7037" i="106" s="1"/>
  <c r="D7037" i="106" s="1"/>
  <c r="F77" i="4"/>
  <c r="B3255" i="106" s="1"/>
  <c r="D3255" i="106" s="1"/>
  <c r="K76" i="4"/>
  <c r="B3586" i="106" s="1"/>
  <c r="D3586" i="106" s="1"/>
  <c r="J41" i="3"/>
  <c r="B6216" i="106" s="1"/>
  <c r="D6216" i="106" s="1"/>
  <c r="L13" i="11"/>
  <c r="B2060" i="106" s="1"/>
  <c r="D2060" i="106" s="1"/>
  <c r="F19" i="7"/>
  <c r="B1807" i="106" s="1"/>
  <c r="D1807" i="106" s="1"/>
  <c r="C342" i="29"/>
  <c r="B7216" i="106" s="1"/>
  <c r="D7216" i="106" s="1"/>
  <c r="K184" i="29"/>
  <c r="F13" i="4" s="1"/>
  <c r="B2596" i="106" s="1"/>
  <c r="D2596" i="106" s="1"/>
  <c r="G30"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4" i="36" l="1"/>
  <c r="B1266" i="106"/>
  <c r="D1266" i="106" s="1"/>
  <c r="B7215" i="106"/>
  <c r="D7215" i="106" s="1"/>
  <c r="B1225" i="106"/>
  <c r="D1225" i="106" s="1"/>
  <c r="B3621" i="106"/>
  <c r="D3621" i="106" s="1"/>
  <c r="K77" i="4"/>
  <c r="B3587" i="106" s="1"/>
  <c r="D3587" i="106" s="1"/>
  <c r="F66" i="34"/>
  <c r="N23" i="3"/>
  <c r="B284" i="106" s="1"/>
  <c r="D284" i="106" s="1"/>
  <c r="B1328" i="106"/>
  <c r="D1328" i="106" s="1"/>
  <c r="B7235" i="106"/>
  <c r="D7235" i="106" s="1"/>
  <c r="B1365" i="106"/>
  <c r="D1365" i="106" s="1"/>
  <c r="F65" i="34"/>
  <c r="J151" i="29"/>
  <c r="B7052" i="106" s="1"/>
  <c r="D7052" i="106" s="1"/>
  <c r="G6" i="4"/>
  <c r="B2604" i="106" s="1"/>
  <c r="D2604" i="106" s="1"/>
  <c r="B5770" i="106"/>
  <c r="D5770" i="106" s="1"/>
  <c r="H77" i="4"/>
  <c r="B3299" i="106" s="1"/>
  <c r="D3299" i="106" s="1"/>
  <c r="F41" i="108"/>
  <c r="G43" i="108" s="1"/>
  <c r="D41" i="108"/>
  <c r="E43" i="108" s="1"/>
  <c r="L114" i="29"/>
  <c r="K365" i="29"/>
  <c r="K16" i="4" s="1"/>
  <c r="D51" i="36"/>
  <c r="L16" i="11"/>
  <c r="B2061" i="106" s="1"/>
  <c r="D2061" i="106" s="1"/>
  <c r="D7256" i="106"/>
  <c r="D7251" i="106"/>
  <c r="D7254" i="106"/>
  <c r="D7250" i="106"/>
  <c r="B2031" i="106"/>
  <c r="D2031" i="106" s="1"/>
  <c r="K342" i="29"/>
  <c r="F13" i="34" s="1"/>
  <c r="B1381" i="106"/>
  <c r="D1381" i="106"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B3678" i="106" s="1"/>
  <c r="D3678" i="106" s="1"/>
  <c r="F24" i="37"/>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B6227" i="106"/>
  <c r="D6227" i="106" s="1"/>
  <c r="J20" i="4"/>
  <c r="J78" i="4" s="1"/>
  <c r="F8" i="4"/>
  <c r="F10" i="4" s="1"/>
  <c r="B4125" i="106" s="1"/>
  <c r="D4125" i="106" s="1"/>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8" i="146" l="1"/>
  <c r="K19" i="4"/>
  <c r="B4144" i="106" s="1"/>
  <c r="D4144" i="106" s="1"/>
  <c r="K20" i="4"/>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78" i="4"/>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<sst xmlns="http://schemas.openxmlformats.org/spreadsheetml/2006/main" count="5104" uniqueCount="2120">
  <si>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</si>
  <si>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</si>
  <si>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</si>
  <si>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</si>
  <si>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</si>
  <si>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</si>
  <si>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</si>
  <si>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</si>
  <si>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</si>
  <si>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</si>
  <si>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</si>
  <si>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</si>
  <si>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</si>
  <si>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</si>
  <si>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</si>
  <si>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</si>
  <si>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</si>
  <si>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</si>
  <si>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</si>
  <si>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</si>
  <si>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</si>
  <si>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</si>
  <si>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</si>
  <si>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</si>
  <si>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</si>
  <si>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</si>
  <si>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</si>
  <si>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</si>
  <si>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</si>
  <si>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</si>
  <si>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</si>
  <si>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</si>
  <si>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</si>
  <si>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</si>
  <si>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</si>
  <si>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</si>
  <si>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</si>
  <si>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</si>
  <si>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</si>
  <si>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</si>
  <si>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</si>
  <si>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</si>
  <si>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</si>
  <si>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</si>
  <si>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</si>
  <si>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</si>
  <si>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</si>
  <si>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</si>
  <si>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</si>
  <si>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</si>
  <si>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</si>
  <si>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</si>
  <si>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</si>
  <si>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</si>
  <si>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</si>
  <si>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</si>
  <si>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</si>
  <si>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</si>
  <si>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</si>
  <si>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</si>
  <si>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</si>
  <si>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</si>
  <si>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</si>
  <si>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</si>
  <si>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</si>
  <si>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</si>
  <si>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</si>
  <si>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</si>
  <si>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</si>
  <si>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</si>
  <si>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</si>
  <si>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</si>
  <si>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</si>
  <si>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</si>
  <si>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</si>
  <si>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</si>
  <si>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</si>
  <si>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</si>
  <si>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</si>
  <si>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</si>
  <si>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</si>
  <si>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</si>
  <si>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</si>
  <si>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</si>
  <si>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</si>
  <si>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</si>
  <si>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</si>
  <si>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</si>
  <si>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</si>
  <si>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</si>
  <si>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</si>
  <si>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</si>
  <si>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</si>
  <si>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</si>
  <si>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</si>
  <si>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</si>
  <si>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</si>
  <si>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</si>
  <si>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</si>
  <si>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</si>
  <si>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</si>
  <si>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</si>
  <si>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</si>
  <si>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</si>
  <si>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</si>
  <si>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</si>
  <si>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</si>
  <si>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</si>
  <si>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</si>
  <si>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</si>
  <si>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</si>
  <si>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</si>
  <si>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</si>
  <si>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</si>
  <si>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</si>
  <si>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</si>
  <si>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</si>
  <si>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</si>
  <si>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</si>
  <si>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</si>
  <si>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</si>
  <si>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</si>
  <si>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</si>
  <si>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</si>
  <si>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</si>
  <si>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</si>
  <si>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</si>
  <si>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</si>
  <si>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</si>
  <si>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</si>
  <si>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</si>
  <si>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</si>
  <si>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</si>
  <si>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</si>
  <si>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</si>
  <si>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</si>
  <si>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</si>
  <si>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</si>
  <si>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</si>
  <si>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</si>
  <si>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</si>
  <si>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</si>
  <si>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</si>
  <si>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</si>
  <si>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</si>
  <si>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</si>
  <si>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</si>
  <si>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</si>
  <si>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</si>
  <si>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</si>
  <si>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</si>
  <si>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</si>
  <si>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</si>
  <si>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</si>
  <si>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</si>
  <si>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</si>
  <si>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</si>
  <si>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</si>
  <si>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</si>
  <si>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</si>
  <si>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</si>
  <si>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</si>
  <si>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</si>
  <si>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</si>
  <si>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</si>
  <si>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</si>
  <si>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</si>
  <si>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</si>
  <si>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</si>
  <si>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</si>
  <si>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</si>
  <si>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</si>
  <si>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</si>
  <si>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</si>
  <si>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</si>
  <si>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</si>
  <si>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</si>
  <si>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</si>
  <si>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</si>
  <si>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</si>
  <si>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</si>
  <si>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</si>
  <si>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</si>
  <si>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</si>
  <si>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</si>
  <si>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</si>
  <si>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</si>
  <si>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</si>
  <si>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</si>
  <si>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</si>
  <si>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</si>
  <si>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</si>
  <si>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</si>
  <si>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</si>
  <si>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</si>
  <si>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</si>
  <si>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</si>
  <si>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</si>
  <si>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</si>
  <si>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</si>
  <si>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</si>
  <si>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</si>
  <si>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</si>
  <si>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</si>
  <si>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</si>
  <si>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</si>
  <si>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</si>
  <si>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</si>
  <si>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</si>
  <si>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</si>
  <si>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</si>
  <si>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</si>
  <si>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</si>
  <si>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</si>
  <si>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</si>
  <si>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</si>
  <si>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</si>
  <si>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</si>
  <si>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</si>
  <si>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</si>
  <si>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</si>
  <si>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</si>
  <si>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</si>
  <si>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</si>
  <si>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</si>
  <si>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</si>
  <si>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</si>
  <si>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</si>
  <si>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</si>
  <si>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</si>
  <si>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</si>
  <si>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</si>
  <si>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</si>
  <si>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</si>
  <si>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</si>
  <si>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</si>
  <si>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</si>
  <si>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</si>
  <si>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</si>
  <si>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</si>
  <si>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</si>
  <si>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</si>
  <si>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</si>
  <si>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</si>
  <si>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</si>
  <si>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</si>
  <si>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</si>
  <si>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</si>
  <si>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</si>
  <si>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</si>
  <si>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</si>
  <si>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</si>
  <si>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</si>
  <si>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</si>
  <si>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</si>
  <si>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</si>
  <si>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</si>
  <si>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</si>
  <si>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</si>
  <si>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</si>
  <si>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</si>
  <si>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</si>
  <si>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</si>
  <si>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</si>
  <si>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</si>
  <si>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</si>
  <si>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</si>
  <si>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</si>
  <si>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</si>
  <si>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</si>
  <si>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</si>
  <si>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</si>
  <si>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</si>
  <si>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</si>
  <si>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</si>
  <si>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</si>
  <si>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</si>
  <si>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</si>
  <si>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</si>
  <si>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</si>
  <si>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</si>
  <si>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</si>
  <si>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</si>
  <si>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</si>
  <si>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</si>
  <si>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</si>
  <si>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</si>
  <si>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</si>
  <si>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</si>
  <si>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</si>
  <si>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</si>
  <si>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</si>
  <si>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</si>
  <si>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</si>
  <si>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</si>
  <si>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</si>
  <si>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</si>
  <si>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</si>
  <si>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</si>
  <si>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</si>
  <si>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</si>
  <si>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</si>
  <si>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</si>
  <si>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</si>
  <si>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</si>
  <si>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</si>
  <si>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</si>
  <si>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</si>
  <si>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</si>
  <si>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</si>
  <si>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</si>
  <si>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</si>
  <si>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</si>
  <si>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</si>
  <si>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</si>
  <si>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</si>
  <si>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</si>
  <si>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</si>
  <si>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</si>
  <si>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</si>
  <si>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</si>
  <si>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</si>
  <si>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</si>
  <si>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</si>
  <si>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</si>
  <si>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</si>
  <si>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</si>
  <si>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</si>
  <si>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</si>
  <si>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</si>
  <si>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</si>
  <si>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</si>
  <si>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</si>
  <si>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</si>
  <si>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</si>
  <si>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</si>
  <si>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</si>
  <si>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</si>
  <si>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</si>
  <si>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</si>
  <si>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</si>
  <si>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</si>
  <si>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</si>
  <si>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</si>
  <si>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</si>
  <si>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</si>
  <si>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</si>
  <si>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</si>
  <si>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</si>
  <si>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</si>
  <si>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</si>
  <si>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</si>
  <si>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</si>
  <si>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</si>
  <si>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</si>
  <si>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</si>
  <si>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</si>
  <si>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</si>
  <si>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</si>
  <si>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</si>
  <si>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</si>
  <si>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</si>
  <si>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</si>
  <si>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</si>
  <si>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</si>
  <si>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</si>
  <si>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</si>
  <si>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</si>
  <si>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</si>
  <si>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</si>
  <si>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</si>
  <si>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</si>
  <si>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</si>
  <si>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</si>
  <si>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</si>
  <si>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</si>
  <si>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</si>
  <si>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</si>
  <si>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</si>
  <si>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</si>
  <si>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</si>
  <si>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</si>
  <si>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</si>
  <si>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</si>
  <si>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</si>
  <si>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</si>
  <si>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</si>
  <si>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</si>
  <si>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</si>
  <si>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</si>
  <si>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</si>
  <si>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</si>
  <si>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</si>
  <si>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</si>
  <si>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</si>
  <si>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</si>
  <si>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</si>
  <si>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</si>
  <si>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</si>
  <si>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</si>
  <si>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</si>
  <si>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</si>
  <si>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</si>
  <si>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</si>
  <si>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</si>
  <si>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</si>
  <si>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</si>
  <si>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</si>
  <si>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</si>
  <si>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</si>
  <si>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</si>
  <si>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</si>
  <si>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</si>
  <si>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</si>
  <si>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</si>
  <si>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</si>
  <si>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</si>
  <si>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</si>
  <si>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</si>
  <si>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</si>
  <si>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</si>
  <si>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</si>
  <si>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</si>
  <si>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</si>
  <si>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</si>
  <si>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</si>
  <si>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</si>
  <si>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</si>
  <si>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</si>
  <si>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</si>
  <si>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</si>
  <si>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</si>
  <si>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</si>
  <si>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</si>
  <si>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</si>
  <si>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</si>
  <si>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</si>
  <si>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</si>
  <si>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</si>
  <si>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</si>
  <si>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</si>
  <si>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</si>
  <si>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</si>
  <si>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</si>
  <si>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</si>
  <si>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</si>
  <si>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</si>
  <si>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</si>
  <si>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</si>
  <si>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</si>
  <si>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</si>
  <si>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</si>
  <si>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</si>
  <si>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</si>
  <si>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</si>
  <si>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</si>
  <si>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</si>
  <si>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</si>
  <si>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</si>
  <si>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</si>
  <si>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</si>
  <si>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</si>
  <si>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</si>
  <si>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</si>
  <si>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</si>
  <si>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</si>
  <si>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</si>
  <si>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</si>
  <si>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</si>
  <si>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</si>
  <si>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</si>
  <si>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</si>
  <si>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</si>
  <si>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</si>
  <si>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</si>
  <si>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</si>
  <si>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</si>
  <si>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</si>
  <si>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</si>
  <si>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</si>
  <si>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</si>
  <si>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</si>
  <si>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</si>
  <si>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</si>
  <si>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</si>
  <si>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</si>
  <si>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</si>
  <si>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</si>
  <si>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</si>
  <si>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</si>
  <si>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</si>
  <si>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</si>
  <si>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</si>
  <si>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</si>
  <si>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</si>
  <si>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</si>
  <si>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</si>
  <si>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</si>
  <si>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</si>
  <si>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</si>
  <si>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</si>
  <si>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</si>
  <si>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</si>
  <si>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</si>
  <si>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</si>
  <si>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</si>
  <si>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</si>
  <si>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</si>
  <si>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</si>
  <si>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</si>
  <si>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</si>
  <si>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</si>
  <si>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</si>
  <si>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</si>
  <si>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</si>
  <si>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</si>
  <si>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</si>
  <si>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</si>
  <si>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</si>
  <si>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</si>
  <si>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</si>
  <si>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</si>
  <si>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</si>
  <si>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</si>
  <si>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</si>
  <si>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</si>
  <si>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</si>
  <si>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</si>
  <si>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</si>
  <si>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</si>
  <si>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</si>
  <si>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</si>
  <si>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</si>
  <si>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</si>
  <si>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</si>
  <si>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</si>
  <si>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</si>
  <si>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</si>
  <si>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</si>
  <si>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</si>
  <si>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</si>
  <si>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</si>
  <si>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</si>
  <si>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</si>
  <si>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</si>
  <si>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</si>
  <si>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</si>
  <si>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</si>
  <si>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</si>
  <si>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</si>
  <si>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</si>
  <si>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</si>
  <si>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</si>
  <si>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</si>
  <si>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</si>
  <si>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</si>
  <si>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</si>
  <si>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</si>
  <si>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</si>
  <si>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</si>
  <si>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</si>
  <si>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</si>
  <si>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</si>
  <si>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</si>
  <si>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</si>
  <si>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</si>
  <si>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</si>
  <si>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</si>
  <si>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</si>
  <si>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</si>
  <si>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</si>
  <si>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</si>
  <si>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</si>
  <si>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</si>
  <si>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</si>
  <si>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</si>
  <si>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</si>
  <si>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</si>
  <si>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</si>
  <si>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</si>
  <si>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</si>
  <si>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</si>
  <si>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</si>
  <si>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</si>
  <si>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</si>
  <si>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</si>
  <si>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</si>
  <si>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</si>
  <si>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</si>
  <si>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</si>
  <si>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</si>
  <si>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</si>
  <si>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</si>
  <si>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</si>
  <si>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</si>
  <si>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</si>
  <si>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</si>
  <si>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</si>
  <si>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</si>
  <si>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</si>
  <si>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</si>
  <si>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</si>
  <si>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</si>
  <si>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</si>
  <si>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</si>
  <si>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</si>
  <si>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</si>
  <si>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</si>
  <si>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</si>
  <si>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</si>
  <si>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</si>
  <si>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</si>
  <si>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</si>
  <si>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</si>
  <si>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</si>
  <si>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</si>
  <si>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</si>
  <si>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</si>
  <si>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</si>
  <si>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</si>
  <si>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</si>
  <si>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</si>
  <si>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</si>
  <si>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</si>
  <si>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</si>
  <si>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</si>
  <si>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</si>
  <si>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</si>
  <si>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</si>
  <si>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</si>
  <si>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</si>
  <si>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</si>
  <si>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</si>
  <si>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</si>
  <si>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</si>
  <si>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</si>
  <si>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</si>
  <si>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</si>
  <si>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</si>
  <si>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</si>
  <si>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</si>
  <si>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</si>
  <si>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</si>
  <si>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</si>
  <si>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</si>
  <si>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</si>
  <si>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</si>
  <si>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</si>
  <si>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</si>
  <si>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</si>
  <si>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</si>
  <si>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</si>
  <si>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</si>
  <si>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</si>
  <si>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</si>
  <si>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</si>
  <si>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</si>
  <si>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</si>
  <si>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</si>
  <si>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</si>
  <si>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</si>
  <si>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</si>
  <si>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</si>
  <si>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</si>
  <si>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</si>
  <si>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</si>
  <si>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</si>
  <si>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</si>
  <si>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</si>
  <si>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</si>
  <si>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</si>
  <si>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</si>
  <si>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</si>
  <si>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</si>
  <si>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</si>
  <si>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</si>
  <si>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</si>
  <si>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</si>
  <si>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</si>
  <si>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</si>
  <si>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</si>
  <si>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</si>
  <si>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</si>
  <si>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</si>
  <si>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</si>
  <si>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</si>
  <si>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</si>
  <si>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</si>
  <si>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</si>
  <si>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</si>
  <si>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</si>
  <si>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</si>
  <si>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</si>
  <si>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</si>
  <si>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</si>
  <si>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</si>
  <si>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</si>
  <si>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</si>
  <si>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</si>
  <si>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</si>
  <si>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</si>
  <si>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</si>
  <si>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</si>
  <si>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</si>
  <si>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</si>
  <si>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</si>
  <si>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</si>
  <si>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</si>
  <si>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</si>
  <si>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</si>
  <si>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</si>
  <si>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</si>
  <si>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</si>
  <si>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</si>
  <si>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</si>
  <si>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</si>
  <si>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</si>
  <si>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</si>
  <si>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</si>
  <si>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</si>
  <si>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</si>
  <si>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</si>
  <si>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</si>
  <si>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</si>
  <si>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</si>
  <si>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</si>
  <si>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</si>
  <si>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</si>
  <si>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</si>
  <si>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</si>
  <si>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</si>
  <si>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</si>
  <si>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</si>
  <si>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</si>
  <si>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</si>
  <si>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</si>
  <si>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</si>
  <si>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</si>
  <si>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</si>
  <si>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</si>
  <si>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</si>
  <si>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</si>
  <si>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</si>
  <si>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</si>
  <si>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</si>
  <si>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</si>
  <si>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</si>
  <si>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</si>
  <si>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</si>
  <si>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</si>
  <si>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</si>
  <si>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</si>
  <si>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</si>
  <si>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</si>
  <si>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</si>
  <si>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</si>
  <si>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</si>
  <si>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</si>
  <si>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</si>
  <si>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</si>
  <si>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</si>
  <si>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</si>
  <si>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</si>
  <si>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</si>
  <si>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</si>
  <si>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</si>
  <si>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</si>
  <si>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</si>
  <si>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</si>
  <si>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</si>
  <si>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</si>
  <si>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</si>
  <si>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</si>
  <si>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</si>
  <si>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</si>
  <si>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</si>
  <si>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</si>
  <si>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</si>
  <si>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</si>
  <si>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</si>
  <si>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</si>
  <si>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</si>
  <si>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</si>
  <si>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</si>
  <si>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</si>
  <si>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</si>
  <si>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</si>
  <si>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</si>
  <si>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</si>
  <si>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</si>
  <si>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</si>
  <si>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</si>
  <si>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</si>
  <si>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</si>
  <si>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</si>
  <si>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</si>
  <si>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</si>
  <si>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</si>
  <si>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</si>
  <si>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</si>
  <si>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</si>
  <si>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</si>
  <si>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</si>
  <si>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</si>
  <si>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</si>
  <si>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</si>
  <si>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</si>
  <si>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</si>
  <si>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</si>
  <si>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</si>
  <si>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</si>
  <si>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</si>
  <si>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</si>
  <si>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</si>
  <si>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</si>
  <si>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</si>
  <si>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</si>
  <si>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</si>
  <si>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</si>
  <si>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</si>
  <si>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</si>
  <si>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</si>
  <si>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</si>
  <si>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</si>
  <si>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</si>
  <si>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</si>
  <si>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</si>
  <si>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</si>
  <si>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</si>
  <si>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</si>
  <si>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</si>
  <si>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</si>
  <si>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</si>
  <si>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</si>
  <si>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</si>
  <si>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</si>
  <si>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</si>
  <si>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</si>
  <si>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</si>
  <si>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</si>
  <si>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</si>
  <si>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</si>
  <si>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</si>
  <si>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</si>
  <si>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</si>
  <si>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</si>
  <si>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</si>
  <si>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</si>
  <si>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</si>
  <si>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</si>
  <si>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</si>
  <si>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</si>
  <si>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</si>
  <si>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</si>
  <si>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</si>
  <si>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</si>
  <si>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</si>
  <si>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</si>
  <si>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</si>
  <si>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</si>
  <si>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</si>
  <si>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</si>
  <si>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</si>
  <si>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</si>
  <si>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</si>
  <si>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</si>
  <si>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</si>
  <si>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</si>
  <si>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</si>
  <si>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</si>
  <si>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</si>
  <si>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</si>
  <si>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</si>
  <si>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</si>
  <si>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</si>
  <si>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</si>
  <si>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</si>
  <si>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</si>
  <si>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</si>
  <si>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</si>
  <si>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</si>
  <si>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</si>
  <si>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</si>
  <si>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</si>
  <si>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</si>
  <si>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</si>
  <si>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</si>
  <si>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</si>
  <si>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</si>
  <si>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</si>
  <si>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</si>
  <si>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</si>
  <si>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</si>
  <si>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</si>
  <si>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</si>
  <si>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</si>
  <si>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</si>
  <si>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</si>
  <si>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</si>
  <si>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</si>
  <si>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</si>
  <si>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</si>
  <si>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</si>
  <si>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</si>
  <si>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</si>
  <si>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</si>
  <si>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</si>
  <si>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</si>
  <si>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</si>
  <si>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</si>
  <si>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</si>
  <si>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</si>
  <si>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</si>
  <si>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</si>
  <si>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</si>
  <si>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</si>
  <si>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</si>
  <si>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</si>
  <si>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</si>
  <si>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</si>
  <si>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</si>
  <si>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</si>
  <si>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</si>
  <si>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</si>
  <si>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</si>
  <si>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</si>
  <si>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</si>
  <si>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</si>
  <si>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</si>
  <si>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</si>
  <si>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</si>
  <si>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</si>
  <si>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</si>
  <si>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</si>
  <si>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</si>
  <si>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</si>
  <si>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</si>
  <si>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</si>
  <si>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</si>
  <si>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</si>
  <si>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</si>
  <si>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</si>
  <si>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</si>
  <si>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</si>
  <si>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</si>
  <si>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</si>
  <si>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</si>
  <si>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</si>
  <si>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</si>
  <si>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</si>
  <si>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</si>
  <si>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</si>
  <si>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</si>
  <si>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</si>
  <si>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</si>
  <si>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</si>
  <si>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</si>
  <si>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</si>
  <si>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</si>
  <si>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</si>
  <si>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</si>
  <si>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</si>
  <si>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</si>
  <si>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</si>
  <si>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</si>
  <si>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</si>
  <si>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</si>
  <si>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</si>
  <si>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</si>
  <si>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</si>
  <si>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</si>
  <si>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</si>
  <si>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</si>
  <si>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</si>
  <si>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</si>
  <si>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</si>
  <si>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</si>
  <si>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</si>
  <si>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</si>
  <si>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</si>
  <si>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</si>
  <si>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</si>
  <si>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</si>
  <si>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</si>
  <si>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</si>
  <si>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</si>
  <si>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</si>
  <si>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</si>
  <si>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</si>
  <si>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</si>
  <si>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</si>
  <si>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</si>
  <si>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</si>
  <si>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</si>
  <si>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</si>
  <si>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</si>
  <si>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</si>
  <si>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</si>
  <si>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</si>
  <si>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</si>
  <si>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</si>
  <si>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</si>
  <si>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</si>
  <si>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</si>
  <si>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</si>
  <si>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</si>
  <si>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</si>
  <si>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</si>
  <si>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</si>
  <si>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</si>
  <si>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</si>
  <si>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</si>
  <si>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</si>
  <si>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</si>
  <si>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</si>
  <si>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</si>
  <si>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</si>
  <si>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</si>
  <si>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</si>
  <si>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</si>
  <si>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</si>
  <si>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</si>
  <si>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</si>
  <si>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</si>
  <si>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</si>
  <si>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</si>
  <si>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</si>
  <si>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</si>
  <si>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</si>
  <si>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</si>
  <si>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</si>
  <si>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</si>
  <si>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</si>
  <si>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</si>
  <si>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</si>
  <si>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</si>
  <si>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</si>
  <si>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</si>
  <si>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</si>
  <si>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</si>
  <si>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</si>
  <si>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</si>
  <si>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</si>
  <si>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</si>
  <si>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</si>
  <si>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</si>
  <si>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</si>
  <si>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</si>
  <si>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</si>
  <si>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</si>
  <si>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</si>
  <si>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</si>
  <si>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</si>
  <si>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</si>
  <si>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</si>
  <si>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</si>
  <si>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</si>
  <si>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</si>
  <si>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</si>
  <si>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</si>
  <si>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</si>
  <si>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</si>
  <si>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</si>
  <si>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</si>
  <si>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</si>
  <si>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</si>
  <si>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</si>
  <si>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</si>
  <si>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</si>
  <si>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</si>
  <si>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</si>
  <si>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</si>
  <si>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</si>
  <si>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</si>
  <si>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</si>
  <si>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</si>
  <si>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</si>
  <si>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</si>
  <si>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</si>
  <si>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</si>
  <si>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</si>
  <si>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</si>
  <si>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</si>
  <si>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</si>
  <si>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</si>
  <si>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</si>
  <si>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</si>
  <si>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</si>
  <si>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</si>
  <si>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</si>
  <si>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</si>
  <si>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</si>
  <si>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</si>
  <si>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</si>
  <si>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</si>
  <si>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</si>
  <si>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</si>
  <si>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</si>
  <si>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</si>
  <si>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</si>
  <si>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</si>
  <si>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</si>
  <si>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</si>
  <si>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</si>
  <si>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</si>
  <si>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</si>
  <si>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</si>
  <si>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</si>
  <si>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</si>
  <si>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</si>
  <si>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</si>
  <si>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</si>
  <si>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</si>
  <si>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</si>
  <si>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</si>
  <si>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</si>
  <si>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</si>
  <si>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</si>
  <si>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</si>
  <si>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</si>
  <si>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</si>
  <si>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</si>
  <si>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</si>
  <si>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</si>
  <si>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</si>
  <si>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</si>
  <si>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</si>
  <si>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</si>
  <si>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</si>
  <si>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</si>
  <si>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</si>
  <si>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</si>
  <si>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</si>
  <si>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</si>
  <si>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</si>
  <si>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</si>
  <si>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</si>
  <si>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</si>
  <si>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</si>
  <si>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</si>
  <si>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</si>
  <si>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</si>
  <si>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</si>
  <si>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</si>
  <si>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</si>
  <si>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</si>
  <si>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</si>
  <si>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</si>
  <si>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</si>
  <si>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</si>
  <si>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</si>
  <si>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</si>
  <si>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</si>
  <si>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</si>
  <si>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</si>
  <si>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</si>
  <si>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</si>
  <si>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</si>
  <si>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</si>
  <si>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</si>
  <si>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</si>
  <si>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</si>
  <si>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</si>
  <si>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</si>
  <si>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</si>
  <si>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</si>
  <si>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</si>
  <si>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</si>
  <si>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</si>
  <si>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</si>
  <si>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</si>
  <si>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</si>
  <si>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</si>
  <si>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</si>
  <si>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</si>
  <si>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</si>
  <si>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</si>
  <si>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</si>
  <si>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</si>
  <si>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</si>
  <si>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</si>
  <si>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</si>
  <si>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</si>
  <si>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</si>
  <si>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</si>
  <si>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</si>
  <si>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</si>
  <si>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</si>
  <si>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</si>
  <si>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</si>
  <si>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</si>
  <si>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</si>
  <si>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</si>
  <si>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</si>
  <si>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</si>
  <si>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</si>
  <si>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</si>
  <si>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</si>
  <si>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</si>
  <si>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</si>
  <si>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</si>
  <si>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</si>
  <si>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</si>
  <si>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</si>
  <si>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</si>
  <si>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</si>
  <si>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</si>
  <si>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</si>
  <si>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</si>
  <si>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</si>
  <si>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</si>
  <si>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</si>
  <si>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</si>
  <si>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</si>
  <si>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</si>
  <si>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</si>
  <si>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</si>
  <si>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</si>
  <si>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</si>
  <si>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</si>
  <si>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</si>
  <si>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</si>
  <si>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</si>
  <si>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</si>
  <si>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</si>
  <si>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</si>
  <si>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</si>
  <si>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</si>
  <si>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</si>
  <si>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</si>
  <si>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</si>
  <si>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</si>
  <si>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</si>
  <si>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</si>
  <si>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</si>
  <si>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</si>
  <si>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</si>
  <si>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</si>
  <si>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</si>
  <si>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</si>
  <si>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</si>
  <si>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</si>
  <si>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</si>
  <si>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</si>
  <si>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</si>
  <si>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</si>
  <si>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</si>
  <si>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</si>
  <si>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</si>
  <si>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</si>
  <si>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</si>
  <si>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</si>
  <si>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</si>
  <si>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</si>
  <si>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</si>
  <si>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</si>
  <si>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</si>
  <si>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</si>
  <si>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</si>
  <si>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</si>
  <si>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</si>
  <si>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</si>
  <si>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</si>
  <si>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</si>
  <si>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</si>
  <si>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</si>
  <si>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</si>
  <si>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</si>
  <si>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</si>
  <si>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</si>
  <si>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</si>
  <si>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</si>
  <si>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</si>
  <si>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</si>
  <si>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</si>
  <si>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</si>
  <si>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</si>
  <si>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</si>
  <si>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</si>
  <si>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</si>
  <si>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</si>
  <si>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</si>
  <si>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</si>
  <si>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</si>
  <si>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</si>
  <si>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</si>
  <si>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</si>
  <si>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</si>
  <si>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</si>
  <si>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</si>
  <si>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</si>
  <si>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</si>
  <si>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</si>
  <si>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</si>
  <si>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</si>
  <si>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</si>
  <si>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</si>
  <si>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</si>
  <si>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</si>
  <si>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</si>
  <si>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</si>
  <si>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</si>
  <si>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</si>
  <si>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</si>
  <si>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</si>
  <si>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</si>
  <si>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</si>
  <si>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</si>
  <si>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</si>
  <si>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</si>
  <si>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</si>
  <si>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</si>
  <si>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</si>
  <si>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</si>
  <si>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</si>
  <si>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</si>
  <si>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</si>
  <si>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</si>
  <si>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</si>
  <si>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</si>
  <si>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</si>
  <si>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</si>
  <si>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</si>
  <si>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</si>
  <si>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</si>
  <si>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</si>
  <si>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</si>
  <si>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</si>
  <si>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</si>
  <si>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</si>
  <si>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</si>
  <si>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</si>
  <si>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</si>
  <si>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</si>
  <si>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</si>
  <si>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</si>
  <si>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</si>
  <si>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</si>
  <si>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</si>
  <si>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</si>
  <si>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</si>
  <si>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</si>
  <si>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</si>
  <si>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</si>
  <si>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</si>
  <si>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</si>
  <si>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</si>
  <si>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</si>
  <si>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</si>
  <si>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</si>
  <si>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</si>
  <si>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</si>
  <si>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</si>
  <si>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</si>
  <si>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</si>
  <si>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</si>
  <si>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</si>
  <si>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</si>
  <si>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</si>
  <si>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</si>
  <si>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</si>
  <si>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</si>
  <si>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</si>
  <si>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</si>
  <si>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</si>
  <si>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</si>
  <si>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</si>
  <si>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</si>
  <si>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</si>
  <si>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</si>
  <si>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</si>
  <si>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</si>
  <si>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</si>
  <si>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</si>
  <si>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</si>
  <si>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</si>
  <si>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</si>
  <si>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</si>
  <si>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</si>
  <si>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</si>
  <si>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</si>
  <si>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</si>
  <si>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</si>
  <si>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</si>
  <si>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</si>
  <si>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</si>
  <si>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</si>
  <si>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</si>
  <si>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</si>
  <si>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</si>
  <si>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</si>
  <si>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</si>
  <si>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</si>
  <si>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</si>
  <si>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</si>
  <si>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</si>
  <si>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</si>
  <si>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</si>
  <si>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</si>
  <si>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</si>
  <si>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</si>
  <si>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</si>
  <si>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</si>
  <si>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</si>
  <si>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</si>
  <si>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</si>
  <si>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</si>
  <si>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</si>
  <si>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</si>
  <si>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</si>
  <si>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</si>
  <si>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</si>
  <si>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</si>
  <si>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</si>
  <si>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</si>
  <si>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</si>
  <si>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</si>
  <si>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</si>
  <si>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</si>
  <si>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</si>
  <si>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</si>
  <si>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</si>
  <si>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</si>
  <si>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</si>
  <si>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</si>
  <si>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</si>
  <si>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</si>
  <si>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</si>
  <si>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</si>
  <si>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</si>
  <si>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</si>
  <si>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</si>
  <si>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</si>
  <si>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</si>
  <si>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</si>
  <si>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</si>
  <si>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</si>
  <si>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</si>
  <si>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</si>
  <si>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</si>
  <si>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</si>
  <si>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</si>
  <si>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</si>
  <si>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</si>
  <si>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</si>
  <si>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</si>
  <si>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</si>
  <si>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</si>
  <si>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</si>
  <si>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</si>
  <si>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</si>
  <si>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</si>
  <si>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</si>
  <si>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</si>
  <si>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</si>
  <si>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</si>
  <si>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</si>
  <si>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</si>
  <si>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</si>
  <si>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</si>
  <si>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</si>
  <si>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</si>
  <si>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</si>
  <si>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</si>
  <si>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</si>
  <si>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</si>
  <si>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</si>
  <si>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</si>
  <si>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</si>
  <si>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</si>
  <si>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</si>
  <si>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</si>
  <si>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</si>
  <si>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</si>
  <si>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</si>
  <si>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</si>
  <si>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</si>
  <si>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</si>
  <si>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</si>
  <si>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</si>
  <si>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</si>
  <si>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</si>
  <si>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</si>
  <si>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</si>
  <si>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</si>
  <si>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</si>
  <si>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</si>
  <si>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</si>
  <si>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</si>
  <si>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</si>
  <si>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</si>
  <si>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</si>
  <si>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</si>
  <si>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</si>
  <si>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</si>
  <si>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</si>
  <si>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</si>
  <si>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</si>
  <si>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</si>
  <si>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</si>
  <si>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</si>
  <si>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</si>
  <si>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</si>
  <si>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</si>
  <si>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</si>
  <si>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</si>
  <si>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</si>
  <si>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</si>
  <si>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</si>
  <si>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</si>
  <si>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</si>
  <si>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</si>
  <si>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</si>
  <si>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</si>
  <si>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</si>
  <si>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</si>
  <si>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</si>
  <si>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</si>
  <si>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</si>
  <si>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</si>
  <si>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</si>
  <si>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</si>
  <si>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</si>
  <si>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</si>
  <si>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</si>
  <si>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</si>
  <si>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</si>
  <si>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</si>
  <si>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</si>
  <si>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</si>
  <si>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</si>
  <si>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</si>
  <si>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</si>
  <si>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</si>
  <si>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</si>
  <si>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</si>
  <si>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</si>
  <si>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</si>
  <si>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</si>
  <si>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</si>
  <si>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</si>
  <si>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</si>
  <si>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</si>
  <si>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</si>
  <si>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</si>
  <si>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</si>
  <si>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</si>
  <si>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</si>
  <si>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</si>
  <si>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</si>
  <si>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</si>
  <si>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</si>
  <si>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</si>
  <si>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</si>
  <si>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</si>
  <si>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</si>
  <si>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</si>
  <si>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</si>
  <si>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</si>
  <si>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</si>
  <si>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</si>
  <si>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</si>
  <si>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</si>
  <si>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</si>
  <si>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</si>
  <si>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</si>
  <si>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</si>
  <si>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</si>
  <si>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</si>
  <si>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</si>
  <si>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</si>
  <si>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</si>
  <si>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</si>
  <si>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</si>
  <si>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</si>
  <si>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</si>
  <si>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</si>
  <si>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</si>
  <si>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</si>
  <si>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</si>
  <si>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</si>
  <si>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</si>
  <si>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</si>
  <si>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</si>
  <si>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</si>
  <si>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</si>
  <si>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</si>
  <si>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</si>
  <si>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</si>
  <si>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</si>
  <si>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</si>
  <si>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</si>
  <si>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</si>
  <si>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</si>
  <si>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</si>
  <si>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</si>
  <si>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</si>
  <si>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</si>
  <si>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</si>
  <si>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</si>
  <si>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</si>
  <si>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</si>
  <si>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</si>
  <si>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</si>
  <si>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</si>
  <si>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</si>
  <si>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</si>
  <si>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</si>
  <si>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</si>
  <si>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</si>
  <si>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</si>
  <si>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</si>
  <si>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</si>
  <si>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</si>
  <si>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</si>
  <si>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</si>
  <si>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</si>
  <si>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</si>
  <si>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</si>
  <si>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</si>
  <si>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</si>
  <si>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</si>
  <si>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</si>
  <si>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</si>
  <si>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</si>
  <si>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</si>
  <si>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</si>
  <si>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</si>
  <si>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</si>
  <si>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</si>
  <si>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</si>
  <si>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</si>
  <si>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</si>
  <si>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</si>
  <si>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</si>
  <si>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</si>
  <si>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</si>
  <si>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</si>
  <si>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</si>
  <si>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</si>
  <si>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</si>
  <si>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</si>
  <si>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</si>
  <si>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</si>
  <si>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</si>
  <si>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</si>
  <si>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</si>
  <si>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</si>
  <si>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</si>
  <si>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</si>
  <si>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</si>
  <si>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</si>
  <si>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</si>
  <si>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</si>
  <si>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</si>
  <si>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</si>
  <si>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</si>
  <si>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</si>
  <si>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</si>
  <si>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</si>
  <si>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</si>
  <si>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</si>
  <si>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</si>
  <si>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</si>
  <si>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</si>
  <si>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</si>
  <si>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</si>
  <si>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</si>
  <si>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</si>
  <si>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</si>
  <si>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</si>
  <si>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</si>
  <si>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</si>
  <si>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</si>
  <si>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</si>
  <si>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</si>
  <si>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</si>
  <si>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</si>
  <si>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</si>
  <si>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</si>
  <si>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</si>
  <si>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</si>
  <si>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</si>
  <si>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</si>
  <si>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</si>
  <si>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</si>
  <si>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</si>
  <si>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</si>
  <si>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</si>
  <si>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</si>
  <si>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</si>
  <si>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</si>
  <si>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</si>
  <si>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</si>
  <si>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</si>
  <si>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</si>
  <si>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</si>
  <si>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</si>
  <si>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</si>
  <si>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</si>
  <si>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</si>
  <si>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</si>
  <si>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</si>
  <si>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</si>
  <si>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</si>
  <si>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</si>
  <si>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</si>
  <si>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</si>
  <si>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</si>
  <si>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</si>
  <si>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</si>
  <si>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</si>
  <si>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</si>
  <si>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</si>
  <si>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</si>
  <si>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</si>
  <si>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</si>
  <si>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</si>
  <si>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</si>
  <si>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</si>
  <si>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</si>
  <si>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</si>
  <si>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</si>
  <si>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</si>
  <si>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</si>
  <si>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</si>
  <si>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</si>
  <si>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</si>
  <si>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</si>
  <si>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</si>
  <si>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</si>
  <si>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</si>
  <si>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</si>
  <si>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</si>
  <si>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</si>
  <si>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</si>
  <si>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</si>
  <si>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</si>
  <si>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</si>
  <si>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</si>
  <si>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</si>
  <si>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</si>
  <si>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</si>
  <si>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</si>
  <si>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</si>
  <si>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</si>
  <si>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</si>
  <si>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</si>
  <si>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</si>
  <si>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</si>
  <si>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</si>
  <si>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</si>
  <si>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</si>
  <si>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</si>
  <si>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</si>
  <si>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</si>
  <si>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</si>
  <si>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</si>
  <si>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</si>
  <si>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</si>
  <si>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</si>
  <si>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</si>
  <si>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</si>
  <si>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</si>
  <si>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</si>
  <si>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</si>
  <si>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</si>
  <si>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</si>
  <si>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</si>
  <si>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</si>
  <si>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</si>
  <si>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</si>
  <si>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</si>
  <si>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</si>
  <si>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</si>
  <si>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</si>
  <si>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</si>
  <si>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</si>
  <si>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</si>
  <si>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</si>
  <si>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</si>
  <si>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</si>
  <si>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</si>
  <si>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</si>
  <si>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</si>
  <si>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</si>
  <si>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</si>
  <si>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</si>
  <si>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</si>
  <si>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</si>
  <si>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</si>
  <si>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</si>
  <si>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</si>
  <si>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</si>
  <si>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</si>
  <si>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</si>
  <si>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</si>
  <si>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</si>
  <si>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</si>
  <si>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</si>
  <si>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</si>
  <si>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</si>
  <si>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</si>
  <si>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</si>
  <si>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</si>
  <si>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</si>
  <si>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</si>
  <si>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</si>
  <si>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</si>
  <si>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</si>
  <si>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</si>
  <si>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</si>
  <si>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</si>
  <si>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</si>
  <si>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</si>
  <si>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</si>
  <si>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</si>
  <si>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</si>
  <si>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</si>
  <si>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</si>
  <si>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</si>
  <si>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</si>
  <si>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</si>
  <si>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</si>
  <si>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</si>
  <si>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</si>
  <si>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</si>
  <si>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</si>
  <si>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</si>
  <si>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</si>
  <si>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</si>
  <si>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</si>
  <si>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</si>
  <si>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</si>
  <si>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</si>
  <si>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</si>
  <si>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</si>
  <si>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</si>
  <si>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</si>
  <si>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</si>
  <si>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</si>
  <si>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</si>
  <si>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</si>
  <si>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</si>
  <si>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</si>
  <si>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</si>
  <si>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</si>
  <si>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</si>
  <si>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</si>
  <si>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</si>
  <si>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</si>
  <si>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</si>
  <si>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</si>
  <si>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</si>
  <si>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</si>
  <si>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</si>
  <si>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</si>
  <si>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</si>
  <si>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</si>
  <si>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</si>
  <si>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</si>
  <si>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</si>
  <si>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</si>
  <si>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</si>
  <si>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</si>
  <si>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</si>
  <si>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</si>
  <si>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</si>
  <si>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</si>
  <si>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</si>
  <si>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</si>
  <si>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</si>
  <si>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</si>
  <si>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</si>
  <si>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</si>
  <si>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</si>
  <si>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</si>
  <si>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</si>
  <si>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</si>
  <si>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</si>
  <si>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</si>
  <si>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</si>
  <si>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</si>
  <si>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</si>
  <si>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</si>
  <si>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</si>
  <si>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</si>
  <si>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</si>
  <si>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</si>
  <si>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</si>
  <si>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</si>
  <si>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</si>
  <si>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</si>
  <si>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</si>
  <si>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</si>
  <si>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</si>
  <si>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</si>
  <si>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</si>
  <si>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</si>
  <si>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</si>
  <si>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</si>
  <si>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</si>
  <si>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</si>
  <si>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</si>
  <si>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</si>
  <si>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</si>
  <si>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</si>
  <si>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</si>
  <si>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</si>
  <si>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</si>
  <si>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</si>
  <si>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</si>
  <si>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</si>
  <si>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</si>
  <si>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</si>
  <si>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</si>
  <si>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</si>
  <si>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</si>
  <si>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</si>
  <si>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</si>
  <si>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</si>
  <si>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</si>
  <si>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</si>
  <si>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</si>
  <si>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</si>
  <si>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</si>
  <si>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</si>
  <si>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</si>
  <si>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</si>
  <si>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</si>
  <si>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</si>
  <si>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</si>
  <si>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</si>
  <si>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</si>
  <si>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</si>
  <si>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</si>
  <si>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</si>
  <si>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</si>
  <si>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</si>
  <si>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</si>
  <si>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</si>
  <si>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</si>
  <si>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</si>
  <si>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</si>
  <si>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</si>
  <si>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</si>
  <si>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</si>
  <si>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</si>
  <si>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</si>
  <si>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</si>
  <si>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</si>
  <si>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</si>
  <si>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</si>
  <si>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</si>
  <si>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</si>
  <si>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</si>
  <si>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</si>
  <si>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</si>
  <si>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</si>
  <si>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</si>
  <si>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</si>
  <si>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</si>
  <si>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</si>
  <si>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</si>
  <si>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</si>
  <si>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</si>
  <si>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</si>
  <si>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</si>
  <si>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</si>
  <si>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</si>
  <si>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</si>
  <si>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</si>
  <si>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</si>
  <si>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</si>
  <si>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</si>
  <si>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</si>
  <si>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</si>
  <si>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</si>
  <si>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</si>
  <si>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</si>
  <si>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</si>
  <si>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</si>
  <si>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</si>
  <si>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</si>
  <si>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</si>
  <si>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</si>
  <si>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</si>
  <si>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</si>
  <si>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</si>
  <si>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</si>
  <si>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</si>
  <si>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</si>
  <si>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</si>
  <si>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</si>
  <si>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</si>
  <si>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</si>
  <si>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</si>
  <si>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</si>
  <si>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</si>
  <si>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</si>
  <si>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</si>
  <si>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</si>
  <si>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</si>
  <si>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</si>
  <si>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</si>
  <si>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</si>
  <si>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</si>
  <si>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</si>
  <si>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</si>
  <si>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</si>
  <si>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</si>
  <si>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</si>
  <si>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</si>
  <si>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</si>
  <si>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</si>
  <si>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</si>
  <si>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</si>
  <si>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</si>
  <si>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</si>
  <si>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</si>
  <si>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</si>
  <si>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</si>
  <si>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</si>
  <si>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</si>
  <si>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</si>
  <si>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</si>
  <si>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</si>
  <si>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</si>
  <si>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</si>
  <si>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</si>
  <si>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</si>
  <si>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</si>
  <si>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</si>
  <si>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</si>
  <si>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</si>
  <si>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</si>
  <si>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</si>
  <si>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</si>
  <si>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</si>
  <si>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</si>
  <si>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</si>
  <si>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</si>
  <si>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</si>
  <si>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</si>
  <si>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</si>
  <si>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</si>
  <si>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</si>
  <si>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</si>
  <si>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</si>
  <si>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</si>
  <si>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</si>
  <si>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</si>
  <si>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</si>
  <si>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</si>
  <si>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</si>
  <si>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</si>
  <si>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</si>
  <si>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</si>
  <si>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</si>
  <si>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</si>
  <si>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</si>
  <si>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</si>
  <si>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</si>
  <si>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</si>
  <si>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</si>
  <si>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WAYNE, WHITE</t>
  </si>
  <si>
    <t>300 WEST KING</t>
  </si>
  <si>
    <t>FAIRFIELD</t>
  </si>
  <si>
    <t>JILL FULKERSON</t>
  </si>
  <si>
    <t>jfulkerson@fchsmules.com</t>
  </si>
  <si>
    <t>KEMPER CPA GROUP LLP</t>
  </si>
  <si>
    <t>MICHELLE SMITH, CPA</t>
  </si>
  <si>
    <t>7200 EAGLE CREST BLVD.</t>
  </si>
  <si>
    <t>EVANSVILLE</t>
  </si>
  <si>
    <t>IN</t>
  </si>
  <si>
    <t>(812)421-8000</t>
  </si>
  <si>
    <t>(812)421-2292</t>
  </si>
  <si>
    <t>mdsmith@kempercpa.com</t>
  </si>
  <si>
    <t>(618)842-2649</t>
  </si>
  <si>
    <t>(618)842-5187</t>
  </si>
  <si>
    <t>Lease Purchase - School Bus</t>
  </si>
  <si>
    <t>Lease Purchase - School Activity Bus</t>
  </si>
  <si>
    <t>General Obligation Bonds Series 2016</t>
  </si>
  <si>
    <t>General Obligation Funding Bonds Series 2016A</t>
  </si>
  <si>
    <t>Lease Purchase Agreement</t>
  </si>
  <si>
    <t>x</t>
  </si>
  <si>
    <t>Wabash and Ohio Valley Special Ed District (See below)</t>
  </si>
  <si>
    <t>Ohio and Wabash Valley Regional Voc. System (See below)</t>
  </si>
  <si>
    <t>Line 26: Includes school districts within the counties of Edwards, Gallatin, Hamilton, Hardin, Pope, Saline, Wabash, Wayne, and White.</t>
  </si>
  <si>
    <t>Line 31: Includes school districts within the counties of Edwards, Gallatin, Hamilton, Hardin, Pope, Saline, Wabash, Wayne, and White.</t>
  </si>
  <si>
    <t>Page 11, Line 106, Account No. 1993 - Other Local Fees</t>
  </si>
  <si>
    <t>Transportation Fund (40) - Transportation Fees FY19, $210</t>
  </si>
  <si>
    <t>Page 11, Line 107, Account No. 1999 - Other Local Revenue</t>
  </si>
  <si>
    <t>Transportation Fund (40) - Student Transportation Fees FY19, $120; Operations &amp; Maintenance Fund (20) - FY19 Parking Fees, $3,657, Recycling Donation, $60, AC/Heat Unit Insurance Claim, $28,463;</t>
  </si>
  <si>
    <t>Education Fund (10) - Tech E-Rate, $3,682; Science Textbooks, $450; English Field Trip, $310; ROE Homeless Supplies Reimbursement, $976; FY19 Start Up Cash-Ticket Box, $1,100; Miscellaneous, $449</t>
  </si>
  <si>
    <t>Page 18, Line 171, Account No. 5400 - Debt Services - Other</t>
  </si>
  <si>
    <t>Debt Service Fund (30) - Service/Registrar Fee, $1,000.</t>
  </si>
  <si>
    <t>Page 10, Line 81, Account No. 1790 - Other District/School Activity Revenue</t>
  </si>
  <si>
    <t>Education Fund (10) - FY19 Yearbook Sales, $17,430</t>
  </si>
  <si>
    <t>Page 12, Line 168, Account No. 3999 - Other Restricted Revenue from State Sources</t>
  </si>
  <si>
    <t>Education Fund (10) - FY19 Library Grant, $750; FY18 Other State Programs (Special Education-Transportation), $2,384</t>
  </si>
  <si>
    <t>Audit Checklist, Line 8 - Total Long-Term Debt (Principal) Retired (P18, Cells H170) must = Debt Service - Long-Term Debt (Principal) Retired (P24, Cells H49)</t>
  </si>
  <si>
    <t>The principal payments for debt service in the amount of $41,262 are lease purchase payments accounted for in the Transportation Fund in Account No. 5300,</t>
  </si>
  <si>
    <t>Payments of Principal on Long-Term Debt.</t>
  </si>
  <si>
    <t>ADVERSE</t>
  </si>
  <si>
    <t>District personnel do not possess the necessary accounting expertise to prevent, detect, or correct potential omissions in the footnotes to the financial statements.</t>
  </si>
  <si>
    <t>The District does not currently employ an individual with the necessary knowledge and expertise to draft the footnotes to the financial statements.</t>
  </si>
  <si>
    <t>In the absence of the necessary knowledge and expertise, the District must rely on the auditors to ensure the notes to the financial statements are properly presented.</t>
  </si>
  <si>
    <t>The District cannot prepare the notes to the financial statements.</t>
  </si>
  <si>
    <t>The District personnel have not obtained the necessary knowledge or expertise.</t>
  </si>
  <si>
    <t>The District should provide the necessary training to the personnel or contract with an independent contractor with the knowledge to properly prepare the notes to the financial statements.</t>
  </si>
  <si>
    <t>The District does not currently see the value in the additional cost of seeking additional accounting expertise to prepare financial statements.</t>
  </si>
  <si>
    <t>2018-001</t>
  </si>
  <si>
    <t>2018-002</t>
  </si>
  <si>
    <t xml:space="preserve">Lacks sufficient expertise to prepare financial statements.      </t>
  </si>
  <si>
    <t>Overexpenditure of budgeted amounts.</t>
  </si>
  <si>
    <t>Unresolved - See Finding 2019-001</t>
  </si>
  <si>
    <t>Resolved - No repeat finding in 2019.</t>
  </si>
  <si>
    <t>N/A</t>
  </si>
  <si>
    <t>Fairfield Comm H S Dist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</si>
</sst>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 fillId="0" borderId="157" xfId="17" applyFont="1" applyBorder="1" applyAlignment="1" applyProtection="1">
      <alignment horizontal="left"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152400</xdr:rowOff>
        </xdr:from>
        <xdr:to>
          <xdr:col>1</xdr:col>
          <xdr:colOff>883227</xdr:colOff>
          <xdr:row>5</xdr:row>
          <xdr:rowOff>41564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155864</xdr:rowOff>
        </xdr:from>
        <xdr:to>
          <xdr:col>1</xdr:col>
          <xdr:colOff>883227</xdr:colOff>
          <xdr:row>10</xdr:row>
          <xdr:rowOff>45027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6" t="s">
        <v>405</v>
      </c>
      <c r="J1" s="2017"/>
      <c r="K1" s="2017"/>
      <c r="L1" s="2017"/>
      <c r="M1" s="2017"/>
      <c r="N1" s="2017"/>
      <c r="O1" s="2017"/>
      <c r="P1" s="2017"/>
      <c r="Q1" s="2017"/>
      <c r="R1" s="2017"/>
      <c r="S1" s="2017"/>
    </row>
    <row r="2" spans="1:28" ht="12" customHeight="1" x14ac:dyDescent="0.2">
      <c r="A2" s="47" t="s">
        <v>1990</v>
      </c>
      <c r="D2" s="48"/>
      <c r="I2" s="2018" t="s">
        <v>979</v>
      </c>
      <c r="J2" s="2017"/>
      <c r="K2" s="2017"/>
      <c r="L2" s="2017"/>
      <c r="M2" s="2017"/>
      <c r="N2" s="2017"/>
      <c r="O2" s="2017"/>
      <c r="P2" s="2017"/>
      <c r="Q2" s="2017"/>
      <c r="R2" s="2017"/>
      <c r="S2" s="2017"/>
    </row>
    <row r="3" spans="1:28" ht="12" customHeight="1" x14ac:dyDescent="0.2">
      <c r="A3" s="155" t="s">
        <v>1942</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2064</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2064</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20096225016</v>
      </c>
      <c r="B13" s="1987"/>
      <c r="C13" s="1987"/>
      <c r="D13" s="1987"/>
      <c r="E13" s="1987"/>
      <c r="F13" s="1987"/>
      <c r="G13" s="1987"/>
      <c r="H13" s="1988"/>
      <c r="I13" s="31"/>
      <c r="J13" s="30"/>
      <c r="K13" s="28"/>
      <c r="L13" s="30"/>
      <c r="M13" s="30"/>
      <c r="N13" s="30"/>
      <c r="O13" s="30"/>
      <c r="P13" s="30"/>
      <c r="Q13" s="30"/>
      <c r="R13" s="30"/>
      <c r="S13" s="30"/>
      <c r="T13" s="1991" t="s">
        <v>2070</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2065</v>
      </c>
      <c r="B15" s="1989"/>
      <c r="C15" s="1989"/>
      <c r="D15" s="1989"/>
      <c r="E15" s="1989"/>
      <c r="F15" s="1989"/>
      <c r="G15" s="1989"/>
      <c r="H15" s="1990"/>
      <c r="T15" s="1952" t="s">
        <v>2071</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2119</v>
      </c>
      <c r="B17" s="2014"/>
      <c r="C17" s="2014"/>
      <c r="D17" s="2014"/>
      <c r="E17" s="2014"/>
      <c r="F17" s="2014"/>
      <c r="G17" s="2014"/>
      <c r="H17" s="2015"/>
      <c r="T17" s="2001" t="s">
        <v>2072</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2066</v>
      </c>
      <c r="B19" s="1985"/>
      <c r="C19" s="1985"/>
      <c r="D19" s="1985"/>
      <c r="E19" s="1985"/>
      <c r="F19" s="1985"/>
      <c r="G19" s="1985"/>
      <c r="H19" s="1983"/>
      <c r="I19" s="30"/>
      <c r="J19" s="99"/>
      <c r="K19" s="40"/>
      <c r="L19" s="38"/>
      <c r="M19" s="112" t="s">
        <v>315</v>
      </c>
      <c r="P19" s="27"/>
      <c r="Q19" s="27"/>
      <c r="R19" s="27"/>
      <c r="S19" s="31"/>
      <c r="T19" s="1984" t="s">
        <v>2073</v>
      </c>
      <c r="U19" s="1982"/>
      <c r="V19" s="1982"/>
      <c r="W19" s="1983"/>
      <c r="X19" s="1999" t="s">
        <v>2074</v>
      </c>
      <c r="Y19" s="2000"/>
      <c r="Z19" s="1997">
        <v>47715</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2067</v>
      </c>
      <c r="B21" s="1982"/>
      <c r="C21" s="1982"/>
      <c r="D21" s="1982"/>
      <c r="E21" s="1982"/>
      <c r="F21" s="1982"/>
      <c r="G21" s="1982"/>
      <c r="H21" s="1983"/>
      <c r="I21" s="2007" t="s">
        <v>678</v>
      </c>
      <c r="J21" s="1970"/>
      <c r="K21" s="1970"/>
      <c r="L21" s="1970"/>
      <c r="M21" s="1970"/>
      <c r="N21" s="1970"/>
      <c r="O21" s="1970"/>
      <c r="P21" s="1970"/>
      <c r="Q21" s="1970"/>
      <c r="R21" s="1970"/>
      <c r="S21" s="1971"/>
      <c r="T21" s="1949" t="s">
        <v>2075</v>
      </c>
      <c r="U21" s="1950"/>
      <c r="V21" s="1950"/>
      <c r="W21" s="1950"/>
      <c r="X21" s="1963" t="s">
        <v>2076</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c r="B23" s="2005"/>
      <c r="C23" s="2005"/>
      <c r="D23" s="2005"/>
      <c r="E23" s="2005"/>
      <c r="F23" s="2005"/>
      <c r="G23" s="2005"/>
      <c r="H23" s="2006"/>
      <c r="T23" s="1944"/>
      <c r="U23" s="1945"/>
      <c r="V23" s="1945"/>
      <c r="W23" s="1945"/>
      <c r="X23" s="1960"/>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62837</v>
      </c>
      <c r="B25" s="1982"/>
      <c r="C25" s="1982"/>
      <c r="D25" s="1982"/>
      <c r="E25" s="1982"/>
      <c r="F25" s="1982"/>
      <c r="G25" s="1982"/>
      <c r="H25" s="1983"/>
      <c r="I25" s="113"/>
      <c r="J25" s="2048"/>
      <c r="K25" s="2048"/>
      <c r="L25" s="2048"/>
      <c r="M25" s="2048"/>
      <c r="N25" s="2048"/>
      <c r="O25" s="2048"/>
      <c r="P25" s="2048"/>
      <c r="Q25" s="2048"/>
      <c r="R25" s="2048"/>
      <c r="S25" s="2049"/>
      <c r="T25" s="1941" t="s">
        <v>2077</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2068</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2069</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2078</v>
      </c>
      <c r="B42" s="2031"/>
      <c r="C42" s="2032"/>
      <c r="D42" s="2045" t="s">
        <v>2079</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2070</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100871338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9.1999999999999998E-3</v>
      </c>
      <c r="E10" s="356" t="s">
        <v>1005</v>
      </c>
      <c r="F10" s="355">
        <v>2.1900000000000001E-3</v>
      </c>
      <c r="G10" s="356" t="s">
        <v>1005</v>
      </c>
      <c r="H10" s="355">
        <v>1.0510000000000001E-3</v>
      </c>
      <c r="I10" s="356" t="s">
        <v>1006</v>
      </c>
      <c r="J10" s="1732">
        <f>ROUND(D10+F10+H10,5)</f>
        <v>1.244E-2</v>
      </c>
      <c r="K10" s="222"/>
      <c r="L10" s="355">
        <v>4.3800000000000002E-4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4382182</v>
      </c>
      <c r="E16" s="356"/>
      <c r="F16" s="1733">
        <f>SUM('Acct Summary 7-8'!C17,'Acct Summary 7-8'!D17,'Acct Summary 7-8'!F17)</f>
        <v>4156365</v>
      </c>
      <c r="G16" s="356"/>
      <c r="H16" s="1733">
        <f>SUM(D16-F16)</f>
        <v>225817</v>
      </c>
      <c r="I16" s="222"/>
      <c r="J16" s="1733">
        <f>SUM('Acct Summary 7-8'!C81,'Acct Summary 7-8'!D81,'Acct Summary 7-8'!F81,'Acct Summary 7-8'!I81)</f>
        <v>1579189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6960122.3220000006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2161626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Fairfield Comm H S Dist 225</v>
      </c>
      <c r="E7" s="391"/>
      <c r="G7" s="252"/>
      <c r="H7" s="387"/>
      <c r="I7" s="387"/>
      <c r="J7" s="387"/>
      <c r="K7" s="387"/>
      <c r="L7" s="329"/>
      <c r="M7" s="329"/>
      <c r="N7" s="329"/>
      <c r="O7" s="329"/>
      <c r="P7" s="329"/>
    </row>
    <row r="8" spans="1:18" ht="12.75" x14ac:dyDescent="0.2">
      <c r="A8" s="329"/>
      <c r="B8" s="329"/>
      <c r="C8" s="389" t="s">
        <v>1125</v>
      </c>
      <c r="D8" s="392">
        <f>COVER!A13</f>
        <v>20096225016</v>
      </c>
      <c r="E8" s="393"/>
      <c r="G8" s="329"/>
      <c r="H8" s="329"/>
      <c r="I8" s="329"/>
      <c r="J8" s="329"/>
      <c r="K8" s="329"/>
      <c r="L8" s="329"/>
      <c r="M8" s="329"/>
      <c r="N8" s="329"/>
      <c r="O8" s="329"/>
      <c r="P8" s="329"/>
    </row>
    <row r="9" spans="1:18" ht="12.75" x14ac:dyDescent="0.2">
      <c r="A9" s="329"/>
      <c r="B9" s="329"/>
      <c r="C9" s="389" t="s">
        <v>713</v>
      </c>
      <c r="D9" s="394" t="str">
        <f>COVER!A15</f>
        <v>WAYNE, WHITE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1579189</v>
      </c>
      <c r="I12" s="404"/>
      <c r="J12" s="404"/>
      <c r="K12" s="405">
        <f>TRUNC((H12/H13*100000),5)/100000</f>
        <v>0.36036590900000004</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4382182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4156365</v>
      </c>
      <c r="I17" s="404"/>
      <c r="J17" s="416"/>
      <c r="K17" s="405">
        <f>TRUNC((H17/H18*100000),5)/100000</f>
        <v>0.94846927849999996</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4382182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1579189</v>
      </c>
      <c r="I24" s="422"/>
      <c r="J24" s="422"/>
      <c r="K24" s="423">
        <f>TRUNC(((H24/H25*100000)/100000),2)</f>
        <v>136.78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11545.458329999999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1066613.52801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2161626</v>
      </c>
      <c r="I32" s="420"/>
      <c r="J32" s="420"/>
      <c r="K32" s="423">
        <f>TRUNC(100-((((H32/H33*100))*100)/100),2)</f>
        <v>68.94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6960122.3220000006</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21" activePane="bottomLeft" state="frozen"/>
      <selection pane="bottomLeft" activeCell="O45" sqref="O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1105547</v>
      </c>
      <c r="D4" s="466">
        <v>55458</v>
      </c>
      <c r="E4" s="466">
        <v>131446</v>
      </c>
      <c r="F4" s="466">
        <v>341586</v>
      </c>
      <c r="G4" s="466">
        <v>449070</v>
      </c>
      <c r="H4" s="466"/>
      <c r="I4" s="466">
        <v>76598</v>
      </c>
      <c r="J4" s="467">
        <v>113314</v>
      </c>
      <c r="K4" s="466"/>
      <c r="L4" s="466">
        <v>105353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1105547</v>
      </c>
      <c r="D13" s="1737">
        <f t="shared" ref="D13:L13" si="0">SUM(D4:D12)</f>
        <v>55458</v>
      </c>
      <c r="E13" s="1737">
        <f t="shared" si="0"/>
        <v>131446</v>
      </c>
      <c r="F13" s="1737">
        <f t="shared" si="0"/>
        <v>341586</v>
      </c>
      <c r="G13" s="1737">
        <f t="shared" si="0"/>
        <v>449070</v>
      </c>
      <c r="H13" s="1737">
        <f t="shared" si="0"/>
        <v>0</v>
      </c>
      <c r="I13" s="1737">
        <f t="shared" si="0"/>
        <v>76598</v>
      </c>
      <c r="J13" s="1737">
        <f t="shared" si="0"/>
        <v>113314</v>
      </c>
      <c r="K13" s="1737">
        <f t="shared" si="0"/>
        <v>0</v>
      </c>
      <c r="L13" s="1737">
        <f t="shared" si="0"/>
        <v>105353</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267017</v>
      </c>
      <c r="N16" s="484"/>
    </row>
    <row r="17" spans="1:14" s="485" customFormat="1" ht="12.75" customHeight="1" x14ac:dyDescent="0.2">
      <c r="A17" s="482" t="s">
        <v>1403</v>
      </c>
      <c r="B17" s="483">
        <v>230</v>
      </c>
      <c r="C17" s="477"/>
      <c r="D17" s="477"/>
      <c r="E17" s="477"/>
      <c r="F17" s="477"/>
      <c r="G17" s="477"/>
      <c r="H17" s="477"/>
      <c r="I17" s="477"/>
      <c r="J17" s="477"/>
      <c r="K17" s="477"/>
      <c r="L17" s="477"/>
      <c r="M17" s="467">
        <v>12602782</v>
      </c>
      <c r="N17" s="484"/>
    </row>
    <row r="18" spans="1:14" s="485" customFormat="1" ht="12.75" customHeight="1" x14ac:dyDescent="0.2">
      <c r="A18" s="482" t="s">
        <v>1404</v>
      </c>
      <c r="B18" s="483">
        <v>240</v>
      </c>
      <c r="C18" s="477"/>
      <c r="D18" s="477"/>
      <c r="E18" s="477"/>
      <c r="F18" s="477"/>
      <c r="G18" s="477"/>
      <c r="H18" s="477"/>
      <c r="I18" s="477"/>
      <c r="J18" s="477"/>
      <c r="K18" s="477"/>
      <c r="L18" s="477"/>
      <c r="M18" s="467">
        <v>3739971</v>
      </c>
      <c r="N18" s="484"/>
    </row>
    <row r="19" spans="1:14" s="485" customFormat="1" ht="12.75" customHeight="1" x14ac:dyDescent="0.2">
      <c r="A19" s="482" t="s">
        <v>1405</v>
      </c>
      <c r="B19" s="483">
        <v>250</v>
      </c>
      <c r="C19" s="477"/>
      <c r="D19" s="477"/>
      <c r="E19" s="477"/>
      <c r="F19" s="477"/>
      <c r="G19" s="477"/>
      <c r="H19" s="477"/>
      <c r="I19" s="477"/>
      <c r="J19" s="477"/>
      <c r="K19" s="477"/>
      <c r="L19" s="477"/>
      <c r="M19" s="467">
        <v>1187736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131446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2030180</v>
      </c>
    </row>
    <row r="23" spans="1:14" ht="13.5" customHeight="1" thickBot="1" x14ac:dyDescent="0.25">
      <c r="A23" s="1736" t="s">
        <v>643</v>
      </c>
      <c r="B23" s="1741"/>
      <c r="C23" s="468"/>
      <c r="D23" s="468"/>
      <c r="E23" s="468"/>
      <c r="F23" s="468"/>
      <c r="G23" s="468"/>
      <c r="H23" s="468"/>
      <c r="I23" s="468"/>
      <c r="J23" s="468"/>
      <c r="K23" s="468"/>
      <c r="L23" s="468"/>
      <c r="M23" s="1688">
        <f>SUM(M15:M22)</f>
        <v>17797506</v>
      </c>
      <c r="N23" s="1688">
        <f>SUM(N21:N22)</f>
        <v>2161626</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105353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105353</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2161626</v>
      </c>
    </row>
    <row r="37" spans="1:14" ht="13.5" thickBot="1" x14ac:dyDescent="0.25">
      <c r="A37" s="1736" t="s">
        <v>653</v>
      </c>
      <c r="B37" s="1741"/>
      <c r="C37" s="477"/>
      <c r="D37" s="477"/>
      <c r="E37" s="477"/>
      <c r="F37" s="477"/>
      <c r="G37" s="477"/>
      <c r="H37" s="477"/>
      <c r="I37" s="477"/>
      <c r="J37" s="477"/>
      <c r="K37" s="477"/>
      <c r="L37" s="480"/>
      <c r="M37" s="468"/>
      <c r="N37" s="1688">
        <f>SUM(N36:N36)</f>
        <v>2161626</v>
      </c>
    </row>
    <row r="38" spans="1:14" s="329" customFormat="1" ht="13.5" customHeight="1" thickTop="1" x14ac:dyDescent="0.2">
      <c r="A38" s="496" t="s">
        <v>420</v>
      </c>
      <c r="B38" s="483">
        <v>714</v>
      </c>
      <c r="C38" s="466">
        <v>206671</v>
      </c>
      <c r="D38" s="466"/>
      <c r="E38" s="466"/>
      <c r="F38" s="466"/>
      <c r="G38" s="466"/>
      <c r="H38" s="466"/>
      <c r="I38" s="466"/>
      <c r="J38" s="467"/>
      <c r="K38" s="466"/>
      <c r="L38" s="481"/>
      <c r="M38" s="497"/>
      <c r="N38" s="497"/>
    </row>
    <row r="39" spans="1:14" s="329" customFormat="1" ht="13.5" customHeight="1" x14ac:dyDescent="0.2">
      <c r="A39" s="496" t="s">
        <v>342</v>
      </c>
      <c r="B39" s="483">
        <v>730</v>
      </c>
      <c r="C39" s="466">
        <v>898876</v>
      </c>
      <c r="D39" s="466">
        <v>55458</v>
      </c>
      <c r="E39" s="466">
        <v>131446</v>
      </c>
      <c r="F39" s="466">
        <v>341586</v>
      </c>
      <c r="G39" s="466">
        <v>449070</v>
      </c>
      <c r="H39" s="466"/>
      <c r="I39" s="466">
        <v>76598</v>
      </c>
      <c r="J39" s="467">
        <v>113314</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17797506</v>
      </c>
      <c r="N40" s="497"/>
    </row>
    <row r="41" spans="1:14" ht="13.5" customHeight="1" thickBot="1" x14ac:dyDescent="0.25">
      <c r="A41" s="1736" t="s">
        <v>655</v>
      </c>
      <c r="B41" s="1706"/>
      <c r="C41" s="1688">
        <f>(SUM(C34,C37,C38,C39))</f>
        <v>1105547</v>
      </c>
      <c r="D41" s="1688">
        <f t="shared" ref="D41:L41" si="2">SUM(D34,D37,D38:D39)</f>
        <v>55458</v>
      </c>
      <c r="E41" s="1688">
        <f t="shared" si="2"/>
        <v>131446</v>
      </c>
      <c r="F41" s="1688">
        <f t="shared" si="2"/>
        <v>341586</v>
      </c>
      <c r="G41" s="1688">
        <f t="shared" si="2"/>
        <v>449070</v>
      </c>
      <c r="H41" s="1688">
        <f t="shared" si="2"/>
        <v>0</v>
      </c>
      <c r="I41" s="1688">
        <f t="shared" si="2"/>
        <v>76598</v>
      </c>
      <c r="J41" s="1688">
        <f t="shared" si="2"/>
        <v>113314</v>
      </c>
      <c r="K41" s="1688">
        <f t="shared" si="2"/>
        <v>0</v>
      </c>
      <c r="L41" s="1688">
        <f t="shared" si="2"/>
        <v>105353</v>
      </c>
      <c r="M41" s="1688">
        <f>SUM(M40)</f>
        <v>17797506</v>
      </c>
      <c r="N41" s="1688">
        <f>SUM(N37)</f>
        <v>2161626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
      <selection pane="bottomLeft" activeCell="E90" sqref="E9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1159325</v>
      </c>
      <c r="D4" s="1742">
        <f>'Revenues 9-14'!D109</f>
        <v>274557</v>
      </c>
      <c r="E4" s="1742">
        <f>'Revenues 9-14'!E109</f>
        <v>386729</v>
      </c>
      <c r="F4" s="1742">
        <f>'Revenues 9-14'!F109</f>
        <v>125862</v>
      </c>
      <c r="G4" s="1742">
        <f>'Revenues 9-14'!G109</f>
        <v>188762</v>
      </c>
      <c r="H4" s="1742">
        <f>'Revenues 9-14'!H109</f>
        <v>0</v>
      </c>
      <c r="I4" s="1742">
        <f>'Revenues 9-14'!I109</f>
        <v>48768</v>
      </c>
      <c r="J4" s="1742">
        <f>'Revenues 9-14'!J109</f>
        <v>243763</v>
      </c>
      <c r="K4" s="1742">
        <f>'Revenues 9-14'!K109</f>
        <v>51348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2273096</v>
      </c>
      <c r="D6" s="1743">
        <f>'Revenues 9-14'!D170</f>
        <v>217289</v>
      </c>
      <c r="E6" s="1743">
        <f>'Revenues 9-14'!E170</f>
        <v>0</v>
      </c>
      <c r="F6" s="1743">
        <f>'Revenues 9-14'!F170</f>
        <v>79874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203411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3635832</v>
      </c>
      <c r="D8" s="1688">
        <f t="shared" ref="D8:K8" si="0">SUM(D4:D7)</f>
        <v>491846</v>
      </c>
      <c r="E8" s="1688">
        <f t="shared" si="0"/>
        <v>386729</v>
      </c>
      <c r="F8" s="1688">
        <f t="shared" si="0"/>
        <v>205736</v>
      </c>
      <c r="G8" s="1688">
        <f t="shared" si="0"/>
        <v>188762</v>
      </c>
      <c r="H8" s="1688">
        <f t="shared" si="0"/>
        <v>0</v>
      </c>
      <c r="I8" s="1688">
        <f t="shared" si="0"/>
        <v>48768</v>
      </c>
      <c r="J8" s="1688">
        <f t="shared" si="0"/>
        <v>243763</v>
      </c>
      <c r="K8" s="1688">
        <f t="shared" si="0"/>
        <v>51348</v>
      </c>
      <c r="L8" s="347"/>
    </row>
    <row r="9" spans="1:13" ht="15.75" thickTop="1" x14ac:dyDescent="0.2">
      <c r="A9" s="514" t="s">
        <v>1653</v>
      </c>
      <c r="B9" s="515">
        <v>3998</v>
      </c>
      <c r="C9" s="481">
        <v>1349805</v>
      </c>
      <c r="D9" s="516"/>
      <c r="E9" s="481"/>
      <c r="F9" s="481"/>
      <c r="G9" s="517"/>
      <c r="H9" s="481"/>
      <c r="I9" s="509" t="s">
        <v>1169</v>
      </c>
      <c r="J9" s="478"/>
      <c r="K9" s="481"/>
      <c r="L9" s="347"/>
    </row>
    <row r="10" spans="1:13" s="519" customFormat="1" ht="13.5" thickBot="1" x14ac:dyDescent="0.25">
      <c r="A10" s="1736" t="s">
        <v>1173</v>
      </c>
      <c r="B10" s="1709"/>
      <c r="C10" s="1688">
        <f>SUM(C8:C9)</f>
        <v>4985637</v>
      </c>
      <c r="D10" s="1688">
        <f t="shared" ref="D10:K10" si="1">SUM(D8:D9)</f>
        <v>491846</v>
      </c>
      <c r="E10" s="1688">
        <f t="shared" si="1"/>
        <v>386729</v>
      </c>
      <c r="F10" s="1688">
        <f t="shared" si="1"/>
        <v>205736</v>
      </c>
      <c r="G10" s="1688">
        <f t="shared" si="1"/>
        <v>188762</v>
      </c>
      <c r="H10" s="1688">
        <f t="shared" si="1"/>
        <v>0</v>
      </c>
      <c r="I10" s="1688">
        <f t="shared" si="1"/>
        <v>48768</v>
      </c>
      <c r="J10" s="1688">
        <f t="shared" si="1"/>
        <v>243763</v>
      </c>
      <c r="K10" s="1688">
        <f t="shared" si="1"/>
        <v>51348</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2444021</v>
      </c>
      <c r="D12" s="520" t="s">
        <v>1169</v>
      </c>
      <c r="E12" s="468" t="s">
        <v>1169</v>
      </c>
      <c r="F12" s="468" t="s">
        <v>1169</v>
      </c>
      <c r="G12" s="1742">
        <f>'Expenditures 15-22'!K229</f>
        <v>56917</v>
      </c>
      <c r="H12" s="521"/>
      <c r="I12" s="468" t="s">
        <v>1169</v>
      </c>
      <c r="J12" s="468" t="s">
        <v>1169</v>
      </c>
      <c r="K12" s="521" t="s">
        <v>1169</v>
      </c>
      <c r="L12" s="347"/>
    </row>
    <row r="13" spans="1:13" ht="15.75" customHeight="1" x14ac:dyDescent="0.2">
      <c r="A13" s="1576" t="s">
        <v>457</v>
      </c>
      <c r="B13" s="1578">
        <v>2000</v>
      </c>
      <c r="C13" s="1743">
        <f>'Expenditures 15-22'!K74</f>
        <v>718740</v>
      </c>
      <c r="D13" s="1743">
        <f>'Expenditures 15-22'!K129</f>
        <v>512635</v>
      </c>
      <c r="E13" s="469" t="s">
        <v>1169</v>
      </c>
      <c r="F13" s="1743">
        <f>'Expenditures 15-22'!K184</f>
        <v>148113</v>
      </c>
      <c r="G13" s="1743">
        <f>'Expenditures 15-22'!K279</f>
        <v>83665</v>
      </c>
      <c r="H13" s="1743">
        <f>'Expenditures 15-22'!K303</f>
        <v>0</v>
      </c>
      <c r="I13" s="468" t="s">
        <v>1169</v>
      </c>
      <c r="J13" s="1743">
        <f>'Expenditures 15-22'!K330</f>
        <v>237776</v>
      </c>
      <c r="K13" s="1747">
        <f>'Expenditures 15-22'!K352</f>
        <v>1915546</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287682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375355</v>
      </c>
      <c r="F16" s="1743">
        <f>'Expenditures 15-22'!K208</f>
        <v>45174</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3450443</v>
      </c>
      <c r="D17" s="1688">
        <f t="shared" si="2"/>
        <v>512635</v>
      </c>
      <c r="E17" s="1688">
        <f t="shared" si="2"/>
        <v>375355</v>
      </c>
      <c r="F17" s="1688">
        <f t="shared" si="2"/>
        <v>193287</v>
      </c>
      <c r="G17" s="1688">
        <f t="shared" si="2"/>
        <v>140582</v>
      </c>
      <c r="H17" s="1688">
        <f t="shared" si="2"/>
        <v>0</v>
      </c>
      <c r="I17" s="468"/>
      <c r="J17" s="1688">
        <f>SUM(J12:J16)</f>
        <v>237776</v>
      </c>
      <c r="K17" s="1688">
        <f>SUM(K12:K16)</f>
        <v>1915546</v>
      </c>
      <c r="L17" s="347"/>
    </row>
    <row r="18" spans="1:12" ht="15" customHeight="1" thickTop="1" x14ac:dyDescent="0.2">
      <c r="A18" s="1744" t="s">
        <v>1654</v>
      </c>
      <c r="B18" s="1745">
        <v>4180</v>
      </c>
      <c r="C18" s="1742">
        <f t="shared" ref="C18:H18" si="3">C9</f>
        <v>1349805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4800248</v>
      </c>
      <c r="D19" s="1688">
        <f t="shared" si="4"/>
        <v>512635</v>
      </c>
      <c r="E19" s="1688">
        <f t="shared" si="4"/>
        <v>375355</v>
      </c>
      <c r="F19" s="1688">
        <f t="shared" si="4"/>
        <v>193287</v>
      </c>
      <c r="G19" s="1688">
        <f t="shared" si="4"/>
        <v>140582</v>
      </c>
      <c r="H19" s="1688">
        <f t="shared" si="4"/>
        <v>0</v>
      </c>
      <c r="I19" s="468"/>
      <c r="J19" s="1688">
        <f>SUM(J17:J18)</f>
        <v>237776</v>
      </c>
      <c r="K19" s="1688">
        <f>SUM(K17:K18)</f>
        <v>1915546</v>
      </c>
      <c r="L19" s="347"/>
    </row>
    <row r="20" spans="1:12" ht="16.5" thickTop="1" thickBot="1" x14ac:dyDescent="0.25">
      <c r="A20" s="2126" t="s">
        <v>1655</v>
      </c>
      <c r="B20" s="2127"/>
      <c r="C20" s="1746">
        <f>C8-C17</f>
        <v>185389</v>
      </c>
      <c r="D20" s="1746">
        <f t="shared" ref="D20:K20" si="5">D8-D17</f>
        <v>-20789</v>
      </c>
      <c r="E20" s="1746">
        <f t="shared" si="5"/>
        <v>11374</v>
      </c>
      <c r="F20" s="1746">
        <f t="shared" si="5"/>
        <v>12449</v>
      </c>
      <c r="G20" s="1746">
        <f t="shared" si="5"/>
        <v>48180</v>
      </c>
      <c r="H20" s="1746">
        <f t="shared" si="5"/>
        <v>0</v>
      </c>
      <c r="I20" s="1746">
        <f t="shared" si="5"/>
        <v>48768</v>
      </c>
      <c r="J20" s="1746">
        <f t="shared" si="5"/>
        <v>5987</v>
      </c>
      <c r="K20" s="1746">
        <f t="shared" si="5"/>
        <v>-1864198</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50309</v>
      </c>
      <c r="E25" s="467"/>
      <c r="F25" s="467"/>
      <c r="G25" s="467"/>
      <c r="H25" s="467"/>
      <c r="I25" s="477"/>
      <c r="J25" s="467"/>
      <c r="K25" s="467">
        <v>75000</v>
      </c>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3">
        <f>SUM(C24:C43)</f>
        <v>0</v>
      </c>
      <c r="D44" s="1703">
        <f t="shared" ref="D44:K44" si="6">SUM(D24:D43)</f>
        <v>50309</v>
      </c>
      <c r="E44" s="1703">
        <f t="shared" si="6"/>
        <v>0</v>
      </c>
      <c r="F44" s="1703">
        <f t="shared" si="6"/>
        <v>0</v>
      </c>
      <c r="G44" s="1703">
        <f t="shared" si="6"/>
        <v>0</v>
      </c>
      <c r="H44" s="1703">
        <f t="shared" si="6"/>
        <v>0</v>
      </c>
      <c r="I44" s="1703">
        <f t="shared" si="6"/>
        <v>0</v>
      </c>
      <c r="J44" s="1703">
        <f t="shared" si="6"/>
        <v>0</v>
      </c>
      <c r="K44" s="1703">
        <f t="shared" si="6"/>
        <v>75000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125309</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0</v>
      </c>
      <c r="I76" s="1703">
        <f t="shared" si="7"/>
        <v>125309</v>
      </c>
      <c r="J76" s="1703">
        <f t="shared" si="7"/>
        <v>0</v>
      </c>
      <c r="K76" s="1703">
        <f t="shared" si="7"/>
        <v>0</v>
      </c>
      <c r="L76" s="524"/>
    </row>
    <row r="77" spans="1:12" ht="14.25" thickTop="1" thickBot="1" x14ac:dyDescent="0.25">
      <c r="A77" s="2118" t="s">
        <v>1177</v>
      </c>
      <c r="B77" s="2119"/>
      <c r="C77" s="1703">
        <f t="shared" ref="C77:K77" si="8">C44-C76</f>
        <v>0</v>
      </c>
      <c r="D77" s="1703">
        <f t="shared" si="8"/>
        <v>50309</v>
      </c>
      <c r="E77" s="1703">
        <f t="shared" si="8"/>
        <v>0</v>
      </c>
      <c r="F77" s="1703">
        <f t="shared" si="8"/>
        <v>0</v>
      </c>
      <c r="G77" s="1703">
        <f t="shared" si="8"/>
        <v>0</v>
      </c>
      <c r="H77" s="1703">
        <f t="shared" si="8"/>
        <v>0</v>
      </c>
      <c r="I77" s="1703">
        <f t="shared" si="8"/>
        <v>-125309</v>
      </c>
      <c r="J77" s="1703">
        <f t="shared" si="8"/>
        <v>0</v>
      </c>
      <c r="K77" s="1703">
        <f t="shared" si="8"/>
        <v>75000</v>
      </c>
      <c r="L77" s="347"/>
    </row>
    <row r="78" spans="1:12" ht="21.75" customHeight="1" thickTop="1" thickBot="1" x14ac:dyDescent="0.25">
      <c r="A78" s="2122" t="s">
        <v>597</v>
      </c>
      <c r="B78" s="2123"/>
      <c r="C78" s="1702">
        <f t="shared" ref="C78:K78" si="9">C20+C77</f>
        <v>185389</v>
      </c>
      <c r="D78" s="1702">
        <f t="shared" si="9"/>
        <v>29520</v>
      </c>
      <c r="E78" s="1702">
        <f t="shared" si="9"/>
        <v>11374</v>
      </c>
      <c r="F78" s="1702">
        <f t="shared" si="9"/>
        <v>12449</v>
      </c>
      <c r="G78" s="1702">
        <f t="shared" si="9"/>
        <v>48180</v>
      </c>
      <c r="H78" s="1702">
        <f t="shared" si="9"/>
        <v>0</v>
      </c>
      <c r="I78" s="1702">
        <f t="shared" si="9"/>
        <v>-76541</v>
      </c>
      <c r="J78" s="1702">
        <f t="shared" si="9"/>
        <v>5987</v>
      </c>
      <c r="K78" s="1702">
        <f t="shared" si="9"/>
        <v>-1789198</v>
      </c>
      <c r="L78" s="533"/>
    </row>
    <row r="79" spans="1:12" ht="13.5" thickTop="1" x14ac:dyDescent="0.2">
      <c r="A79" s="1494" t="s">
        <v>1946</v>
      </c>
      <c r="B79" s="534"/>
      <c r="C79" s="478">
        <v>920158</v>
      </c>
      <c r="D79" s="535">
        <v>25938</v>
      </c>
      <c r="E79" s="535">
        <v>120072</v>
      </c>
      <c r="F79" s="535">
        <v>329137</v>
      </c>
      <c r="G79" s="535">
        <v>400890</v>
      </c>
      <c r="H79" s="535"/>
      <c r="I79" s="535">
        <v>153139</v>
      </c>
      <c r="J79" s="535">
        <v>107327</v>
      </c>
      <c r="K79" s="535">
        <v>1789198</v>
      </c>
      <c r="L79" s="347"/>
    </row>
    <row r="80" spans="1:12" x14ac:dyDescent="0.2">
      <c r="A80" s="2128" t="s">
        <v>1794</v>
      </c>
      <c r="B80" s="2129"/>
      <c r="C80" s="467"/>
      <c r="D80" s="467"/>
      <c r="E80" s="467"/>
      <c r="F80" s="467"/>
      <c r="G80" s="467"/>
      <c r="H80" s="467"/>
      <c r="I80" s="467"/>
      <c r="J80" s="467"/>
      <c r="K80" s="467"/>
      <c r="L80" s="347"/>
    </row>
    <row r="81" spans="1:12" ht="13.5" thickBot="1" x14ac:dyDescent="0.25">
      <c r="A81" s="2120" t="s">
        <v>1947</v>
      </c>
      <c r="B81" s="2121"/>
      <c r="C81" s="1688">
        <f>(SUM(C78:C80))</f>
        <v>1105547</v>
      </c>
      <c r="D81" s="1688">
        <f>SUM(D78:D80)</f>
        <v>55458</v>
      </c>
      <c r="E81" s="1688">
        <f t="shared" ref="E81:K81" si="10">SUM(E78:E80)</f>
        <v>131446</v>
      </c>
      <c r="F81" s="1688">
        <f t="shared" si="10"/>
        <v>341586</v>
      </c>
      <c r="G81" s="1688">
        <f t="shared" si="10"/>
        <v>449070</v>
      </c>
      <c r="H81" s="1688">
        <f t="shared" si="10"/>
        <v>0</v>
      </c>
      <c r="I81" s="1688">
        <f t="shared" si="10"/>
        <v>76598</v>
      </c>
      <c r="J81" s="1688">
        <f t="shared" si="10"/>
        <v>113314</v>
      </c>
      <c r="K81" s="1688">
        <f t="shared" si="10"/>
        <v>0</v>
      </c>
      <c r="L81" s="347"/>
    </row>
    <row r="82" spans="1:12" ht="0.75" customHeight="1" thickTop="1" thickBot="1" x14ac:dyDescent="0.25">
      <c r="A82" s="536" t="s">
        <v>343</v>
      </c>
      <c r="B82" s="537"/>
      <c r="C82" s="538">
        <f>(C81-C79)</f>
        <v>185389</v>
      </c>
      <c r="D82" s="538">
        <f t="shared" ref="D82:K82" si="11">(D81-D79)</f>
        <v>29520</v>
      </c>
      <c r="E82" s="538">
        <f t="shared" si="11"/>
        <v>11374</v>
      </c>
      <c r="F82" s="538">
        <f t="shared" si="11"/>
        <v>12449</v>
      </c>
      <c r="G82" s="538">
        <f t="shared" si="11"/>
        <v>48180</v>
      </c>
      <c r="H82" s="538">
        <f t="shared" si="11"/>
        <v>0</v>
      </c>
      <c r="I82" s="538">
        <f t="shared" si="11"/>
        <v>-76541</v>
      </c>
      <c r="J82" s="538">
        <f t="shared" si="11"/>
        <v>5987</v>
      </c>
      <c r="K82" s="538">
        <f t="shared" si="11"/>
        <v>-1789198</v>
      </c>
    </row>
    <row r="83" spans="1:12" ht="14.25" hidden="1" thickTop="1" thickBot="1" x14ac:dyDescent="0.25">
      <c r="A83" s="539" t="s">
        <v>344</v>
      </c>
      <c r="B83" s="464"/>
      <c r="C83" s="540">
        <f>C82/C81</f>
        <v>0.16768984041384039</v>
      </c>
      <c r="D83" s="540">
        <f t="shared" ref="D83:K83" si="12">D82/D81</f>
        <v>0.53229470950989943</v>
      </c>
      <c r="E83" s="540">
        <f t="shared" si="12"/>
        <v>8.6529829739969269E-2</v>
      </c>
      <c r="F83" s="540">
        <f t="shared" si="12"/>
        <v>3.6444702066243929E-2</v>
      </c>
      <c r="G83" s="540">
        <f t="shared" si="12"/>
        <v>0.10728839601843811</v>
      </c>
      <c r="H83" s="540" t="e">
        <f t="shared" si="12"/>
        <v>#DIV/0!</v>
      </c>
      <c r="I83" s="540">
        <f t="shared" si="12"/>
        <v>-0.9992558552442623</v>
      </c>
      <c r="J83" s="540">
        <f t="shared" si="12"/>
        <v>5.2835483700160613E-2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8"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1801</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884269</v>
      </c>
      <c r="D5" s="481">
        <v>240447</v>
      </c>
      <c r="E5" s="466">
        <v>372503</v>
      </c>
      <c r="F5" s="548">
        <v>115415</v>
      </c>
      <c r="G5" s="466">
        <v>115382</v>
      </c>
      <c r="H5" s="466"/>
      <c r="I5" s="466">
        <v>48089</v>
      </c>
      <c r="J5" s="467">
        <v>240727</v>
      </c>
      <c r="K5" s="466">
        <v>48089</v>
      </c>
    </row>
    <row r="6" spans="1:12" ht="15" x14ac:dyDescent="0.2">
      <c r="A6" s="463" t="s">
        <v>1662</v>
      </c>
      <c r="B6" s="470">
        <v>1130</v>
      </c>
      <c r="C6" s="466">
        <v>48089</v>
      </c>
      <c r="D6" s="466"/>
      <c r="E6" s="475"/>
      <c r="F6" s="475"/>
      <c r="G6" s="468"/>
      <c r="H6" s="468"/>
      <c r="I6" s="468"/>
      <c r="J6" s="468"/>
      <c r="K6" s="468"/>
    </row>
    <row r="7" spans="1:12" x14ac:dyDescent="0.2">
      <c r="A7" s="463" t="s">
        <v>110</v>
      </c>
      <c r="B7" s="549">
        <v>1140</v>
      </c>
      <c r="C7" s="466">
        <v>19236</v>
      </c>
      <c r="D7" s="466"/>
      <c r="E7" s="468"/>
      <c r="F7" s="467"/>
      <c r="G7" s="467"/>
      <c r="H7" s="467"/>
      <c r="I7" s="468"/>
      <c r="J7" s="468"/>
      <c r="K7" s="468"/>
    </row>
    <row r="8" spans="1:12" x14ac:dyDescent="0.2">
      <c r="A8" s="463" t="s">
        <v>413</v>
      </c>
      <c r="B8" s="470">
        <v>1150</v>
      </c>
      <c r="C8" s="475"/>
      <c r="D8" s="475"/>
      <c r="E8" s="477"/>
      <c r="F8" s="477"/>
      <c r="G8" s="481">
        <v>64655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951594</v>
      </c>
      <c r="D12" s="1707">
        <f t="shared" si="0"/>
        <v>240447</v>
      </c>
      <c r="E12" s="1707">
        <f t="shared" si="0"/>
        <v>372503</v>
      </c>
      <c r="F12" s="1707">
        <f t="shared" si="0"/>
        <v>115415</v>
      </c>
      <c r="G12" s="1707">
        <f t="shared" si="0"/>
        <v>180037</v>
      </c>
      <c r="H12" s="1707">
        <f t="shared" si="0"/>
        <v>0</v>
      </c>
      <c r="I12" s="1707">
        <f t="shared" si="0"/>
        <v>48089</v>
      </c>
      <c r="J12" s="1707">
        <f t="shared" si="0"/>
        <v>240727</v>
      </c>
      <c r="K12" s="1688">
        <f t="shared" si="0"/>
        <v>48089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6740</v>
      </c>
      <c r="D14" s="466">
        <v>1702</v>
      </c>
      <c r="E14" s="466">
        <v>2633</v>
      </c>
      <c r="F14" s="466">
        <v>817</v>
      </c>
      <c r="G14" s="466">
        <v>1273</v>
      </c>
      <c r="H14" s="466"/>
      <c r="I14" s="466">
        <v>340</v>
      </c>
      <c r="J14" s="467">
        <v>1702</v>
      </c>
      <c r="K14" s="466">
        <v>340</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95540</v>
      </c>
      <c r="D16" s="466"/>
      <c r="E16" s="466"/>
      <c r="F16" s="466"/>
      <c r="G16" s="466">
        <v>5990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102280</v>
      </c>
      <c r="D18" s="1710">
        <f t="shared" ref="D18:K18" si="1">SUM(D14:D17)</f>
        <v>1702</v>
      </c>
      <c r="E18" s="1710">
        <f t="shared" si="1"/>
        <v>2633</v>
      </c>
      <c r="F18" s="1710">
        <f t="shared" si="1"/>
        <v>817</v>
      </c>
      <c r="G18" s="1710">
        <f t="shared" si="1"/>
        <v>7263</v>
      </c>
      <c r="H18" s="1710">
        <f t="shared" si="1"/>
        <v>0</v>
      </c>
      <c r="I18" s="1710">
        <f t="shared" si="1"/>
        <v>340</v>
      </c>
      <c r="J18" s="1710">
        <f t="shared" si="1"/>
        <v>1702</v>
      </c>
      <c r="K18" s="1711">
        <f t="shared" si="1"/>
        <v>340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6784</v>
      </c>
      <c r="D65" s="466">
        <v>228</v>
      </c>
      <c r="E65" s="466">
        <v>402</v>
      </c>
      <c r="F65" s="467">
        <v>1056</v>
      </c>
      <c r="G65" s="466">
        <v>1462</v>
      </c>
      <c r="H65" s="466"/>
      <c r="I65" s="466">
        <v>339</v>
      </c>
      <c r="J65" s="467">
        <v>447</v>
      </c>
      <c r="K65" s="466">
        <v>2919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6784</v>
      </c>
      <c r="D67" s="1688">
        <f t="shared" ref="D67:K67" si="2">SUM(D65:D66)</f>
        <v>228</v>
      </c>
      <c r="E67" s="1688">
        <f t="shared" si="2"/>
        <v>402</v>
      </c>
      <c r="F67" s="1688">
        <f t="shared" si="2"/>
        <v>1056</v>
      </c>
      <c r="G67" s="1688">
        <f t="shared" si="2"/>
        <v>1462</v>
      </c>
      <c r="H67" s="1688">
        <f t="shared" si="2"/>
        <v>0</v>
      </c>
      <c r="I67" s="1688">
        <f t="shared" si="2"/>
        <v>339</v>
      </c>
      <c r="J67" s="1688">
        <f t="shared" si="2"/>
        <v>447</v>
      </c>
      <c r="K67" s="1688">
        <f t="shared" si="2"/>
        <v>2919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5831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4704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10535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30059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17430</v>
      </c>
      <c r="D81" s="466"/>
      <c r="E81" s="468"/>
      <c r="F81" s="468"/>
      <c r="G81" s="468"/>
      <c r="H81" s="468"/>
      <c r="I81" s="468"/>
      <c r="J81" s="468"/>
      <c r="K81" s="468"/>
    </row>
    <row r="82" spans="1:11" ht="12.75" customHeight="1" thickBot="1" x14ac:dyDescent="0.25">
      <c r="A82" s="1708" t="s">
        <v>241</v>
      </c>
      <c r="B82" s="1709"/>
      <c r="C82" s="1707">
        <f>SUM(C77:C81)</f>
        <v>47489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25932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25932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5004</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1241</v>
      </c>
      <c r="D98" s="466"/>
      <c r="E98" s="512"/>
      <c r="F98" s="466">
        <v>8244</v>
      </c>
      <c r="G98" s="512"/>
      <c r="H98" s="512"/>
      <c r="I98" s="510"/>
      <c r="J98" s="512"/>
      <c r="K98" s="512"/>
    </row>
    <row r="99" spans="1:12" ht="12.75" customHeight="1" x14ac:dyDescent="0.2">
      <c r="A99" s="463" t="s">
        <v>821</v>
      </c>
      <c r="B99" s="470">
        <v>1950</v>
      </c>
      <c r="C99" s="489">
        <v>1499</v>
      </c>
      <c r="D99" s="466"/>
      <c r="E99" s="466"/>
      <c r="F99" s="466"/>
      <c r="G99" s="466"/>
      <c r="H99" s="466"/>
      <c r="I99" s="468"/>
      <c r="J99" s="467">
        <v>887</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11191</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v>210</v>
      </c>
      <c r="G106" s="467"/>
      <c r="H106" s="467"/>
      <c r="I106" s="521"/>
      <c r="J106" s="467"/>
      <c r="K106" s="467"/>
    </row>
    <row r="107" spans="1:12" ht="12.75" customHeight="1" x14ac:dyDescent="0.2">
      <c r="A107" s="463" t="s">
        <v>78</v>
      </c>
      <c r="B107" s="470">
        <v>1999</v>
      </c>
      <c r="C107" s="551">
        <v>6967</v>
      </c>
      <c r="D107" s="466">
        <v>32180</v>
      </c>
      <c r="E107" s="466"/>
      <c r="F107" s="466">
        <v>120</v>
      </c>
      <c r="G107" s="466"/>
      <c r="H107" s="466"/>
      <c r="I107" s="466"/>
      <c r="J107" s="467"/>
      <c r="K107" s="466"/>
    </row>
    <row r="108" spans="1:12" ht="12.75" customHeight="1" thickBot="1" x14ac:dyDescent="0.25">
      <c r="A108" s="1708" t="s">
        <v>487</v>
      </c>
      <c r="B108" s="1712"/>
      <c r="C108" s="1707">
        <f>SUM(C95:C107)</f>
        <v>14711</v>
      </c>
      <c r="D108" s="1707">
        <f t="shared" ref="D108:K108" si="3">SUM(D95:D107)</f>
        <v>32180</v>
      </c>
      <c r="E108" s="1707">
        <f t="shared" si="3"/>
        <v>11191</v>
      </c>
      <c r="F108" s="1707">
        <f t="shared" si="3"/>
        <v>8574</v>
      </c>
      <c r="G108" s="1707">
        <f t="shared" si="3"/>
        <v>0</v>
      </c>
      <c r="H108" s="1707">
        <f t="shared" si="3"/>
        <v>0</v>
      </c>
      <c r="I108" s="1707">
        <f t="shared" si="3"/>
        <v>0</v>
      </c>
      <c r="J108" s="1707">
        <f t="shared" si="3"/>
        <v>887</v>
      </c>
      <c r="K108" s="1688">
        <f t="shared" si="3"/>
        <v>0</v>
      </c>
    </row>
    <row r="109" spans="1:12" ht="14.25" thickTop="1" thickBot="1" x14ac:dyDescent="0.25">
      <c r="A109" s="1713" t="s">
        <v>248</v>
      </c>
      <c r="B109" s="1714" t="s">
        <v>570</v>
      </c>
      <c r="C109" s="1715">
        <f t="shared" ref="C109:K109" si="4">SUM(C12,C18,C40,C63,C67,C75,C82,C93,C108,)</f>
        <v>1159325</v>
      </c>
      <c r="D109" s="1715">
        <f t="shared" si="4"/>
        <v>274557</v>
      </c>
      <c r="E109" s="1715">
        <f t="shared" si="4"/>
        <v>386729</v>
      </c>
      <c r="F109" s="1715">
        <f t="shared" si="4"/>
        <v>125862</v>
      </c>
      <c r="G109" s="1715">
        <f t="shared" si="4"/>
        <v>188762</v>
      </c>
      <c r="H109" s="1715">
        <f t="shared" si="4"/>
        <v>0</v>
      </c>
      <c r="I109" s="1715">
        <f t="shared" si="4"/>
        <v>48768</v>
      </c>
      <c r="J109" s="1715">
        <f t="shared" si="4"/>
        <v>243763</v>
      </c>
      <c r="K109" s="1702">
        <f t="shared" si="4"/>
        <v>51348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2172894</v>
      </c>
      <c r="D117" s="481">
        <v>217289</v>
      </c>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2172894</v>
      </c>
      <c r="D122" s="1707">
        <f t="shared" si="5"/>
        <v>217289</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40125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32070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72195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635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24238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27166</v>
      </c>
      <c r="G152" s="467"/>
      <c r="H152" s="468"/>
      <c r="I152" s="468"/>
      <c r="J152" s="468"/>
      <c r="K152" s="468"/>
    </row>
    <row r="153" spans="1:11" ht="12.75" customHeight="1" x14ac:dyDescent="0.2">
      <c r="A153" s="463" t="s">
        <v>1057</v>
      </c>
      <c r="B153" s="562">
        <v>3510</v>
      </c>
      <c r="C153" s="551"/>
      <c r="D153" s="466"/>
      <c r="E153" s="561"/>
      <c r="F153" s="466">
        <v>52708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79874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3134</v>
      </c>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100202</v>
      </c>
      <c r="D169" s="1722">
        <f t="shared" si="6"/>
        <v>0</v>
      </c>
      <c r="E169" s="1722">
        <f t="shared" si="6"/>
        <v>0</v>
      </c>
      <c r="F169" s="1722">
        <f t="shared" si="6"/>
        <v>79874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2273096</v>
      </c>
      <c r="D170" s="1715">
        <f t="shared" si="7"/>
        <v>217289</v>
      </c>
      <c r="E170" s="1715">
        <f t="shared" si="7"/>
        <v>0</v>
      </c>
      <c r="F170" s="1715">
        <f t="shared" si="7"/>
        <v>79874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1802</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25258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11991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37249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104578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104578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18048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18048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160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160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15668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27708</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203411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203411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3635832</v>
      </c>
      <c r="D268" s="1715">
        <f t="shared" si="12"/>
        <v>491846</v>
      </c>
      <c r="E268" s="1715">
        <f t="shared" si="12"/>
        <v>386729</v>
      </c>
      <c r="F268" s="1715">
        <f t="shared" si="12"/>
        <v>205736</v>
      </c>
      <c r="G268" s="1715">
        <f t="shared" si="12"/>
        <v>188762</v>
      </c>
      <c r="H268" s="1715">
        <f t="shared" si="12"/>
        <v>0</v>
      </c>
      <c r="I268" s="1715">
        <f t="shared" si="12"/>
        <v>48768</v>
      </c>
      <c r="J268" s="1715">
        <f t="shared" si="12"/>
        <v>243763</v>
      </c>
      <c r="K268" s="1702">
        <f t="shared" si="12"/>
        <v>51348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showGridLines="0" defaultGridColor="0" colorId="8" zoomScale="110" zoomScaleNormal="110" workbookViewId="0">
      <pane ySplit="2" topLeftCell="A3" activePane="bottomLeft" state="frozen"/>
      <selection pane="bottomLeft" activeCell="F375" sqref="F37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981733</v>
      </c>
      <c r="D5" s="466">
        <v>237373</v>
      </c>
      <c r="E5" s="466">
        <v>24663</v>
      </c>
      <c r="F5" s="466">
        <v>69572</v>
      </c>
      <c r="G5" s="466">
        <v>147672</v>
      </c>
      <c r="H5" s="466"/>
      <c r="I5" s="467"/>
      <c r="J5" s="467"/>
      <c r="K5" s="1671">
        <f>SUM(C5:J5)</f>
        <v>1461013</v>
      </c>
      <c r="L5" s="466">
        <v>1416116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293386</v>
      </c>
      <c r="D8" s="466"/>
      <c r="E8" s="466">
        <v>274</v>
      </c>
      <c r="F8" s="466">
        <v>895</v>
      </c>
      <c r="G8" s="466"/>
      <c r="H8" s="466">
        <v>1612</v>
      </c>
      <c r="I8" s="467"/>
      <c r="J8" s="467"/>
      <c r="K8" s="1671">
        <f t="shared" si="0"/>
        <v>296167</v>
      </c>
      <c r="L8" s="466">
        <v>418040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98749</v>
      </c>
      <c r="D10" s="466">
        <v>74118</v>
      </c>
      <c r="E10" s="466">
        <v>769</v>
      </c>
      <c r="F10" s="466"/>
      <c r="G10" s="466"/>
      <c r="H10" s="466"/>
      <c r="I10" s="467"/>
      <c r="J10" s="467"/>
      <c r="K10" s="1671">
        <f t="shared" si="0"/>
        <v>173636</v>
      </c>
      <c r="L10" s="466">
        <v>88528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237373</v>
      </c>
      <c r="D13" s="466">
        <v>56804</v>
      </c>
      <c r="E13" s="466">
        <v>1455</v>
      </c>
      <c r="F13" s="466">
        <v>6479</v>
      </c>
      <c r="G13" s="466">
        <v>9040</v>
      </c>
      <c r="H13" s="466"/>
      <c r="I13" s="467"/>
      <c r="J13" s="467"/>
      <c r="K13" s="1671">
        <f t="shared" si="0"/>
        <v>311151</v>
      </c>
      <c r="L13" s="466">
        <v>330490</v>
      </c>
    </row>
    <row r="14" spans="1:14" x14ac:dyDescent="0.2">
      <c r="A14" s="1504" t="s">
        <v>963</v>
      </c>
      <c r="B14" s="614">
        <v>1500</v>
      </c>
      <c r="C14" s="466">
        <v>104124</v>
      </c>
      <c r="D14" s="466">
        <v>13262</v>
      </c>
      <c r="E14" s="466">
        <v>29627</v>
      </c>
      <c r="F14" s="466">
        <v>35978</v>
      </c>
      <c r="G14" s="466">
        <v>9512</v>
      </c>
      <c r="H14" s="466">
        <v>9551</v>
      </c>
      <c r="I14" s="467"/>
      <c r="J14" s="467"/>
      <c r="K14" s="1671">
        <f t="shared" si="0"/>
        <v>202054</v>
      </c>
      <c r="L14" s="466">
        <v>202750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1715365</v>
      </c>
      <c r="D33" s="1670">
        <f t="shared" ref="D33:L33" si="1">SUM(D5:D32)</f>
        <v>381557</v>
      </c>
      <c r="E33" s="1670">
        <f t="shared" si="1"/>
        <v>56788</v>
      </c>
      <c r="F33" s="1670">
        <f t="shared" si="1"/>
        <v>112924</v>
      </c>
      <c r="G33" s="1670">
        <f t="shared" si="1"/>
        <v>166224</v>
      </c>
      <c r="H33" s="1670">
        <f t="shared" si="1"/>
        <v>11163</v>
      </c>
      <c r="I33" s="1670">
        <f t="shared" si="1"/>
        <v>0</v>
      </c>
      <c r="J33" s="1670">
        <f t="shared" si="1"/>
        <v>0</v>
      </c>
      <c r="K33" s="1670">
        <f t="shared" si="1"/>
        <v>2444021</v>
      </c>
      <c r="L33" s="1670">
        <f t="shared" si="1"/>
        <v>2455924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121824</v>
      </c>
      <c r="D37" s="466">
        <v>23991</v>
      </c>
      <c r="E37" s="466">
        <v>11320</v>
      </c>
      <c r="F37" s="466">
        <v>389</v>
      </c>
      <c r="G37" s="466"/>
      <c r="H37" s="466"/>
      <c r="I37" s="467"/>
      <c r="J37" s="467"/>
      <c r="K37" s="1671">
        <f t="shared" si="2"/>
        <v>157524</v>
      </c>
      <c r="L37" s="466">
        <v>160378</v>
      </c>
    </row>
    <row r="38" spans="1:14" x14ac:dyDescent="0.2">
      <c r="A38" s="1504" t="s">
        <v>198</v>
      </c>
      <c r="B38" s="614">
        <v>2130</v>
      </c>
      <c r="C38" s="466">
        <v>25945</v>
      </c>
      <c r="D38" s="466">
        <v>5772</v>
      </c>
      <c r="E38" s="466">
        <v>219</v>
      </c>
      <c r="F38" s="466">
        <v>809</v>
      </c>
      <c r="G38" s="466"/>
      <c r="H38" s="466"/>
      <c r="I38" s="467"/>
      <c r="J38" s="467"/>
      <c r="K38" s="1671">
        <f t="shared" si="2"/>
        <v>32745</v>
      </c>
      <c r="L38" s="466">
        <v>33235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147769</v>
      </c>
      <c r="D42" s="1670">
        <f t="shared" ref="D42:L42" si="3">SUM(D36:D41)</f>
        <v>29763</v>
      </c>
      <c r="E42" s="1670">
        <f t="shared" si="3"/>
        <v>11539</v>
      </c>
      <c r="F42" s="1670">
        <f t="shared" si="3"/>
        <v>1198</v>
      </c>
      <c r="G42" s="1670">
        <f t="shared" si="3"/>
        <v>0</v>
      </c>
      <c r="H42" s="1670">
        <f t="shared" si="3"/>
        <v>0</v>
      </c>
      <c r="I42" s="1670">
        <f t="shared" si="3"/>
        <v>0</v>
      </c>
      <c r="J42" s="1670">
        <f t="shared" si="3"/>
        <v>0</v>
      </c>
      <c r="K42" s="1670">
        <f t="shared" si="3"/>
        <v>190269</v>
      </c>
      <c r="L42" s="1670">
        <f t="shared" si="3"/>
        <v>193613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15032</v>
      </c>
      <c r="D44" s="481">
        <v>3206</v>
      </c>
      <c r="E44" s="481">
        <v>5000</v>
      </c>
      <c r="F44" s="481">
        <v>4000</v>
      </c>
      <c r="G44" s="481"/>
      <c r="H44" s="481"/>
      <c r="I44" s="467"/>
      <c r="J44" s="467"/>
      <c r="K44" s="1672">
        <f>SUM(C44:J44)</f>
        <v>27238</v>
      </c>
      <c r="L44" s="481">
        <v>20650</v>
      </c>
    </row>
    <row r="45" spans="1:14" x14ac:dyDescent="0.2">
      <c r="A45" s="1504" t="s">
        <v>815</v>
      </c>
      <c r="B45" s="614">
        <v>2220</v>
      </c>
      <c r="C45" s="466"/>
      <c r="D45" s="466"/>
      <c r="E45" s="466">
        <v>1482</v>
      </c>
      <c r="F45" s="466">
        <v>1461</v>
      </c>
      <c r="G45" s="466"/>
      <c r="H45" s="466"/>
      <c r="I45" s="467"/>
      <c r="J45" s="467"/>
      <c r="K45" s="1672">
        <f>SUM(C45:J45)</f>
        <v>2943</v>
      </c>
      <c r="L45" s="466">
        <v>3320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15032</v>
      </c>
      <c r="D47" s="1670">
        <f t="shared" ref="D47:K47" si="4">SUM(D44:D46)</f>
        <v>3206</v>
      </c>
      <c r="E47" s="1670">
        <f t="shared" si="4"/>
        <v>6482</v>
      </c>
      <c r="F47" s="1670">
        <f t="shared" si="4"/>
        <v>5461</v>
      </c>
      <c r="G47" s="1670">
        <f t="shared" si="4"/>
        <v>0</v>
      </c>
      <c r="H47" s="1670">
        <f t="shared" si="4"/>
        <v>0</v>
      </c>
      <c r="I47" s="1670">
        <f t="shared" si="4"/>
        <v>0</v>
      </c>
      <c r="J47" s="1670">
        <f t="shared" si="4"/>
        <v>0</v>
      </c>
      <c r="K47" s="1670">
        <f t="shared" si="4"/>
        <v>30181</v>
      </c>
      <c r="L47" s="1670">
        <f>SUM(L44:L46)</f>
        <v>23970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2450</v>
      </c>
      <c r="D49" s="481"/>
      <c r="E49" s="481">
        <v>36643</v>
      </c>
      <c r="F49" s="481"/>
      <c r="G49" s="481"/>
      <c r="H49" s="481">
        <v>670</v>
      </c>
      <c r="I49" s="467"/>
      <c r="J49" s="467"/>
      <c r="K49" s="1672">
        <f>SUM(C49:J49)</f>
        <v>39763</v>
      </c>
      <c r="L49" s="481">
        <v>64200</v>
      </c>
    </row>
    <row r="50" spans="1:14" x14ac:dyDescent="0.2">
      <c r="A50" s="1504" t="s">
        <v>818</v>
      </c>
      <c r="B50" s="614">
        <v>2320</v>
      </c>
      <c r="C50" s="466">
        <v>91978</v>
      </c>
      <c r="D50" s="466">
        <v>17969</v>
      </c>
      <c r="E50" s="466">
        <v>876</v>
      </c>
      <c r="F50" s="466">
        <v>188</v>
      </c>
      <c r="G50" s="466"/>
      <c r="H50" s="466"/>
      <c r="I50" s="467"/>
      <c r="J50" s="467"/>
      <c r="K50" s="1672">
        <f>SUM(C50:J50)</f>
        <v>111011</v>
      </c>
      <c r="L50" s="466">
        <v>111825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94428</v>
      </c>
      <c r="D53" s="1670">
        <f t="shared" ref="D53:L53" si="5">SUM(D49:D52)</f>
        <v>17969</v>
      </c>
      <c r="E53" s="1670">
        <f t="shared" si="5"/>
        <v>37519</v>
      </c>
      <c r="F53" s="1670">
        <f t="shared" si="5"/>
        <v>188</v>
      </c>
      <c r="G53" s="1670">
        <f t="shared" si="5"/>
        <v>0</v>
      </c>
      <c r="H53" s="1670">
        <f t="shared" si="5"/>
        <v>670</v>
      </c>
      <c r="I53" s="1670">
        <f t="shared" si="5"/>
        <v>0</v>
      </c>
      <c r="J53" s="1670">
        <f t="shared" si="5"/>
        <v>0</v>
      </c>
      <c r="K53" s="1670">
        <f t="shared" si="5"/>
        <v>150774</v>
      </c>
      <c r="L53" s="1670">
        <f t="shared" si="5"/>
        <v>176025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125697</v>
      </c>
      <c r="D55" s="481">
        <v>18496</v>
      </c>
      <c r="E55" s="481">
        <v>25478</v>
      </c>
      <c r="F55" s="481">
        <v>35417</v>
      </c>
      <c r="G55" s="481"/>
      <c r="H55" s="481">
        <v>945</v>
      </c>
      <c r="I55" s="467"/>
      <c r="J55" s="467"/>
      <c r="K55" s="1672">
        <f>SUM(C55:J55)</f>
        <v>206033</v>
      </c>
      <c r="L55" s="481">
        <v>207150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125697</v>
      </c>
      <c r="D57" s="1674">
        <f t="shared" ref="D57:K57" si="6">SUM(D55:D56)</f>
        <v>18496</v>
      </c>
      <c r="E57" s="1674">
        <f t="shared" si="6"/>
        <v>25478</v>
      </c>
      <c r="F57" s="1674">
        <f t="shared" si="6"/>
        <v>35417</v>
      </c>
      <c r="G57" s="1674">
        <f t="shared" si="6"/>
        <v>0</v>
      </c>
      <c r="H57" s="1674">
        <f t="shared" si="6"/>
        <v>945</v>
      </c>
      <c r="I57" s="1674">
        <f t="shared" si="6"/>
        <v>0</v>
      </c>
      <c r="J57" s="1674">
        <f t="shared" si="6"/>
        <v>0</v>
      </c>
      <c r="K57" s="1674">
        <f t="shared" si="6"/>
        <v>206033</v>
      </c>
      <c r="L57" s="1670">
        <f>SUM(L55:L56)</f>
        <v>207150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38234</v>
      </c>
      <c r="D60" s="466">
        <v>6776</v>
      </c>
      <c r="E60" s="466">
        <v>13674</v>
      </c>
      <c r="F60" s="466">
        <v>1632</v>
      </c>
      <c r="G60" s="466"/>
      <c r="H60" s="466"/>
      <c r="I60" s="467"/>
      <c r="J60" s="467"/>
      <c r="K60" s="1672">
        <f t="shared" si="7"/>
        <v>60316</v>
      </c>
      <c r="L60" s="466">
        <v>65250</v>
      </c>
      <c r="M60" s="609"/>
      <c r="N60" s="609"/>
    </row>
    <row r="61" spans="1:14" s="343" customFormat="1" x14ac:dyDescent="0.2">
      <c r="A61" s="1504" t="s">
        <v>197</v>
      </c>
      <c r="B61" s="614">
        <v>2540</v>
      </c>
      <c r="C61" s="466"/>
      <c r="D61" s="466"/>
      <c r="E61" s="466">
        <v>5790</v>
      </c>
      <c r="F61" s="466"/>
      <c r="G61" s="466"/>
      <c r="H61" s="466"/>
      <c r="I61" s="467"/>
      <c r="J61" s="467"/>
      <c r="K61" s="1672">
        <f t="shared" si="7"/>
        <v>5790</v>
      </c>
      <c r="L61" s="466">
        <v>6000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16196</v>
      </c>
      <c r="D63" s="466">
        <v>6258</v>
      </c>
      <c r="E63" s="466">
        <v>257</v>
      </c>
      <c r="F63" s="466">
        <v>52666</v>
      </c>
      <c r="G63" s="466"/>
      <c r="H63" s="466"/>
      <c r="I63" s="467"/>
      <c r="J63" s="467"/>
      <c r="K63" s="1672">
        <f t="shared" si="7"/>
        <v>75377</v>
      </c>
      <c r="L63" s="466">
        <v>74650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54430</v>
      </c>
      <c r="D65" s="1670">
        <f t="shared" ref="D65:L65" si="8">SUM(D59:D64)</f>
        <v>13034</v>
      </c>
      <c r="E65" s="1670">
        <f t="shared" si="8"/>
        <v>19721</v>
      </c>
      <c r="F65" s="1670">
        <f t="shared" si="8"/>
        <v>54298</v>
      </c>
      <c r="G65" s="1670">
        <f t="shared" si="8"/>
        <v>0</v>
      </c>
      <c r="H65" s="1670">
        <f t="shared" si="8"/>
        <v>0</v>
      </c>
      <c r="I65" s="1670">
        <f t="shared" si="8"/>
        <v>0</v>
      </c>
      <c r="J65" s="1670">
        <f t="shared" si="8"/>
        <v>0</v>
      </c>
      <c r="K65" s="1670">
        <f t="shared" si="8"/>
        <v>141483</v>
      </c>
      <c r="L65" s="1670">
        <f t="shared" si="8"/>
        <v>145900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437356</v>
      </c>
      <c r="D74" s="1677">
        <f t="shared" ref="D74:K74" si="10">SUM(D42,D47,D53,D57,D65,D72,D73)</f>
        <v>82468</v>
      </c>
      <c r="E74" s="1677">
        <f t="shared" si="10"/>
        <v>100739</v>
      </c>
      <c r="F74" s="1677">
        <f t="shared" si="10"/>
        <v>96562</v>
      </c>
      <c r="G74" s="1677">
        <f t="shared" si="10"/>
        <v>0</v>
      </c>
      <c r="H74" s="1677">
        <f t="shared" si="10"/>
        <v>1615</v>
      </c>
      <c r="I74" s="1677">
        <f t="shared" si="10"/>
        <v>0</v>
      </c>
      <c r="J74" s="1677">
        <f t="shared" si="10"/>
        <v>0</v>
      </c>
      <c r="K74" s="1677">
        <f t="shared" si="10"/>
        <v>718740</v>
      </c>
      <c r="L74" s="1677">
        <f>SUM(L42,L47,L53,L57,L65,L72,L73)</f>
        <v>746658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19411</v>
      </c>
      <c r="F79" s="616"/>
      <c r="G79" s="616"/>
      <c r="H79" s="466">
        <v>268271</v>
      </c>
      <c r="I79" s="477"/>
      <c r="J79" s="477"/>
      <c r="K79" s="1671">
        <f t="shared" si="11"/>
        <v>287682</v>
      </c>
      <c r="L79" s="466">
        <v>350000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19411</v>
      </c>
      <c r="F84" s="616"/>
      <c r="G84" s="616"/>
      <c r="H84" s="1670">
        <f>SUM(H78:H83)</f>
        <v>268271</v>
      </c>
      <c r="I84" s="477"/>
      <c r="J84" s="477"/>
      <c r="K84" s="1670">
        <f>SUM(K78:K83)</f>
        <v>287682</v>
      </c>
      <c r="L84" s="1670">
        <f>SUM(L78:L83)</f>
        <v>350000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19411</v>
      </c>
      <c r="F102" s="616"/>
      <c r="G102" s="616"/>
      <c r="H102" s="1677">
        <f>SUM(H84,H92,H100,H101)</f>
        <v>268271</v>
      </c>
      <c r="I102" s="477"/>
      <c r="J102" s="477"/>
      <c r="K102" s="1677">
        <f>SUM(K84,K92,K100,K101)</f>
        <v>287682</v>
      </c>
      <c r="L102" s="1677">
        <f>SUM(L84,L92,L100,L101)</f>
        <v>350000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2152721</v>
      </c>
      <c r="D114" s="1670">
        <f t="shared" ref="D114:K114" si="13">SUM(D33,D74,D75,D102,D112,D113)</f>
        <v>464025</v>
      </c>
      <c r="E114" s="1670">
        <f t="shared" si="13"/>
        <v>176938</v>
      </c>
      <c r="F114" s="1670">
        <f t="shared" si="13"/>
        <v>209486</v>
      </c>
      <c r="G114" s="1670">
        <f t="shared" si="13"/>
        <v>166224</v>
      </c>
      <c r="H114" s="1670">
        <f>SUM(H33,H74,H75,H102,H112,H113)</f>
        <v>281049</v>
      </c>
      <c r="I114" s="1670">
        <f t="shared" si="13"/>
        <v>0</v>
      </c>
      <c r="J114" s="1670">
        <f t="shared" si="13"/>
        <v>0</v>
      </c>
      <c r="K114" s="1670">
        <f t="shared" si="13"/>
        <v>3450443</v>
      </c>
      <c r="L114" s="1670">
        <f>SUM(L33,L74,L75,L102,L112,L113)</f>
        <v>3552582</v>
      </c>
    </row>
    <row r="115" spans="1:14" ht="13.5" thickTop="1" x14ac:dyDescent="0.2">
      <c r="A115" s="2181" t="s">
        <v>996</v>
      </c>
      <c r="B115" s="2182"/>
      <c r="C115" s="618"/>
      <c r="D115" s="618"/>
      <c r="E115" s="618"/>
      <c r="F115" s="618"/>
      <c r="G115" s="618"/>
      <c r="H115" s="618"/>
      <c r="I115" s="618"/>
      <c r="J115" s="618"/>
      <c r="K115" s="1684">
        <f>'Revenues 9-14'!C268-'Expenditures 15-22'!K114</f>
        <v>185389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174103</v>
      </c>
      <c r="D124" s="466">
        <v>32076</v>
      </c>
      <c r="E124" s="466">
        <v>213920</v>
      </c>
      <c r="F124" s="466">
        <v>63989</v>
      </c>
      <c r="G124" s="466">
        <v>25869</v>
      </c>
      <c r="H124" s="466">
        <v>2678</v>
      </c>
      <c r="I124" s="467"/>
      <c r="J124" s="467"/>
      <c r="K124" s="1670">
        <f>SUM(C124:J124)</f>
        <v>512635</v>
      </c>
      <c r="L124" s="466">
        <v>517250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174103</v>
      </c>
      <c r="D127" s="1670">
        <f t="shared" ref="D127:L127" si="14">SUM(D122:D126)</f>
        <v>32076</v>
      </c>
      <c r="E127" s="1670">
        <f t="shared" si="14"/>
        <v>213920</v>
      </c>
      <c r="F127" s="1670">
        <f t="shared" si="14"/>
        <v>63989</v>
      </c>
      <c r="G127" s="1670">
        <f t="shared" si="14"/>
        <v>25869</v>
      </c>
      <c r="H127" s="1670">
        <f t="shared" si="14"/>
        <v>2678</v>
      </c>
      <c r="I127" s="1670">
        <f t="shared" si="14"/>
        <v>0</v>
      </c>
      <c r="J127" s="1670">
        <f t="shared" si="14"/>
        <v>0</v>
      </c>
      <c r="K127" s="1670">
        <f t="shared" si="14"/>
        <v>512635</v>
      </c>
      <c r="L127" s="1670">
        <f t="shared" si="14"/>
        <v>517250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174103</v>
      </c>
      <c r="D129" s="1677">
        <f t="shared" ref="D129:L129" si="15">SUM(D120,D127,D128)</f>
        <v>32076</v>
      </c>
      <c r="E129" s="1677">
        <f t="shared" si="15"/>
        <v>213920</v>
      </c>
      <c r="F129" s="1677">
        <f t="shared" si="15"/>
        <v>63989</v>
      </c>
      <c r="G129" s="1677">
        <f t="shared" si="15"/>
        <v>25869</v>
      </c>
      <c r="H129" s="1677">
        <f t="shared" si="15"/>
        <v>2678</v>
      </c>
      <c r="I129" s="1677">
        <f t="shared" si="15"/>
        <v>0</v>
      </c>
      <c r="J129" s="1677">
        <f t="shared" si="15"/>
        <v>0</v>
      </c>
      <c r="K129" s="1677">
        <f t="shared" si="15"/>
        <v>512635</v>
      </c>
      <c r="L129" s="1677">
        <f t="shared" si="15"/>
        <v>517250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3"/>
      <c r="C151" s="1670">
        <f>SUM(C129,C130,C139,C149,C150)</f>
        <v>174103</v>
      </c>
      <c r="D151" s="1670">
        <f t="shared" ref="D151:K151" si="16">SUM(D129,D130,D139,D149,D150)</f>
        <v>32076</v>
      </c>
      <c r="E151" s="1670">
        <f t="shared" si="16"/>
        <v>213920</v>
      </c>
      <c r="F151" s="1670">
        <f t="shared" si="16"/>
        <v>63989</v>
      </c>
      <c r="G151" s="1670">
        <f t="shared" si="16"/>
        <v>25869</v>
      </c>
      <c r="H151" s="1670">
        <f t="shared" si="16"/>
        <v>2678</v>
      </c>
      <c r="I151" s="1670">
        <f t="shared" si="16"/>
        <v>0</v>
      </c>
      <c r="J151" s="1670">
        <f t="shared" si="16"/>
        <v>0</v>
      </c>
      <c r="K151" s="1670">
        <f t="shared" si="16"/>
        <v>512635</v>
      </c>
      <c r="L151" s="1670">
        <f>SUM(L129,L130,L139,L149,L150)</f>
        <v>517250</v>
      </c>
    </row>
    <row r="152" spans="1:14" ht="12.75" customHeight="1" thickTop="1" x14ac:dyDescent="0.2">
      <c r="A152" s="2174" t="s">
        <v>1178</v>
      </c>
      <c r="B152" s="2175"/>
      <c r="C152" s="618"/>
      <c r="D152" s="618"/>
      <c r="E152" s="618"/>
      <c r="F152" s="618"/>
      <c r="G152" s="618"/>
      <c r="H152" s="618"/>
      <c r="I152" s="618"/>
      <c r="J152" s="616"/>
      <c r="K152" s="1684">
        <f>'Revenues 9-14'!D268-'Expenditures 15-22'!K151</f>
        <v>-20789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65555</v>
      </c>
      <c r="I169" s="616"/>
      <c r="J169" s="616"/>
      <c r="K169" s="1671">
        <f>SUM(C169:H169)</f>
        <v>65555</v>
      </c>
      <c r="L169" s="656">
        <v>65555</v>
      </c>
    </row>
    <row r="170" spans="1:14" ht="33.75" customHeight="1" x14ac:dyDescent="0.2">
      <c r="A170" s="669" t="s">
        <v>1670</v>
      </c>
      <c r="B170" s="671" t="s">
        <v>31</v>
      </c>
      <c r="C170" s="616"/>
      <c r="D170" s="616"/>
      <c r="E170" s="616"/>
      <c r="F170" s="616"/>
      <c r="G170" s="616"/>
      <c r="H170" s="569">
        <v>308800</v>
      </c>
      <c r="I170" s="616"/>
      <c r="J170" s="616"/>
      <c r="K170" s="1671">
        <f>SUM(C170:J170)</f>
        <v>308800</v>
      </c>
      <c r="L170" s="569">
        <v>308800</v>
      </c>
    </row>
    <row r="171" spans="1:14" ht="15.75" customHeight="1" x14ac:dyDescent="0.2">
      <c r="A171" s="621" t="s">
        <v>766</v>
      </c>
      <c r="B171" s="672" t="s">
        <v>84</v>
      </c>
      <c r="C171" s="616"/>
      <c r="D171" s="616"/>
      <c r="E171" s="466"/>
      <c r="F171" s="616"/>
      <c r="G171" s="616"/>
      <c r="H171" s="569">
        <v>1000</v>
      </c>
      <c r="I171" s="477"/>
      <c r="J171" s="616"/>
      <c r="K171" s="1671">
        <f>SUM(C171:J171)</f>
        <v>1000</v>
      </c>
      <c r="L171" s="569">
        <v>1300</v>
      </c>
    </row>
    <row r="172" spans="1:14" ht="12.75" customHeight="1" thickBot="1" x14ac:dyDescent="0.25">
      <c r="A172" s="1668" t="s">
        <v>638</v>
      </c>
      <c r="B172" s="1669" t="s">
        <v>492</v>
      </c>
      <c r="C172" s="616"/>
      <c r="D172" s="616"/>
      <c r="E172" s="1677">
        <f>SUM(E168,E169,E170,E171)</f>
        <v>0</v>
      </c>
      <c r="F172" s="616"/>
      <c r="G172" s="616"/>
      <c r="H172" s="1677">
        <f>SUM(H168,H169,H170,H171)</f>
        <v>375355</v>
      </c>
      <c r="I172" s="638"/>
      <c r="J172" s="616"/>
      <c r="K172" s="1677">
        <f>SUM(K168,K169,K170,K171)</f>
        <v>375355</v>
      </c>
      <c r="L172" s="1677">
        <f>SUM(L168,L169,L170,L171)</f>
        <v>375655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375355</v>
      </c>
      <c r="I174" s="638"/>
      <c r="J174" s="616"/>
      <c r="K174" s="1677">
        <f>SUM(K160,K172,K173)</f>
        <v>375355</v>
      </c>
      <c r="L174" s="1677">
        <f>SUM(L160,L172,L173)</f>
        <v>375655</v>
      </c>
    </row>
    <row r="175" spans="1:14" ht="13.5" thickTop="1" x14ac:dyDescent="0.2">
      <c r="A175" s="2181" t="s">
        <v>996</v>
      </c>
      <c r="B175" s="2182"/>
      <c r="C175" s="616"/>
      <c r="D175" s="616"/>
      <c r="E175" s="616"/>
      <c r="F175" s="616"/>
      <c r="G175" s="616"/>
      <c r="H175" s="618"/>
      <c r="I175" s="616"/>
      <c r="J175" s="616"/>
      <c r="K175" s="1684">
        <f>'Revenues 9-14'!E268-'Expenditures 15-22'!K174</f>
        <v>11374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94485</v>
      </c>
      <c r="D182" s="466">
        <v>6148</v>
      </c>
      <c r="E182" s="466">
        <v>7390</v>
      </c>
      <c r="F182" s="466">
        <v>40090</v>
      </c>
      <c r="G182" s="466"/>
      <c r="H182" s="466"/>
      <c r="I182" s="467"/>
      <c r="J182" s="467"/>
      <c r="K182" s="1671">
        <f>SUM(C182:J182)</f>
        <v>148113</v>
      </c>
      <c r="L182" s="466">
        <v>197374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94485</v>
      </c>
      <c r="D184" s="1677">
        <f t="shared" ref="D184:J184" si="17">SUM(D180,D182,D183)</f>
        <v>6148</v>
      </c>
      <c r="E184" s="1677">
        <f t="shared" si="17"/>
        <v>7390</v>
      </c>
      <c r="F184" s="1677">
        <f t="shared" si="17"/>
        <v>40090</v>
      </c>
      <c r="G184" s="1677">
        <f t="shared" si="17"/>
        <v>0</v>
      </c>
      <c r="H184" s="1677">
        <f t="shared" si="17"/>
        <v>0</v>
      </c>
      <c r="I184" s="1677">
        <f t="shared" si="17"/>
        <v>0</v>
      </c>
      <c r="J184" s="1677">
        <f t="shared" si="17"/>
        <v>0</v>
      </c>
      <c r="K184" s="1677">
        <f>SUM(K180,K182,K183)</f>
        <v>148113</v>
      </c>
      <c r="L184" s="1677">
        <f>SUM(L180, L182:L183)</f>
        <v>197374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v>45174</v>
      </c>
      <c r="I206" s="616"/>
      <c r="J206" s="616"/>
      <c r="K206" s="1671">
        <f>SUM(H206)</f>
        <v>45174</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45174</v>
      </c>
      <c r="I208" s="616"/>
      <c r="J208" s="616"/>
      <c r="K208" s="1677">
        <f>SUM(K204,K205,K206,K207)</f>
        <v>45174</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94485</v>
      </c>
      <c r="D210" s="1670">
        <f>SUM(D184,D185)</f>
        <v>6148</v>
      </c>
      <c r="E210" s="1670">
        <f>SUM(E184,E185,E196)</f>
        <v>7390</v>
      </c>
      <c r="F210" s="1670">
        <f>SUM(F184,F185)</f>
        <v>40090</v>
      </c>
      <c r="G210" s="1670">
        <f>SUM(G184,G185)</f>
        <v>0</v>
      </c>
      <c r="H210" s="1670">
        <f>SUM(H184,H185,H196,H208,H209)</f>
        <v>45174</v>
      </c>
      <c r="I210" s="1670">
        <f>SUM(I184,I185)</f>
        <v>0</v>
      </c>
      <c r="J210" s="1670">
        <f>SUM(J184,J185)</f>
        <v>0</v>
      </c>
      <c r="K210" s="1671">
        <f>SUM(K184,K185,K196,K208,K209)</f>
        <v>193287</v>
      </c>
      <c r="L210" s="1670">
        <f>SUM(L184,L185,L196,L208,L209)</f>
        <v>197374</v>
      </c>
    </row>
    <row r="211" spans="1:14" ht="13.5" thickTop="1" x14ac:dyDescent="0.2">
      <c r="A211" s="2181" t="s">
        <v>996</v>
      </c>
      <c r="B211" s="2182"/>
      <c r="C211" s="618"/>
      <c r="D211" s="618"/>
      <c r="E211" s="618"/>
      <c r="F211" s="618"/>
      <c r="G211" s="618"/>
      <c r="H211" s="618"/>
      <c r="I211" s="616"/>
      <c r="J211" s="616"/>
      <c r="K211" s="1684">
        <f>'Revenues 9-14'!F268-'Expenditures 15-22'!K210</f>
        <v>12449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23476</v>
      </c>
      <c r="E215" s="616"/>
      <c r="F215" s="616"/>
      <c r="G215" s="616"/>
      <c r="H215" s="616"/>
      <c r="I215" s="616"/>
      <c r="J215" s="616"/>
      <c r="K215" s="1671">
        <f>D215</f>
        <v>23476</v>
      </c>
      <c r="L215" s="466">
        <v>24800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v>25300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23365</v>
      </c>
      <c r="E219" s="616"/>
      <c r="F219" s="616"/>
      <c r="G219" s="616"/>
      <c r="H219" s="616"/>
      <c r="I219" s="616"/>
      <c r="J219" s="616"/>
      <c r="K219" s="1671">
        <f t="shared" si="19"/>
        <v>23365</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3442</v>
      </c>
      <c r="E222" s="616"/>
      <c r="F222" s="616"/>
      <c r="G222" s="616"/>
      <c r="H222" s="616"/>
      <c r="I222" s="616"/>
      <c r="J222" s="616"/>
      <c r="K222" s="1671">
        <f t="shared" si="19"/>
        <v>3442</v>
      </c>
      <c r="L222" s="466">
        <v>3700</v>
      </c>
    </row>
    <row r="223" spans="1:14" x14ac:dyDescent="0.2">
      <c r="A223" s="1504" t="s">
        <v>963</v>
      </c>
      <c r="B223" s="614">
        <v>1500</v>
      </c>
      <c r="C223" s="616"/>
      <c r="D223" s="466">
        <v>6634</v>
      </c>
      <c r="E223" s="616"/>
      <c r="F223" s="616"/>
      <c r="G223" s="616"/>
      <c r="H223" s="616"/>
      <c r="I223" s="616"/>
      <c r="J223" s="616"/>
      <c r="K223" s="1671">
        <f t="shared" si="19"/>
        <v>6634</v>
      </c>
      <c r="L223" s="466">
        <v>6310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56917</v>
      </c>
      <c r="E229" s="616"/>
      <c r="F229" s="616"/>
      <c r="G229" s="616"/>
      <c r="H229" s="616"/>
      <c r="I229" s="616"/>
      <c r="J229" s="616"/>
      <c r="K229" s="1670">
        <f>SUM(K215:K228)</f>
        <v>56917</v>
      </c>
      <c r="L229" s="1670">
        <f>SUM(L215:L228)</f>
        <v>60110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6566</v>
      </c>
      <c r="E233" s="616"/>
      <c r="F233" s="616"/>
      <c r="G233" s="616"/>
      <c r="H233" s="616"/>
      <c r="I233" s="616"/>
      <c r="J233" s="616"/>
      <c r="K233" s="1671">
        <f t="shared" si="20"/>
        <v>6566</v>
      </c>
      <c r="L233" s="466">
        <v>7075</v>
      </c>
    </row>
    <row r="234" spans="1:12" x14ac:dyDescent="0.2">
      <c r="A234" s="1504" t="s">
        <v>198</v>
      </c>
      <c r="B234" s="614">
        <v>2130</v>
      </c>
      <c r="C234" s="616"/>
      <c r="D234" s="466">
        <v>4235</v>
      </c>
      <c r="E234" s="616"/>
      <c r="F234" s="616"/>
      <c r="G234" s="616"/>
      <c r="H234" s="616"/>
      <c r="I234" s="616"/>
      <c r="J234" s="616"/>
      <c r="K234" s="1671">
        <f t="shared" si="20"/>
        <v>4235</v>
      </c>
      <c r="L234" s="466">
        <v>4450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10801</v>
      </c>
      <c r="E238" s="616"/>
      <c r="F238" s="616"/>
      <c r="G238" s="616"/>
      <c r="H238" s="616"/>
      <c r="I238" s="616"/>
      <c r="J238" s="616"/>
      <c r="K238" s="1670">
        <f>SUM(K232:K237)</f>
        <v>10801</v>
      </c>
      <c r="L238" s="1670">
        <f>SUM(L232:L237)</f>
        <v>11525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299</v>
      </c>
      <c r="E240" s="616"/>
      <c r="F240" s="616"/>
      <c r="G240" s="616"/>
      <c r="H240" s="616"/>
      <c r="I240" s="616"/>
      <c r="J240" s="616"/>
      <c r="K240" s="1672">
        <f>D240</f>
        <v>299</v>
      </c>
      <c r="L240" s="481">
        <v>215</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299</v>
      </c>
      <c r="E243" s="616"/>
      <c r="F243" s="616"/>
      <c r="G243" s="616"/>
      <c r="H243" s="616"/>
      <c r="I243" s="616"/>
      <c r="J243" s="616"/>
      <c r="K243" s="1670">
        <f>SUM(K240:K242)</f>
        <v>299</v>
      </c>
      <c r="L243" s="1670">
        <f>SUM(L240:L242)</f>
        <v>215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187</v>
      </c>
      <c r="E245" s="616"/>
      <c r="F245" s="616"/>
      <c r="G245" s="616"/>
      <c r="H245" s="616"/>
      <c r="I245" s="616"/>
      <c r="J245" s="616"/>
      <c r="K245" s="1672">
        <f>D245</f>
        <v>187</v>
      </c>
      <c r="L245" s="481">
        <v>200</v>
      </c>
    </row>
    <row r="246" spans="1:12" x14ac:dyDescent="0.2">
      <c r="A246" s="1504" t="s">
        <v>818</v>
      </c>
      <c r="B246" s="614">
        <v>2320</v>
      </c>
      <c r="C246" s="616"/>
      <c r="D246" s="466">
        <v>1334</v>
      </c>
      <c r="E246" s="616"/>
      <c r="F246" s="616"/>
      <c r="G246" s="616"/>
      <c r="H246" s="616"/>
      <c r="I246" s="616"/>
      <c r="J246" s="616"/>
      <c r="K246" s="1672">
        <f t="shared" ref="K246:K256" si="21">D246</f>
        <v>1334</v>
      </c>
      <c r="L246" s="466">
        <v>1400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1804</v>
      </c>
      <c r="B249" s="683" t="s">
        <v>282</v>
      </c>
      <c r="C249" s="616"/>
      <c r="D249" s="474"/>
      <c r="E249" s="616"/>
      <c r="F249" s="616"/>
      <c r="G249" s="616"/>
      <c r="H249" s="616"/>
      <c r="I249" s="616"/>
      <c r="J249" s="616"/>
      <c r="K249" s="1672">
        <f t="shared" si="21"/>
        <v>0</v>
      </c>
      <c r="L249" s="466"/>
    </row>
    <row r="250" spans="1:12" x14ac:dyDescent="0.2">
      <c r="A250" s="1505" t="s">
        <v>1805</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9318</v>
      </c>
      <c r="E254" s="616"/>
      <c r="F254" s="616"/>
      <c r="G254" s="616"/>
      <c r="H254" s="616"/>
      <c r="I254" s="616"/>
      <c r="J254" s="616"/>
      <c r="K254" s="1672">
        <f t="shared" si="21"/>
        <v>9318</v>
      </c>
      <c r="L254" s="466">
        <v>9850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10839</v>
      </c>
      <c r="E257" s="616"/>
      <c r="F257" s="616"/>
      <c r="G257" s="616"/>
      <c r="H257" s="616"/>
      <c r="I257" s="616"/>
      <c r="J257" s="616"/>
      <c r="K257" s="1670">
        <f>SUM(K245:K256)</f>
        <v>10839</v>
      </c>
      <c r="L257" s="1670">
        <f>SUM(L245:L256)</f>
        <v>11450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11026</v>
      </c>
      <c r="E259" s="616"/>
      <c r="F259" s="616"/>
      <c r="G259" s="616"/>
      <c r="H259" s="616"/>
      <c r="I259" s="616"/>
      <c r="J259" s="616"/>
      <c r="K259" s="1672">
        <f>D259</f>
        <v>11026</v>
      </c>
      <c r="L259" s="481">
        <v>11750</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11026</v>
      </c>
      <c r="E261" s="616"/>
      <c r="F261" s="616"/>
      <c r="G261" s="616"/>
      <c r="H261" s="616"/>
      <c r="I261" s="616"/>
      <c r="J261" s="616"/>
      <c r="K261" s="1670">
        <f>SUM(K259:K260)</f>
        <v>11026</v>
      </c>
      <c r="L261" s="1670">
        <f>SUM(L259:L260)</f>
        <v>11750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6236</v>
      </c>
      <c r="E264" s="616"/>
      <c r="F264" s="616"/>
      <c r="G264" s="616"/>
      <c r="H264" s="616"/>
      <c r="I264" s="616"/>
      <c r="J264" s="616"/>
      <c r="K264" s="1672">
        <f t="shared" ref="K264:K269" si="22">D264</f>
        <v>6236</v>
      </c>
      <c r="L264" s="466">
        <v>6250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27743</v>
      </c>
      <c r="E266" s="616"/>
      <c r="F266" s="616"/>
      <c r="G266" s="616"/>
      <c r="H266" s="616"/>
      <c r="I266" s="616"/>
      <c r="J266" s="616"/>
      <c r="K266" s="1672">
        <f t="shared" si="22"/>
        <v>27743</v>
      </c>
      <c r="L266" s="466">
        <v>29400</v>
      </c>
    </row>
    <row r="267" spans="1:14" x14ac:dyDescent="0.2">
      <c r="A267" s="1504" t="s">
        <v>953</v>
      </c>
      <c r="B267" s="614">
        <v>2550</v>
      </c>
      <c r="C267" s="616"/>
      <c r="D267" s="466">
        <v>14074</v>
      </c>
      <c r="E267" s="616"/>
      <c r="F267" s="616"/>
      <c r="G267" s="616"/>
      <c r="H267" s="616"/>
      <c r="I267" s="616"/>
      <c r="J267" s="616"/>
      <c r="K267" s="1672">
        <f t="shared" si="22"/>
        <v>14074</v>
      </c>
      <c r="L267" s="466">
        <v>14850</v>
      </c>
    </row>
    <row r="268" spans="1:14" x14ac:dyDescent="0.2">
      <c r="A268" s="1504" t="s">
        <v>100</v>
      </c>
      <c r="B268" s="614">
        <v>2560</v>
      </c>
      <c r="C268" s="616"/>
      <c r="D268" s="466">
        <v>2647</v>
      </c>
      <c r="E268" s="616"/>
      <c r="F268" s="616"/>
      <c r="G268" s="616"/>
      <c r="H268" s="616"/>
      <c r="I268" s="616"/>
      <c r="J268" s="616"/>
      <c r="K268" s="1672">
        <f t="shared" si="22"/>
        <v>2647</v>
      </c>
      <c r="L268" s="466">
        <v>2800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50700</v>
      </c>
      <c r="E270" s="616"/>
      <c r="F270" s="616"/>
      <c r="G270" s="616"/>
      <c r="H270" s="616"/>
      <c r="I270" s="616"/>
      <c r="J270" s="616"/>
      <c r="K270" s="1670">
        <f>SUM(K263:K269)</f>
        <v>50700</v>
      </c>
      <c r="L270" s="1670">
        <f>SUM(L263:L269)</f>
        <v>53300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83665</v>
      </c>
      <c r="E279" s="616"/>
      <c r="F279" s="616"/>
      <c r="G279" s="616"/>
      <c r="H279" s="616"/>
      <c r="I279" s="616"/>
      <c r="J279" s="616"/>
      <c r="K279" s="1677">
        <f>SUM(K238,K243,K257,K261,K270,K277,K278)</f>
        <v>83665</v>
      </c>
      <c r="L279" s="1677">
        <f>SUM(L238,L243,L257,L261,L270,L277,L278)</f>
        <v>88240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140582</v>
      </c>
      <c r="E295" s="616"/>
      <c r="F295" s="616"/>
      <c r="G295" s="616"/>
      <c r="H295" s="1670">
        <f>H293</f>
        <v>0</v>
      </c>
      <c r="I295" s="616"/>
      <c r="J295" s="616"/>
      <c r="K295" s="1670">
        <f>SUM(K229,K279,K280,K285,K293,K294)</f>
        <v>140582</v>
      </c>
      <c r="L295" s="1670">
        <f>SUM(L229,L279,L280,L285,L293,L294)</f>
        <v>148350</v>
      </c>
    </row>
    <row r="296" spans="1:14" ht="13.5" thickTop="1" x14ac:dyDescent="0.2">
      <c r="A296" s="2181" t="s">
        <v>996</v>
      </c>
      <c r="B296" s="2182"/>
      <c r="C296" s="616"/>
      <c r="D296" s="618"/>
      <c r="E296" s="616"/>
      <c r="F296" s="616"/>
      <c r="G296" s="616"/>
      <c r="H296" s="687"/>
      <c r="I296" s="616"/>
      <c r="J296" s="616"/>
      <c r="K296" s="1684">
        <f>'Revenues 9-14'!G268-'Expenditures 15-22'!K295</f>
        <v>48180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282</v>
      </c>
      <c r="C320" s="467"/>
      <c r="D320" s="467"/>
      <c r="E320" s="467">
        <v>21965</v>
      </c>
      <c r="F320" s="467"/>
      <c r="G320" s="467"/>
      <c r="H320" s="467"/>
      <c r="I320" s="467"/>
      <c r="J320" s="467"/>
      <c r="K320" s="1671">
        <f t="shared" ref="K320:K327" si="24">SUM(C320:J320)</f>
        <v>21965</v>
      </c>
      <c r="L320" s="467">
        <v>30300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7900</v>
      </c>
      <c r="F322" s="467"/>
      <c r="G322" s="467"/>
      <c r="H322" s="467"/>
      <c r="I322" s="467"/>
      <c r="J322" s="467"/>
      <c r="K322" s="1671">
        <f t="shared" si="24"/>
        <v>7900</v>
      </c>
      <c r="L322" s="467">
        <v>8000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116152</v>
      </c>
      <c r="D325" s="467">
        <v>22629</v>
      </c>
      <c r="E325" s="467">
        <v>11913</v>
      </c>
      <c r="F325" s="467">
        <v>1975</v>
      </c>
      <c r="G325" s="467">
        <v>5062</v>
      </c>
      <c r="H325" s="467"/>
      <c r="I325" s="467"/>
      <c r="J325" s="467"/>
      <c r="K325" s="1671">
        <f t="shared" si="24"/>
        <v>157731</v>
      </c>
      <c r="L325" s="467">
        <v>191895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1235</v>
      </c>
      <c r="F327" s="467"/>
      <c r="G327" s="467"/>
      <c r="H327" s="467"/>
      <c r="I327" s="467"/>
      <c r="J327" s="467"/>
      <c r="K327" s="1671">
        <f t="shared" si="24"/>
        <v>1235</v>
      </c>
      <c r="L327" s="467">
        <v>1200</v>
      </c>
      <c r="M327" s="665"/>
      <c r="N327" s="665"/>
    </row>
    <row r="328" spans="1:14" s="674" customFormat="1" x14ac:dyDescent="0.2">
      <c r="A328" s="1520" t="s">
        <v>472</v>
      </c>
      <c r="B328" s="690" t="s">
        <v>1132</v>
      </c>
      <c r="C328" s="474"/>
      <c r="D328" s="474"/>
      <c r="E328" s="474">
        <v>38253</v>
      </c>
      <c r="F328" s="474"/>
      <c r="G328" s="474"/>
      <c r="H328" s="474"/>
      <c r="I328" s="474"/>
      <c r="J328" s="474"/>
      <c r="K328" s="1699">
        <f>SUM(C328:J328)</f>
        <v>38253</v>
      </c>
      <c r="L328" s="474">
        <v>38253</v>
      </c>
      <c r="M328" s="665"/>
      <c r="N328" s="665"/>
    </row>
    <row r="329" spans="1:14" s="674" customFormat="1" x14ac:dyDescent="0.2">
      <c r="A329" s="1520" t="s">
        <v>1133</v>
      </c>
      <c r="B329" s="690" t="s">
        <v>1134</v>
      </c>
      <c r="C329" s="474"/>
      <c r="D329" s="474"/>
      <c r="E329" s="474">
        <v>10692</v>
      </c>
      <c r="F329" s="474"/>
      <c r="G329" s="474"/>
      <c r="H329" s="474"/>
      <c r="I329" s="474"/>
      <c r="J329" s="474"/>
      <c r="K329" s="1699">
        <f>SUM(C329:J329)</f>
        <v>10692</v>
      </c>
      <c r="L329" s="474">
        <v>10692</v>
      </c>
      <c r="M329" s="665"/>
      <c r="N329" s="665"/>
    </row>
    <row r="330" spans="1:14" s="674" customFormat="1" ht="12.75" customHeight="1" thickBot="1" x14ac:dyDescent="0.25">
      <c r="A330" s="1700" t="s">
        <v>717</v>
      </c>
      <c r="B330" s="1669" t="s">
        <v>569</v>
      </c>
      <c r="C330" s="1670">
        <f>SUM(C319:C329)</f>
        <v>116152</v>
      </c>
      <c r="D330" s="1670">
        <f t="shared" ref="D330:J330" si="25">SUM(D319:D329)</f>
        <v>22629</v>
      </c>
      <c r="E330" s="1670">
        <f t="shared" si="25"/>
        <v>91958</v>
      </c>
      <c r="F330" s="1670">
        <f t="shared" si="25"/>
        <v>1975</v>
      </c>
      <c r="G330" s="1670">
        <f t="shared" si="25"/>
        <v>5062</v>
      </c>
      <c r="H330" s="1670">
        <f t="shared" si="25"/>
        <v>0</v>
      </c>
      <c r="I330" s="1670">
        <f t="shared" si="25"/>
        <v>0</v>
      </c>
      <c r="J330" s="1670">
        <f t="shared" si="25"/>
        <v>0</v>
      </c>
      <c r="K330" s="1670">
        <f>SUM(K319:K329)</f>
        <v>237776</v>
      </c>
      <c r="L330" s="1670">
        <f>SUM(L319:L329)</f>
        <v>280340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116152</v>
      </c>
      <c r="D342" s="1670">
        <f>SUM(D330)</f>
        <v>22629</v>
      </c>
      <c r="E342" s="1670">
        <f>SUM(E330)</f>
        <v>91958</v>
      </c>
      <c r="F342" s="1670">
        <f>SUM(F330)</f>
        <v>1975</v>
      </c>
      <c r="G342" s="1670">
        <f>SUM(G330)</f>
        <v>5062</v>
      </c>
      <c r="H342" s="1670">
        <f>SUM(H330,H334,H340)</f>
        <v>0</v>
      </c>
      <c r="I342" s="1670">
        <f>SUM(I330)</f>
        <v>0</v>
      </c>
      <c r="J342" s="1670">
        <f>SUM(J330)</f>
        <v>0</v>
      </c>
      <c r="K342" s="1670">
        <f>SUM(K330,K334,K340)</f>
        <v>237776</v>
      </c>
      <c r="L342" s="1677">
        <f>SUM(L330,L334,L340,L341)</f>
        <v>280340</v>
      </c>
    </row>
    <row r="343" spans="1:14" ht="12.75" customHeight="1" thickTop="1" x14ac:dyDescent="0.2">
      <c r="A343" s="2167" t="s">
        <v>996</v>
      </c>
      <c r="B343" s="2168"/>
      <c r="C343" s="616"/>
      <c r="D343" s="616"/>
      <c r="E343" s="616"/>
      <c r="F343" s="616"/>
      <c r="G343" s="616"/>
      <c r="H343" s="616"/>
      <c r="I343" s="616"/>
      <c r="J343" s="616"/>
      <c r="K343" s="1684">
        <f>'Revenues 9-14'!J268-'Expenditures 15-22'!K342</f>
        <v>5987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1895882</v>
      </c>
      <c r="H348" s="466"/>
      <c r="I348" s="467"/>
      <c r="J348" s="467"/>
      <c r="K348" s="1671">
        <f>SUM(C348:J348)</f>
        <v>1895882</v>
      </c>
      <c r="L348" s="466">
        <v>1905800</v>
      </c>
    </row>
    <row r="349" spans="1:14" x14ac:dyDescent="0.2">
      <c r="A349" s="1504" t="s">
        <v>197</v>
      </c>
      <c r="B349" s="614">
        <v>2540</v>
      </c>
      <c r="C349" s="466"/>
      <c r="D349" s="466"/>
      <c r="E349" s="466">
        <v>7146</v>
      </c>
      <c r="F349" s="466">
        <v>12518</v>
      </c>
      <c r="G349" s="466"/>
      <c r="H349" s="466"/>
      <c r="I349" s="467"/>
      <c r="J349" s="467"/>
      <c r="K349" s="1671">
        <f>SUM(C349:J349)</f>
        <v>19664</v>
      </c>
      <c r="L349" s="466">
        <v>13200</v>
      </c>
    </row>
    <row r="350" spans="1:14" ht="12.75" customHeight="1" thickBot="1" x14ac:dyDescent="0.25">
      <c r="A350" s="1668" t="s">
        <v>719</v>
      </c>
      <c r="B350" s="1669" t="s">
        <v>35</v>
      </c>
      <c r="C350" s="1670">
        <f>SUM(C348:C349)</f>
        <v>0</v>
      </c>
      <c r="D350" s="1670">
        <f t="shared" ref="D350:L350" si="26">SUM(D348:D349)</f>
        <v>0</v>
      </c>
      <c r="E350" s="1670">
        <f t="shared" si="26"/>
        <v>7146</v>
      </c>
      <c r="F350" s="1670">
        <f t="shared" si="26"/>
        <v>12518</v>
      </c>
      <c r="G350" s="1670">
        <f t="shared" si="26"/>
        <v>1895882</v>
      </c>
      <c r="H350" s="1670">
        <f t="shared" si="26"/>
        <v>0</v>
      </c>
      <c r="I350" s="1670">
        <f t="shared" si="26"/>
        <v>0</v>
      </c>
      <c r="J350" s="1670">
        <f t="shared" si="26"/>
        <v>0</v>
      </c>
      <c r="K350" s="1670">
        <f t="shared" si="26"/>
        <v>1915546</v>
      </c>
      <c r="L350" s="1670">
        <f t="shared" si="26"/>
        <v>1919000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7146</v>
      </c>
      <c r="F352" s="1670">
        <f t="shared" si="27"/>
        <v>12518</v>
      </c>
      <c r="G352" s="1670">
        <f t="shared" si="27"/>
        <v>1895882</v>
      </c>
      <c r="H352" s="1670">
        <f t="shared" si="27"/>
        <v>0</v>
      </c>
      <c r="I352" s="1670">
        <f t="shared" si="27"/>
        <v>0</v>
      </c>
      <c r="J352" s="1670">
        <f t="shared" si="27"/>
        <v>0</v>
      </c>
      <c r="K352" s="1670">
        <f t="shared" si="27"/>
        <v>1915546</v>
      </c>
      <c r="L352" s="1670">
        <f t="shared" si="27"/>
        <v>1919000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7146</v>
      </c>
      <c r="F367" s="1670">
        <f t="shared" si="28"/>
        <v>12518</v>
      </c>
      <c r="G367" s="1670">
        <f t="shared" si="28"/>
        <v>1895882</v>
      </c>
      <c r="H367" s="1670">
        <f t="shared" si="28"/>
        <v>0</v>
      </c>
      <c r="I367" s="1670">
        <f t="shared" si="28"/>
        <v>0</v>
      </c>
      <c r="J367" s="1670">
        <f t="shared" si="28"/>
        <v>0</v>
      </c>
      <c r="K367" s="1670">
        <f t="shared" si="28"/>
        <v>1915546</v>
      </c>
      <c r="L367" s="1670">
        <f t="shared" si="28"/>
        <v>1919000</v>
      </c>
    </row>
    <row r="368" spans="1:14" ht="13.5" thickTop="1" x14ac:dyDescent="0.2">
      <c r="A368" s="2181" t="s">
        <v>996</v>
      </c>
      <c r="B368" s="2182"/>
      <c r="C368" s="654"/>
      <c r="D368" s="654"/>
      <c r="E368" s="626"/>
      <c r="F368" s="626"/>
      <c r="G368" s="626"/>
      <c r="H368" s="626"/>
      <c r="I368" s="626"/>
      <c r="J368" s="623"/>
      <c r="K368" s="1671">
        <f>'Revenues 9-14'!K268-'Expenditures 15-22'!K367</f>
        <v>-1864198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25" right="0.25" top="0.75" bottom="0.75" header="0.3" footer="0.3"/>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1801</v>
      </c>
      <c r="B2" s="1528" t="s">
        <v>1948</v>
      </c>
      <c r="C2" s="714" t="s">
        <v>1949</v>
      </c>
      <c r="D2" s="714" t="s">
        <v>1950</v>
      </c>
      <c r="E2" s="714" t="s">
        <v>1951</v>
      </c>
      <c r="F2" s="714" t="s">
        <v>1952</v>
      </c>
    </row>
    <row r="3" spans="1:6" ht="12" customHeight="1" x14ac:dyDescent="0.2">
      <c r="A3" s="2184"/>
      <c r="B3" s="1525"/>
      <c r="C3" s="1526"/>
      <c r="D3" s="1527" t="s">
        <v>256</v>
      </c>
      <c r="E3" s="1526"/>
      <c r="F3" s="1527" t="s">
        <v>257</v>
      </c>
    </row>
    <row r="4" spans="1:6" ht="13.7" customHeight="1" x14ac:dyDescent="0.2">
      <c r="A4" s="715" t="s">
        <v>1155</v>
      </c>
      <c r="B4" s="1749">
        <f>'Revenues 9-14'!C5</f>
        <v>884269</v>
      </c>
      <c r="C4" s="1524"/>
      <c r="D4" s="1752">
        <f>B4-C4</f>
        <v>884269</v>
      </c>
      <c r="E4" s="1524">
        <v>916558</v>
      </c>
      <c r="F4" s="1752">
        <f>E4-C4</f>
        <v>916558</v>
      </c>
    </row>
    <row r="5" spans="1:6" ht="13.7" customHeight="1" x14ac:dyDescent="0.2">
      <c r="A5" s="715" t="s">
        <v>870</v>
      </c>
      <c r="B5" s="1750">
        <f>'Revenues 9-14'!D5</f>
        <v>240447</v>
      </c>
      <c r="C5" s="585"/>
      <c r="D5" s="1753">
        <f t="shared" ref="D5:D18" si="0">B5-C5</f>
        <v>240447</v>
      </c>
      <c r="E5" s="585">
        <v>249065</v>
      </c>
      <c r="F5" s="1753">
        <f>E5-C5</f>
        <v>249065</v>
      </c>
    </row>
    <row r="6" spans="1:6" ht="13.7" customHeight="1" x14ac:dyDescent="0.2">
      <c r="A6" s="715" t="s">
        <v>411</v>
      </c>
      <c r="B6" s="1750">
        <f>'Revenues 9-14'!E5</f>
        <v>372503</v>
      </c>
      <c r="C6" s="585"/>
      <c r="D6" s="1753">
        <f t="shared" si="0"/>
        <v>372503</v>
      </c>
      <c r="E6" s="585">
        <v>371430</v>
      </c>
      <c r="F6" s="1753">
        <f t="shared" ref="F6:F18" si="1">E6-C6</f>
        <v>371430</v>
      </c>
    </row>
    <row r="7" spans="1:6" ht="13.7" customHeight="1" x14ac:dyDescent="0.2">
      <c r="A7" s="715" t="s">
        <v>155</v>
      </c>
      <c r="B7" s="1750">
        <f>'Revenues 9-14'!F5</f>
        <v>115415</v>
      </c>
      <c r="C7" s="585"/>
      <c r="D7" s="1753">
        <f t="shared" si="0"/>
        <v>115415</v>
      </c>
      <c r="E7" s="585">
        <v>119551</v>
      </c>
      <c r="F7" s="1753">
        <f t="shared" si="1"/>
        <v>119551</v>
      </c>
    </row>
    <row r="8" spans="1:6" ht="13.7" customHeight="1" x14ac:dyDescent="0.2">
      <c r="A8" s="715" t="s">
        <v>1179</v>
      </c>
      <c r="B8" s="1750">
        <f>'Revenues 9-14'!G5</f>
        <v>115382</v>
      </c>
      <c r="C8" s="585"/>
      <c r="D8" s="1753">
        <f t="shared" si="0"/>
        <v>115382</v>
      </c>
      <c r="E8" s="585">
        <v>119037</v>
      </c>
      <c r="F8" s="1753">
        <f t="shared" si="1"/>
        <v>119037</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48089</v>
      </c>
      <c r="C10" s="585"/>
      <c r="D10" s="1753">
        <f t="shared" si="0"/>
        <v>48089</v>
      </c>
      <c r="E10" s="585">
        <v>49813</v>
      </c>
      <c r="F10" s="1753">
        <f t="shared" si="1"/>
        <v>49813</v>
      </c>
    </row>
    <row r="11" spans="1:6" x14ac:dyDescent="0.2">
      <c r="A11" s="715" t="s">
        <v>409</v>
      </c>
      <c r="B11" s="1750">
        <f>'Revenues 9-14'!J5</f>
        <v>240727</v>
      </c>
      <c r="C11" s="585"/>
      <c r="D11" s="1753">
        <f t="shared" si="0"/>
        <v>240727</v>
      </c>
      <c r="E11" s="585">
        <v>255938</v>
      </c>
      <c r="F11" s="1753">
        <f t="shared" si="1"/>
        <v>255938</v>
      </c>
    </row>
    <row r="12" spans="1:6" ht="13.7" customHeight="1" x14ac:dyDescent="0.2">
      <c r="A12" s="715" t="s">
        <v>157</v>
      </c>
      <c r="B12" s="1750">
        <f>'Revenues 9-14'!K5</f>
        <v>48089</v>
      </c>
      <c r="C12" s="585"/>
      <c r="D12" s="1753">
        <f t="shared" si="0"/>
        <v>48089</v>
      </c>
      <c r="E12" s="585">
        <v>49813</v>
      </c>
      <c r="F12" s="1753">
        <f t="shared" si="1"/>
        <v>49813</v>
      </c>
    </row>
    <row r="13" spans="1:6" ht="13.7" customHeight="1" x14ac:dyDescent="0.2">
      <c r="A13" s="715" t="s">
        <v>936</v>
      </c>
      <c r="B13" s="1750">
        <f>SUM('Revenues 9-14'!C6:D6)</f>
        <v>48089</v>
      </c>
      <c r="C13" s="585"/>
      <c r="D13" s="1753">
        <f t="shared" si="0"/>
        <v>48089</v>
      </c>
      <c r="E13" s="585">
        <v>49813</v>
      </c>
      <c r="F13" s="1753">
        <f t="shared" si="1"/>
        <v>49813</v>
      </c>
    </row>
    <row r="14" spans="1:6" ht="13.7" customHeight="1" x14ac:dyDescent="0.2">
      <c r="A14" s="715" t="s">
        <v>410</v>
      </c>
      <c r="B14" s="1750">
        <f>SUM('Revenues 9-14'!C7:D7,'Revenues 9-14'!F7:H7)</f>
        <v>19236</v>
      </c>
      <c r="C14" s="585"/>
      <c r="D14" s="1753">
        <f t="shared" si="0"/>
        <v>19236</v>
      </c>
      <c r="E14" s="585">
        <v>19925</v>
      </c>
      <c r="F14" s="1753">
        <f t="shared" si="1"/>
        <v>19925</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64655</v>
      </c>
      <c r="C16" s="585"/>
      <c r="D16" s="1753">
        <f t="shared" si="0"/>
        <v>64655</v>
      </c>
      <c r="E16" s="585">
        <v>64478</v>
      </c>
      <c r="F16" s="1753">
        <f t="shared" si="1"/>
        <v>64478</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2196901</v>
      </c>
      <c r="C19" s="1751">
        <f>SUM(C4:C18)</f>
        <v>0</v>
      </c>
      <c r="D19" s="1751">
        <f>SUM(D4:D18)</f>
        <v>2196901</v>
      </c>
      <c r="E19" s="1751">
        <f>SUM(E4:E18)</f>
        <v>2265421</v>
      </c>
      <c r="F19" s="1751">
        <f>SUM(F4:F18)</f>
        <v>2265421</v>
      </c>
    </row>
    <row r="20" spans="1:6" ht="13.5" thickTop="1" x14ac:dyDescent="0.2">
      <c r="B20" s="713"/>
      <c r="F20" s="716"/>
    </row>
    <row r="21" spans="1:6" x14ac:dyDescent="0.2">
      <c r="A21" s="717" t="s">
        <v>1807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D57" sqref="D5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1801</v>
      </c>
      <c r="B2" s="2199"/>
      <c r="C2" s="1884" t="s">
        <v>1953</v>
      </c>
      <c r="D2" s="723" t="s">
        <v>1954</v>
      </c>
      <c r="E2" s="723" t="s">
        <v>1955</v>
      </c>
      <c r="F2" s="1884" t="s">
        <v>1956</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5">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7" t="s">
        <v>631</v>
      </c>
      <c r="B15" s="2188"/>
      <c r="C15" s="1755">
        <f>SUM(C6:C14)</f>
        <v>0</v>
      </c>
      <c r="D15" s="1755">
        <f>SUM(D6:D14)</f>
        <v>0</v>
      </c>
      <c r="E15" s="1755">
        <f>SUM(E6:E14)</f>
        <v>0</v>
      </c>
      <c r="F15" s="1755">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388</v>
      </c>
      <c r="B19" s="2211"/>
      <c r="C19" s="726"/>
      <c r="D19" s="585"/>
      <c r="E19" s="726"/>
      <c r="F19" s="1755">
        <f>SUM(C19+D19)-E19</f>
        <v>0</v>
      </c>
    </row>
    <row r="20" spans="1:11" ht="12.75" customHeight="1" thickTop="1" thickBot="1" x14ac:dyDescent="0.25">
      <c r="A20" s="2210" t="s">
        <v>448</v>
      </c>
      <c r="B20" s="2211"/>
      <c r="C20" s="726"/>
      <c r="D20" s="585"/>
      <c r="E20" s="726"/>
      <c r="F20" s="1755">
        <f>SUM(C20+D20)-E20</f>
        <v>0</v>
      </c>
    </row>
    <row r="21" spans="1:11" ht="14.25" thickTop="1" thickBot="1" x14ac:dyDescent="0.25">
      <c r="A21" s="2187" t="s">
        <v>632</v>
      </c>
      <c r="B21" s="2188"/>
      <c r="C21" s="1755">
        <f>SUM(C17:C20)</f>
        <v>0</v>
      </c>
      <c r="D21" s="1755">
        <f>SUM(D17:D20)</f>
        <v>0</v>
      </c>
      <c r="E21" s="1755">
        <f>SUM(E17:E20)</f>
        <v>0</v>
      </c>
      <c r="F21" s="1755">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5">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5">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5">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1909</v>
      </c>
      <c r="H30" s="1885" t="s">
        <v>1959</v>
      </c>
      <c r="I30" s="1885" t="s">
        <v>1960</v>
      </c>
      <c r="J30" s="1886" t="s">
        <v>2</v>
      </c>
      <c r="K30" s="731"/>
    </row>
    <row r="31" spans="1:11" ht="12" customHeight="1" x14ac:dyDescent="0.2">
      <c r="A31" s="732" t="s">
        <v>2082</v>
      </c>
      <c r="B31" s="733">
        <v>42663</v>
      </c>
      <c r="C31" s="734">
        <v>1301700</v>
      </c>
      <c r="D31" s="735">
        <v>4</v>
      </c>
      <c r="E31" s="734">
        <v>1044400</v>
      </c>
      <c r="F31" s="734"/>
      <c r="G31" s="734"/>
      <c r="H31" s="734">
        <v>134000</v>
      </c>
      <c r="I31" s="1756">
        <f>((E31+F31)-H31)+G31</f>
        <v>910400</v>
      </c>
      <c r="J31" s="734">
        <v>853878</v>
      </c>
      <c r="K31" s="736"/>
    </row>
    <row r="32" spans="1:11" ht="12" customHeight="1" x14ac:dyDescent="0.2">
      <c r="A32" s="732" t="s">
        <v>2083</v>
      </c>
      <c r="B32" s="733">
        <v>42675</v>
      </c>
      <c r="C32" s="734">
        <v>1698300</v>
      </c>
      <c r="D32" s="735">
        <v>4</v>
      </c>
      <c r="E32" s="734">
        <v>1362600</v>
      </c>
      <c r="F32" s="734"/>
      <c r="G32" s="734"/>
      <c r="H32" s="734">
        <v>174800</v>
      </c>
      <c r="I32" s="1756">
        <f>((E32+F32)-H32)+G32</f>
        <v>1187800</v>
      </c>
      <c r="J32" s="734">
        <v>1112876</v>
      </c>
      <c r="K32" s="736"/>
    </row>
    <row r="33" spans="1:11" ht="12" customHeight="1" x14ac:dyDescent="0.2">
      <c r="A33" s="732" t="s">
        <v>2084</v>
      </c>
      <c r="B33" s="733">
        <v>42597</v>
      </c>
      <c r="C33" s="734">
        <v>77900</v>
      </c>
      <c r="D33" s="735">
        <v>7</v>
      </c>
      <c r="E33" s="734">
        <v>46696</v>
      </c>
      <c r="F33" s="734"/>
      <c r="G33" s="734"/>
      <c r="H33" s="734">
        <v>14983</v>
      </c>
      <c r="I33" s="1756">
        <f t="shared" ref="I33:I48" si="1">((E33+F33)-H33)+G33</f>
        <v>31713</v>
      </c>
      <c r="J33" s="734">
        <v>31713</v>
      </c>
      <c r="K33" s="736"/>
    </row>
    <row r="34" spans="1:11" ht="12" customHeight="1" x14ac:dyDescent="0.2">
      <c r="A34" s="732" t="s">
        <v>2084</v>
      </c>
      <c r="B34" s="733">
        <v>42714</v>
      </c>
      <c r="C34" s="734">
        <v>77900</v>
      </c>
      <c r="D34" s="735">
        <v>8</v>
      </c>
      <c r="E34" s="734">
        <v>46696</v>
      </c>
      <c r="F34" s="734"/>
      <c r="G34" s="734"/>
      <c r="H34" s="734">
        <v>14983</v>
      </c>
      <c r="I34" s="1756">
        <f t="shared" si="1"/>
        <v>31713</v>
      </c>
      <c r="J34" s="734">
        <v>31713</v>
      </c>
      <c r="K34" s="737"/>
    </row>
    <row r="35" spans="1:11" ht="12" customHeight="1" x14ac:dyDescent="0.2">
      <c r="A35" s="732" t="s">
        <v>2084</v>
      </c>
      <c r="B35" s="733">
        <v>42908</v>
      </c>
      <c r="C35" s="738">
        <v>33900</v>
      </c>
      <c r="D35" s="735">
        <v>9</v>
      </c>
      <c r="E35" s="738">
        <v>11296</v>
      </c>
      <c r="F35" s="738"/>
      <c r="G35" s="738"/>
      <c r="H35" s="738">
        <v>11296</v>
      </c>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3189700</v>
      </c>
      <c r="D49" s="745"/>
      <c r="E49" s="1756">
        <f t="shared" ref="E49:J49" si="2">SUM(E31:E48)</f>
        <v>2511688</v>
      </c>
      <c r="F49" s="1756">
        <f t="shared" si="2"/>
        <v>0</v>
      </c>
      <c r="G49" s="1756">
        <f t="shared" si="2"/>
        <v>0</v>
      </c>
      <c r="H49" s="1756">
        <f t="shared" si="2"/>
        <v>350062</v>
      </c>
      <c r="I49" s="1756">
        <f t="shared" si="2"/>
        <v>2161626</v>
      </c>
      <c r="J49" s="1756">
        <f t="shared" si="2"/>
        <v>2030180</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t="s">
        <v>2080</v>
      </c>
      <c r="G52" s="2207"/>
      <c r="H52" s="736"/>
      <c r="I52" s="736"/>
      <c r="J52" s="746"/>
    </row>
    <row r="53" spans="1:11" ht="11.25" customHeight="1" x14ac:dyDescent="0.2">
      <c r="A53" s="750" t="s">
        <v>913</v>
      </c>
      <c r="B53" s="751" t="s">
        <v>951</v>
      </c>
      <c r="C53" s="746"/>
      <c r="D53" s="737"/>
      <c r="E53" s="749" t="s">
        <v>497</v>
      </c>
      <c r="F53" s="2208" t="s">
        <v>2080</v>
      </c>
      <c r="G53" s="2209"/>
      <c r="H53" s="736"/>
      <c r="I53" s="736"/>
      <c r="J53" s="746"/>
    </row>
    <row r="54" spans="1:11" ht="11.25" customHeight="1" x14ac:dyDescent="0.2">
      <c r="A54" s="752" t="s">
        <v>914</v>
      </c>
      <c r="B54" s="747" t="s">
        <v>952</v>
      </c>
      <c r="C54" s="746"/>
      <c r="D54" s="737"/>
      <c r="E54" s="749" t="s">
        <v>498</v>
      </c>
      <c r="F54" s="2208" t="s">
        <v>2081</v>
      </c>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1811</v>
      </c>
      <c r="K2" s="762" t="s">
        <v>138</v>
      </c>
    </row>
    <row r="3" spans="1:11" x14ac:dyDescent="0.2">
      <c r="A3" s="2220" t="s">
        <v>1961</v>
      </c>
      <c r="B3" s="2221"/>
      <c r="C3" s="2221"/>
      <c r="D3" s="2221"/>
      <c r="E3" s="2222"/>
      <c r="F3" s="763"/>
      <c r="G3" s="764"/>
      <c r="H3" s="764"/>
      <c r="I3" s="764"/>
      <c r="J3" s="765"/>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19236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24238</v>
      </c>
    </row>
    <row r="10" spans="1:11" x14ac:dyDescent="0.2">
      <c r="A10" s="2241" t="s">
        <v>1812</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7"/>
      <c r="G12" s="1758">
        <f>SUM(G5:G11)</f>
        <v>0</v>
      </c>
      <c r="H12" s="1758">
        <f>SUM(H5:H11)</f>
        <v>19236</v>
      </c>
      <c r="I12" s="1758">
        <f>SUM(I5:I11)</f>
        <v>0</v>
      </c>
      <c r="J12" s="1758">
        <f>SUM(J5:J11)</f>
        <v>0</v>
      </c>
      <c r="K12" s="1758">
        <f>SUM(K5:K11)</f>
        <v>24238</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19236</v>
      </c>
      <c r="I14" s="771"/>
      <c r="J14" s="773"/>
      <c r="K14" s="765">
        <v>24238</v>
      </c>
    </row>
    <row r="15" spans="1:11" x14ac:dyDescent="0.2">
      <c r="A15" s="2214" t="s">
        <v>4</v>
      </c>
      <c r="B15" s="2214"/>
      <c r="C15" s="2214"/>
      <c r="D15" s="2214"/>
      <c r="E15" s="2242"/>
      <c r="F15" s="789" t="s">
        <v>855</v>
      </c>
      <c r="G15" s="771"/>
      <c r="H15" s="764"/>
      <c r="I15" s="764"/>
      <c r="J15" s="765"/>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1808</v>
      </c>
      <c r="B19" s="2249"/>
      <c r="C19" s="2249"/>
      <c r="D19" s="2249"/>
      <c r="E19" s="2250"/>
      <c r="F19" s="789" t="s">
        <v>933</v>
      </c>
      <c r="G19" s="782"/>
      <c r="H19" s="782"/>
      <c r="I19" s="782"/>
      <c r="J19" s="765"/>
      <c r="K19" s="795"/>
    </row>
    <row r="20" spans="1:11" x14ac:dyDescent="0.2">
      <c r="A20" s="2228" t="s">
        <v>1813</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9"/>
      <c r="G21" s="792"/>
      <c r="H21" s="796"/>
      <c r="I21" s="796"/>
      <c r="J21" s="1760">
        <f>SUM(J18:J20)</f>
        <v>0</v>
      </c>
      <c r="K21" s="793"/>
    </row>
    <row r="22" spans="1:11" ht="13.5" thickTop="1" x14ac:dyDescent="0.2">
      <c r="A22" s="2214" t="s">
        <v>1814</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1"/>
      <c r="G23" s="1758">
        <f>SUM(G14:G16,G21,G22)</f>
        <v>0</v>
      </c>
      <c r="H23" s="1758">
        <f>SUM(H14:H16,H21,H22)</f>
        <v>19236</v>
      </c>
      <c r="I23" s="1758">
        <f>SUM(I14:I16,I21,I22)</f>
        <v>0</v>
      </c>
      <c r="J23" s="1758">
        <f>SUM(J14:J16,J21,J22)</f>
        <v>0</v>
      </c>
      <c r="K23" s="1758">
        <f>SUM(K14:K16,K21,K22)</f>
        <v>24238</v>
      </c>
    </row>
    <row r="24" spans="1:11" ht="14.25" thickTop="1" thickBot="1" x14ac:dyDescent="0.25">
      <c r="A24" s="2235" t="s">
        <v>1962</v>
      </c>
      <c r="B24" s="2234"/>
      <c r="C24" s="2234"/>
      <c r="D24" s="2234"/>
      <c r="E24" s="223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1809</v>
      </c>
      <c r="B46" s="408" t="s">
        <v>1675</v>
      </c>
    </row>
    <row r="47" spans="1:11" s="823" customFormat="1" ht="12.75" customHeight="1" x14ac:dyDescent="0.2">
      <c r="A47" s="821"/>
      <c r="B47" s="822" t="s">
        <v>1676</v>
      </c>
      <c r="E47" s="822"/>
      <c r="K47" s="824"/>
    </row>
    <row r="48" spans="1:11" ht="12.75" customHeight="1" x14ac:dyDescent="0.2">
      <c r="A48" s="1532" t="s">
        <v>1810</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10" colorId="8"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1907</v>
      </c>
      <c r="B1" s="2254"/>
      <c r="C1" s="2255"/>
      <c r="D1" s="826"/>
      <c r="E1" s="827"/>
      <c r="F1" s="827"/>
      <c r="G1" s="828"/>
      <c r="H1" s="829"/>
      <c r="I1" s="830"/>
      <c r="J1" s="2251"/>
      <c r="K1" s="2252"/>
      <c r="L1" s="2252"/>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v>0</v>
      </c>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267017</v>
      </c>
      <c r="D5" s="841"/>
      <c r="E5" s="841"/>
      <c r="F5" s="1760">
        <f>(C5+D5)-E5</f>
        <v>267017</v>
      </c>
      <c r="G5" s="837"/>
      <c r="H5" s="842"/>
      <c r="I5" s="842"/>
      <c r="J5" s="842"/>
      <c r="K5" s="793"/>
      <c r="L5" s="1769">
        <f>F5-K5</f>
        <v>267017</v>
      </c>
    </row>
    <row r="6" spans="1:14" ht="14.25" thickTop="1" thickBot="1" x14ac:dyDescent="0.25">
      <c r="A6" s="778" t="s">
        <v>1117</v>
      </c>
      <c r="B6" s="840">
        <v>222</v>
      </c>
      <c r="C6" s="765">
        <v>34355</v>
      </c>
      <c r="D6" s="765"/>
      <c r="E6" s="765">
        <v>34355</v>
      </c>
      <c r="F6" s="1760">
        <f>(C6+D6)-E6</f>
        <v>0</v>
      </c>
      <c r="G6" s="837">
        <v>50</v>
      </c>
      <c r="H6" s="765">
        <v>1947</v>
      </c>
      <c r="I6" s="765">
        <v>687</v>
      </c>
      <c r="J6" s="765">
        <v>2634</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12602782</v>
      </c>
      <c r="D8" s="844"/>
      <c r="E8" s="844"/>
      <c r="F8" s="1760">
        <f>(C8+D8)-E8</f>
        <v>12602782</v>
      </c>
      <c r="G8" s="843">
        <v>50</v>
      </c>
      <c r="H8" s="765">
        <v>4887971</v>
      </c>
      <c r="I8" s="765">
        <v>252056</v>
      </c>
      <c r="J8" s="765"/>
      <c r="K8" s="1769">
        <f>(H8+I8)-J8</f>
        <v>5140027</v>
      </c>
      <c r="L8" s="1769">
        <f>F8-K8</f>
        <v>7462755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1253198</v>
      </c>
      <c r="D10" s="846">
        <v>2510745</v>
      </c>
      <c r="E10" s="846">
        <v>23972</v>
      </c>
      <c r="F10" s="1764">
        <f>(C10+D10)-E10</f>
        <v>3739971</v>
      </c>
      <c r="G10" s="843">
        <v>20</v>
      </c>
      <c r="H10" s="847">
        <v>353183</v>
      </c>
      <c r="I10" s="847">
        <v>290546</v>
      </c>
      <c r="J10" s="847">
        <v>5594</v>
      </c>
      <c r="K10" s="1769">
        <f>(H10+I10)-J10</f>
        <v>638135</v>
      </c>
      <c r="L10" s="1769">
        <f>F10-K10</f>
        <v>3101836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568221</v>
      </c>
      <c r="D12" s="844">
        <v>53487</v>
      </c>
      <c r="E12" s="844">
        <v>1942</v>
      </c>
      <c r="F12" s="1760">
        <f>(C12+D12)-E12</f>
        <v>619766</v>
      </c>
      <c r="G12" s="843">
        <v>10</v>
      </c>
      <c r="H12" s="765">
        <v>305082</v>
      </c>
      <c r="I12" s="765">
        <v>60096</v>
      </c>
      <c r="J12" s="765">
        <v>837</v>
      </c>
      <c r="K12" s="1769">
        <f>(H12+I12)-J12</f>
        <v>364341</v>
      </c>
      <c r="L12" s="1769">
        <f>F12-K12</f>
        <v>255425</v>
      </c>
    </row>
    <row r="13" spans="1:14" ht="14.25" thickTop="1" thickBot="1" x14ac:dyDescent="0.25">
      <c r="A13" s="848" t="s">
        <v>1122</v>
      </c>
      <c r="B13" s="840">
        <v>252</v>
      </c>
      <c r="C13" s="844">
        <v>567970</v>
      </c>
      <c r="D13" s="844"/>
      <c r="E13" s="844"/>
      <c r="F13" s="1760">
        <f>(C13+D13)-E13</f>
        <v>567970</v>
      </c>
      <c r="G13" s="843">
        <v>5</v>
      </c>
      <c r="H13" s="765">
        <v>383514</v>
      </c>
      <c r="I13" s="765">
        <v>52360</v>
      </c>
      <c r="J13" s="765"/>
      <c r="K13" s="1769">
        <f>(H13+I13)-J13</f>
        <v>435874</v>
      </c>
      <c r="L13" s="1769">
        <f>F13-K13</f>
        <v>132096</v>
      </c>
    </row>
    <row r="14" spans="1:14" ht="14.25" thickTop="1" thickBot="1" x14ac:dyDescent="0.25">
      <c r="A14" s="848" t="s">
        <v>1123</v>
      </c>
      <c r="B14" s="840">
        <v>253</v>
      </c>
      <c r="C14" s="765">
        <v>0</v>
      </c>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608289</v>
      </c>
      <c r="D15" s="844">
        <v>1891714</v>
      </c>
      <c r="E15" s="844">
        <v>2500003</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15901832</v>
      </c>
      <c r="D16" s="1760">
        <f>SUM(D3,D5:D6,D8:D10,D12:D15)</f>
        <v>4455946</v>
      </c>
      <c r="E16" s="1760">
        <f>SUM(E3,E5:E6,E8:E10,E12:E15)</f>
        <v>2560272</v>
      </c>
      <c r="F16" s="1760">
        <f>SUM(F3,F5:F6,F8:F10,F12:F15)</f>
        <v>17797506</v>
      </c>
      <c r="G16" s="843"/>
      <c r="H16" s="1760">
        <f>SUM(H3,H6,H8:H10,H12:H14,)</f>
        <v>5931697</v>
      </c>
      <c r="I16" s="1760">
        <f>SUM(I3,I6,I8:I10,I12:I14,)</f>
        <v>655745</v>
      </c>
      <c r="J16" s="1760">
        <f>SUM(J3,J6,J8:J10,J12:J14,)</f>
        <v>9065</v>
      </c>
      <c r="K16" s="1760">
        <f>(H16+I16)-J16</f>
        <v>6578377</v>
      </c>
      <c r="L16" s="1760">
        <f>F16-K16</f>
        <v>11219129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655745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1972</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3450443</v>
      </c>
      <c r="G8" s="865"/>
    </row>
    <row r="9" spans="1:7" x14ac:dyDescent="0.2">
      <c r="A9" s="869" t="s">
        <v>460</v>
      </c>
      <c r="B9" s="870" t="s">
        <v>1875</v>
      </c>
      <c r="C9" s="871"/>
      <c r="D9" s="869" t="s">
        <v>501</v>
      </c>
      <c r="E9" s="868"/>
      <c r="F9" s="1909">
        <f>'Expenditures 15-22'!K151</f>
        <v>512635</v>
      </c>
      <c r="G9" s="872"/>
    </row>
    <row r="10" spans="1:7" x14ac:dyDescent="0.2">
      <c r="A10" s="869" t="s">
        <v>499</v>
      </c>
      <c r="B10" s="870" t="s">
        <v>1876</v>
      </c>
      <c r="C10" s="871"/>
      <c r="D10" s="869" t="s">
        <v>501</v>
      </c>
      <c r="E10" s="868"/>
      <c r="F10" s="1909">
        <f>'Expenditures 15-22'!K174</f>
        <v>375355</v>
      </c>
      <c r="G10" s="872"/>
    </row>
    <row r="11" spans="1:7" x14ac:dyDescent="0.2">
      <c r="A11" s="869" t="s">
        <v>461</v>
      </c>
      <c r="B11" s="870" t="s">
        <v>1877</v>
      </c>
      <c r="C11" s="871"/>
      <c r="D11" s="869" t="s">
        <v>501</v>
      </c>
      <c r="E11" s="868"/>
      <c r="F11" s="1909">
        <f>'Expenditures 15-22'!K210</f>
        <v>193287</v>
      </c>
      <c r="G11" s="872"/>
    </row>
    <row r="12" spans="1:7" x14ac:dyDescent="0.2">
      <c r="A12" s="869" t="s">
        <v>462</v>
      </c>
      <c r="B12" s="870" t="s">
        <v>1878</v>
      </c>
      <c r="C12" s="871"/>
      <c r="D12" s="869" t="s">
        <v>501</v>
      </c>
      <c r="E12" s="868"/>
      <c r="F12" s="1909">
        <f>'Expenditures 15-22'!K295</f>
        <v>140582</v>
      </c>
      <c r="G12" s="872"/>
    </row>
    <row r="13" spans="1:7" x14ac:dyDescent="0.2">
      <c r="A13" s="869" t="s">
        <v>106</v>
      </c>
      <c r="B13" s="870" t="s">
        <v>1879</v>
      </c>
      <c r="C13" s="871"/>
      <c r="D13" s="869" t="s">
        <v>501</v>
      </c>
      <c r="E13" s="868"/>
      <c r="F13" s="1909">
        <f>'Expenditures 15-22'!K342</f>
        <v>237776</v>
      </c>
      <c r="G13" s="873"/>
    </row>
    <row r="14" spans="1:7" ht="12" customHeight="1" thickBot="1" x14ac:dyDescent="0.25">
      <c r="A14" s="1770"/>
      <c r="B14" s="1771"/>
      <c r="C14" s="1772"/>
      <c r="D14" s="1773" t="s">
        <v>501</v>
      </c>
      <c r="E14" s="1774" t="s">
        <v>958</v>
      </c>
      <c r="F14" s="1775">
        <f>SUM(F8:F13)</f>
        <v>4910078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287682</v>
      </c>
      <c r="G53" s="865"/>
    </row>
    <row r="54" spans="1:7" x14ac:dyDescent="0.2">
      <c r="A54" s="869" t="s">
        <v>459</v>
      </c>
      <c r="B54" s="869" t="s">
        <v>1476</v>
      </c>
      <c r="C54" s="889" t="s">
        <v>982</v>
      </c>
      <c r="D54" s="885" t="s">
        <v>1095</v>
      </c>
      <c r="E54" s="868"/>
      <c r="F54" s="1913">
        <f>'Expenditures 15-22'!G114</f>
        <v>166224</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25869</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308800</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45174</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833749</v>
      </c>
      <c r="G76" s="865"/>
    </row>
    <row r="77" spans="1:8" s="893" customFormat="1" ht="12" customHeight="1" thickTop="1" thickBot="1" x14ac:dyDescent="0.25">
      <c r="A77" s="1779"/>
      <c r="B77" s="1776"/>
      <c r="C77" s="1772"/>
      <c r="D77" s="1777" t="s">
        <v>1898</v>
      </c>
      <c r="E77" s="1774"/>
      <c r="F77" s="1780">
        <f>(F14-F76)</f>
        <v>4076329</v>
      </c>
      <c r="G77" s="869"/>
    </row>
    <row r="78" spans="1:8" s="893" customFormat="1" ht="12" customHeight="1" thickTop="1" x14ac:dyDescent="0.2">
      <c r="A78" s="1781"/>
      <c r="B78" s="1776"/>
      <c r="C78" s="1772"/>
      <c r="D78" s="1777" t="s">
        <v>2059</v>
      </c>
      <c r="E78" s="1774"/>
      <c r="F78" s="898">
        <v>400.14</v>
      </c>
      <c r="G78" s="899"/>
      <c r="H78" s="869"/>
    </row>
    <row r="79" spans="1:8" s="893" customFormat="1" ht="12" customHeight="1" thickBot="1" x14ac:dyDescent="0.25">
      <c r="A79" s="1782"/>
      <c r="B79" s="1776"/>
      <c r="C79" s="1772"/>
      <c r="D79" s="1777" t="s">
        <v>1899</v>
      </c>
      <c r="E79" s="1774" t="s">
        <v>958</v>
      </c>
      <c r="F79" s="1783">
        <f>IF(F78&gt;0,F77/F78," Complete Line 78")</f>
        <v>10187.256960063978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10535</v>
      </c>
      <c r="G94" s="912"/>
    </row>
    <row r="95" spans="1:7" x14ac:dyDescent="0.2">
      <c r="A95" s="908" t="s">
        <v>140</v>
      </c>
      <c r="B95" s="908" t="s">
        <v>175</v>
      </c>
      <c r="C95" s="910">
        <v>1700</v>
      </c>
      <c r="D95" s="918" t="str">
        <f>'Revenues 9-14'!A82</f>
        <v>Total District/School Activity Income</v>
      </c>
      <c r="E95" s="906"/>
      <c r="F95" s="1789">
        <f>SUM('Revenues 9-14'!C82,'Revenues 9-14'!D82)</f>
        <v>47489</v>
      </c>
      <c r="G95" s="912"/>
    </row>
    <row r="96" spans="1:7" x14ac:dyDescent="0.2">
      <c r="A96" s="908" t="s">
        <v>459</v>
      </c>
      <c r="B96" s="908" t="s">
        <v>176</v>
      </c>
      <c r="C96" s="910">
        <f>'Revenues 9-14'!B84</f>
        <v>1811</v>
      </c>
      <c r="D96" s="911" t="str">
        <f>'Revenues 9-14'!A84</f>
        <v>Rentals - Regular Textbooks</v>
      </c>
      <c r="E96" s="906"/>
      <c r="F96" s="1789">
        <f>'Revenues 9-14'!C84</f>
        <v>25932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9485</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2000</v>
      </c>
      <c r="C105" s="913">
        <v>3100</v>
      </c>
      <c r="D105" s="919" t="str">
        <f>'Revenues 9-14'!A132</f>
        <v>Total Special Education</v>
      </c>
      <c r="E105" s="906"/>
      <c r="F105" s="1789">
        <f>SUM('Revenues 9-14'!C132:D132,'Revenues 9-14'!F132)</f>
        <v>0</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72195</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635</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24238</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79874</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3134</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37249</v>
      </c>
      <c r="G125" s="930"/>
    </row>
    <row r="126" spans="1:7" x14ac:dyDescent="0.2">
      <c r="A126" s="927" t="s">
        <v>668</v>
      </c>
      <c r="B126" s="927" t="s">
        <v>2021</v>
      </c>
      <c r="C126" s="932">
        <v>4300</v>
      </c>
      <c r="D126" s="933" t="str">
        <f>'Revenues 9-14'!A204</f>
        <v>Total Title I</v>
      </c>
      <c r="E126" s="906"/>
      <c r="F126" s="1789">
        <f>SUM('Revenues 9-14'!C204,'Revenues 9-14'!D204,'Revenues 9-14'!F204,'Revenues 9-14'!G204)</f>
        <v>104578</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18048</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160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15668</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27708</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154232</v>
      </c>
      <c r="G171" s="927"/>
    </row>
    <row r="172" spans="1:7" x14ac:dyDescent="0.2">
      <c r="A172" s="1918" t="s">
        <v>664</v>
      </c>
      <c r="B172" s="1919" t="s">
        <v>1918</v>
      </c>
      <c r="C172" s="1920">
        <v>3300</v>
      </c>
      <c r="D172" s="1921" t="s">
        <v>1921</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631160</v>
      </c>
    </row>
    <row r="175" spans="1:7" ht="12" customHeight="1" x14ac:dyDescent="0.2">
      <c r="A175" s="1770"/>
      <c r="B175" s="1784"/>
      <c r="C175" s="1785"/>
      <c r="D175" s="1786" t="s">
        <v>2054</v>
      </c>
      <c r="E175" s="1787"/>
      <c r="F175" s="1789">
        <f>'PCTC-OEPP 27-28'!F77-F174</f>
        <v>3445169</v>
      </c>
    </row>
    <row r="176" spans="1:7" ht="12" customHeight="1" x14ac:dyDescent="0.2">
      <c r="A176" s="1770"/>
      <c r="B176" s="1784"/>
      <c r="C176" s="1785"/>
      <c r="D176" s="1786" t="s">
        <v>1816</v>
      </c>
      <c r="E176" s="1787"/>
      <c r="F176" s="1789">
        <f>'Cap Outlay Deprec 26'!I18</f>
        <v>655745</v>
      </c>
    </row>
    <row r="177" spans="1:7" ht="12" customHeight="1" x14ac:dyDescent="0.2">
      <c r="A177" s="1770"/>
      <c r="B177" s="1784"/>
      <c r="C177" s="1785"/>
      <c r="D177" s="1786" t="s">
        <v>2055</v>
      </c>
      <c r="E177" s="1787"/>
      <c r="F177" s="1789">
        <f>F175+F176</f>
        <v>4100914</v>
      </c>
    </row>
    <row r="178" spans="1:7" ht="12" customHeight="1" x14ac:dyDescent="0.2">
      <c r="A178" s="1770"/>
      <c r="B178" s="1790"/>
      <c r="C178" s="1785"/>
      <c r="D178" s="1786" t="str">
        <f>D78</f>
        <v>9 Month ADA from District Average Daily Attendance/Prior General State Aid Inquiry 2018-2019</v>
      </c>
      <c r="E178" s="1787"/>
      <c r="F178" s="1791">
        <f>'PCTC-OEPP 27-28'!F78</f>
        <v>400.14</v>
      </c>
      <c r="G178" s="930"/>
    </row>
    <row r="179" spans="1:7" ht="12" customHeight="1" thickBot="1" x14ac:dyDescent="0.25">
      <c r="A179" s="1770"/>
      <c r="B179" s="1790"/>
      <c r="C179" s="1785"/>
      <c r="D179" s="1786" t="s">
        <v>2056</v>
      </c>
      <c r="E179" s="1787" t="s">
        <v>1545</v>
      </c>
      <c r="F179" s="1792">
        <f>F177/F178</f>
        <v>10248.697955715499</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A18" sqref="A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1817</v>
      </c>
      <c r="B4" s="2271"/>
      <c r="C4" s="2271"/>
      <c r="D4" s="2271"/>
      <c r="E4" s="2271"/>
      <c r="F4" s="2271"/>
      <c r="G4" s="2272"/>
    </row>
    <row r="5" spans="1:7" x14ac:dyDescent="0.25">
      <c r="A5" s="2273"/>
      <c r="B5" s="2274"/>
      <c r="C5" s="2274"/>
      <c r="D5" s="2274"/>
      <c r="E5" s="2274"/>
      <c r="F5" s="2274"/>
      <c r="G5" s="2275"/>
    </row>
    <row r="6" spans="1:7" ht="18.75" x14ac:dyDescent="0.25">
      <c r="A6" s="1938" t="s">
        <v>2063</v>
      </c>
      <c r="B6" s="1939"/>
      <c r="C6" s="1939"/>
      <c r="D6" s="1939"/>
      <c r="E6" s="1939"/>
      <c r="F6" s="1939"/>
      <c r="G6" s="1940"/>
    </row>
    <row r="7" spans="1:7" ht="18.75" x14ac:dyDescent="0.25">
      <c r="A7" s="1534" t="s">
        <v>1818</v>
      </c>
      <c r="B7" s="1535"/>
      <c r="C7" s="1535"/>
      <c r="D7" s="1535"/>
      <c r="E7" s="1535"/>
      <c r="F7" s="1535"/>
      <c r="G7" s="1536"/>
    </row>
    <row r="8" spans="1:7" ht="30.75" customHeight="1" x14ac:dyDescent="0.25">
      <c r="A8" s="2276" t="s">
        <v>1930</v>
      </c>
      <c r="B8" s="2277"/>
      <c r="C8" s="2277"/>
      <c r="D8" s="2277"/>
      <c r="E8" s="2277"/>
      <c r="F8" s="2277"/>
      <c r="G8" s="2278"/>
    </row>
    <row r="9" spans="1:7" ht="15.75" customHeight="1" x14ac:dyDescent="0.25">
      <c r="A9" s="2279" t="s">
        <v>1905</v>
      </c>
      <c r="B9" s="2280"/>
      <c r="C9" s="2280"/>
      <c r="D9" s="2280"/>
      <c r="E9" s="2280"/>
      <c r="F9" s="2280"/>
      <c r="G9" s="2281"/>
    </row>
    <row r="10" spans="1:7" ht="35.25" customHeight="1" x14ac:dyDescent="0.25">
      <c r="A10" s="2276" t="s">
        <v>2062</v>
      </c>
      <c r="B10" s="2277"/>
      <c r="C10" s="2277"/>
      <c r="D10" s="2277"/>
      <c r="E10" s="2277"/>
      <c r="F10" s="2277"/>
      <c r="G10" s="2278"/>
    </row>
    <row r="11" spans="1:7" ht="15" customHeight="1" x14ac:dyDescent="0.25">
      <c r="A11" s="1537" t="s">
        <v>1819</v>
      </c>
      <c r="B11" s="1538"/>
      <c r="C11" s="1538"/>
      <c r="D11" s="1538"/>
      <c r="E11" s="1538"/>
      <c r="F11" s="1538"/>
      <c r="G11" s="1539"/>
    </row>
    <row r="12" spans="1:7" ht="17.25" customHeight="1" x14ac:dyDescent="0.25">
      <c r="A12" s="2276" t="s">
        <v>1932</v>
      </c>
      <c r="B12" s="2277"/>
      <c r="C12" s="2277"/>
      <c r="D12" s="2277"/>
      <c r="E12" s="2277"/>
      <c r="F12" s="2277"/>
      <c r="G12" s="2278"/>
    </row>
    <row r="13" spans="1:7" ht="15" customHeight="1" x14ac:dyDescent="0.25">
      <c r="A13" s="1537" t="s">
        <v>1824</v>
      </c>
      <c r="B13" s="1538"/>
      <c r="C13" s="1538"/>
      <c r="D13" s="1538"/>
      <c r="E13" s="1538"/>
      <c r="F13" s="1538"/>
      <c r="G13" s="1539"/>
    </row>
    <row r="14" spans="1:7" ht="32.25" customHeight="1" x14ac:dyDescent="0.25">
      <c r="A14" s="2267" t="s">
        <v>1973</v>
      </c>
      <c r="B14" s="2268"/>
      <c r="C14" s="2268"/>
      <c r="D14" s="2268"/>
      <c r="E14" s="2268"/>
      <c r="F14" s="2268"/>
      <c r="G14" s="2269"/>
    </row>
    <row r="15" spans="1:7" x14ac:dyDescent="0.25">
      <c r="A15" s="1661" t="s">
        <v>1832</v>
      </c>
      <c r="B15" s="1662"/>
      <c r="C15" s="1662"/>
      <c r="D15" s="1662"/>
      <c r="E15" s="1662"/>
      <c r="F15" s="1662"/>
      <c r="G15" s="1663"/>
    </row>
    <row r="16" spans="1:7" ht="61.5" customHeight="1" x14ac:dyDescent="0.25">
      <c r="A16" s="1546" t="s">
        <v>1825</v>
      </c>
      <c r="B16" s="1546" t="s">
        <v>1826</v>
      </c>
      <c r="C16" s="1546" t="s">
        <v>1827</v>
      </c>
      <c r="D16" s="1547" t="s">
        <v>1828</v>
      </c>
      <c r="E16" s="1547" t="s">
        <v>1820</v>
      </c>
      <c r="F16" s="1547" t="s">
        <v>1829</v>
      </c>
      <c r="G16" s="1547" t="s">
        <v>1830</v>
      </c>
    </row>
    <row r="17" spans="1:8" x14ac:dyDescent="0.25">
      <c r="A17" s="1648" t="s">
        <v>1833</v>
      </c>
      <c r="B17" s="1649" t="s">
        <v>1823</v>
      </c>
      <c r="C17" s="1650" t="s">
        <v>1821</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2487" t="s">
        <v>2118</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287" t="s">
        <v>1974</v>
      </c>
      <c r="B11" s="2288"/>
      <c r="C11" s="2288"/>
      <c r="D11" s="228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2334714</v>
      </c>
      <c r="F19" s="1799"/>
      <c r="G19" s="1801">
        <f>'Expenditures 15-22'!K33-SUM('Expenditures 15-22'!G33,'Expenditures 15-22'!I33)+'Expenditures 15-22'!D229</f>
        <v>2334714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201070</v>
      </c>
      <c r="F21" s="1802"/>
      <c r="G21" s="1805">
        <f>'Expenditures 15-22'!K42-SUM('Expenditures 15-22'!G42,'Expenditures 15-22'!I42)+'Expenditures 15-22'!K120-SUM('Expenditures 15-22'!G120,'Expenditures 15-22'!I120)+'Expenditures 15-22'!K180-SUM('Expenditures 15-22'!G180,'Expenditures 15-22'!I180)+'Expenditures 15-22'!D238</f>
        <v>201070</v>
      </c>
      <c r="H21" s="987"/>
      <c r="I21" s="162"/>
    </row>
    <row r="22" spans="1:9" s="668" customFormat="1" ht="12" customHeight="1" x14ac:dyDescent="0.2">
      <c r="A22" s="994" t="s">
        <v>564</v>
      </c>
      <c r="B22" s="995"/>
      <c r="C22" s="993">
        <v>2200</v>
      </c>
      <c r="D22" s="1802"/>
      <c r="E22" s="1804">
        <f>'Expenditures 15-22'!K47-SUM('Expenditures 15-22'!G47,'Expenditures 15-22'!I47)+'Expenditures 15-22'!D243</f>
        <v>30480</v>
      </c>
      <c r="F22" s="1802"/>
      <c r="G22" s="1805">
        <f>'Expenditures 15-22'!K47-SUM('Expenditures 15-22'!G47,'Expenditures 15-22'!I47)+'Expenditures 15-22'!D243</f>
        <v>30480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394327</v>
      </c>
      <c r="F23" s="1802"/>
      <c r="G23" s="1804">
        <f>'Expenditures 15-22'!K53-SUM('Expenditures 15-22'!G53,'Expenditures 15-22'!I53)+'Expenditures 15-22'!D257+'Expenditures 15-22'!K330-SUM('Expenditures 15-22'!G330,'Expenditures 15-22'!I330)</f>
        <v>394327</v>
      </c>
      <c r="H23" s="987"/>
      <c r="I23" s="162"/>
    </row>
    <row r="24" spans="1:9" s="668" customFormat="1" ht="12" customHeight="1" x14ac:dyDescent="0.2">
      <c r="A24" s="994" t="s">
        <v>566</v>
      </c>
      <c r="B24" s="995"/>
      <c r="C24" s="993">
        <v>2400</v>
      </c>
      <c r="D24" s="1802"/>
      <c r="E24" s="1804">
        <f>'Expenditures 15-22'!K57-SUM('Expenditures 15-22'!G57,'Expenditures 15-22'!I57)+'Expenditures 15-22'!D261</f>
        <v>217059</v>
      </c>
      <c r="F24" s="1802"/>
      <c r="G24" s="1805">
        <f>'Expenditures 15-22'!K57-SUM('Expenditures 15-22'!G57,'Expenditures 15-22'!I57)+'Expenditures 15-22'!D261</f>
        <v>217059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66552</v>
      </c>
      <c r="E27" s="1804">
        <f>E8</f>
        <v>0</v>
      </c>
      <c r="F27" s="1804">
        <f>'Expenditures 15-22'!K60-SUM('Expenditures 15-22'!G60,'Expenditures 15-22'!I60)+'Expenditures 15-22'!D264-E8</f>
        <v>66552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520299</v>
      </c>
      <c r="F28" s="1806">
        <f>'Expenditures 15-22'!K61-SUM('Expenditures 15-22'!G61,'Expenditures 15-22'!I61)+'Expenditures 15-22'!K124-SUM('Expenditures 15-22'!G124,'Expenditures 15-22'!I124)+'Expenditures 15-22'!D266-E9</f>
        <v>520299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162187</v>
      </c>
      <c r="F29" s="1802"/>
      <c r="G29" s="1805">
        <f>'Expenditures 15-22'!K62-SUM('Expenditures 15-22'!G62,'Expenditures 15-22'!I62)+'Expenditures 15-22'!K125-SUM('Expenditures 15-22'!G125,'Expenditures 15-22'!I125)+'Expenditures 15-22'!K182-SUM('Expenditures 15-22'!G182,'Expenditures 15-22'!I182)+'Expenditures 15-22'!D267</f>
        <v>162187</v>
      </c>
      <c r="H29" s="985"/>
    </row>
    <row r="30" spans="1:9" ht="12" customHeight="1" x14ac:dyDescent="0.2">
      <c r="A30" s="994" t="s">
        <v>100</v>
      </c>
      <c r="B30" s="997"/>
      <c r="C30" s="993">
        <v>2560</v>
      </c>
      <c r="D30" s="1802"/>
      <c r="E30" s="1804">
        <f>'Expenditures 15-22'!K63-SUM('Expenditures 15-22'!G63,'Expenditures 15-22'!I63)+'Expenditures 15-22'!D268-E10</f>
        <v>78024</v>
      </c>
      <c r="F30" s="1802"/>
      <c r="G30" s="1804">
        <f>'Expenditures 15-22'!K63-SUM('Expenditures 15-22'!G63,'Expenditures 15-22'!I63)+'Expenditures 15-22'!D268-E10</f>
        <v>78024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66552</v>
      </c>
      <c r="E41" s="1806">
        <f>SUM(E19:E40)</f>
        <v>3938160</v>
      </c>
      <c r="F41" s="1806">
        <f>SUM(F19:F39)</f>
        <v>586851</v>
      </c>
      <c r="G41" s="1806">
        <f>SUM(G19:G40)</f>
        <v>3417861</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66552</v>
      </c>
      <c r="F43" s="1807" t="s">
        <v>473</v>
      </c>
      <c r="G43" s="1808">
        <f>F41</f>
        <v>586851</v>
      </c>
    </row>
    <row r="44" spans="1:7" ht="12" customHeight="1" x14ac:dyDescent="0.2">
      <c r="A44" s="987"/>
      <c r="B44" s="162"/>
      <c r="C44" s="1001"/>
      <c r="D44" s="1807" t="s">
        <v>474</v>
      </c>
      <c r="E44" s="1808">
        <f>E41</f>
        <v>3938160</v>
      </c>
      <c r="F44" s="1807" t="s">
        <v>474</v>
      </c>
      <c r="G44" s="1808">
        <f>G41</f>
        <v>3417861</v>
      </c>
    </row>
    <row r="45" spans="1:7" ht="12" customHeight="1" x14ac:dyDescent="0.2">
      <c r="A45" s="987"/>
      <c r="B45" s="162"/>
      <c r="C45" s="162"/>
      <c r="D45" s="1809" t="s">
        <v>1006</v>
      </c>
      <c r="E45" s="1810">
        <f>(E43/E44)</f>
        <v>1.6899262599792797E-2</v>
      </c>
      <c r="F45" s="1809" t="s">
        <v>1006</v>
      </c>
      <c r="G45" s="1810">
        <f>(G43/G44)</f>
        <v>0.17170124823683586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6" activePane="bottomLeft" state="frozen"/>
      <selection activeCell="A47" sqref="A47"/>
      <selection pane="bottomLeft" activeCell="A43" sqref="A43:F4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1379</v>
      </c>
      <c r="B1" s="2293"/>
      <c r="C1" s="2293"/>
      <c r="D1" s="2293"/>
      <c r="E1" s="2293"/>
      <c r="F1" s="2293"/>
    </row>
    <row r="2" spans="1:10" x14ac:dyDescent="0.2">
      <c r="A2" s="1887" t="s">
        <v>1910</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294" t="s">
        <v>1546</v>
      </c>
      <c r="B5" s="2295"/>
      <c r="C5" s="2296"/>
      <c r="D5" s="2296"/>
      <c r="E5" s="2296"/>
      <c r="F5" s="2296"/>
    </row>
    <row r="6" spans="1:10" ht="12" customHeight="1" x14ac:dyDescent="0.25">
      <c r="A6" s="1850"/>
      <c r="B6" s="1851"/>
      <c r="C6" s="2297" t="str">
        <f>COVER!A17</f>
        <v>Fairfield Comm H S Dist 225</v>
      </c>
      <c r="D6" s="2297"/>
      <c r="E6" s="2297"/>
      <c r="F6" s="1852"/>
    </row>
    <row r="7" spans="1:10" ht="11.25" customHeight="1" thickBot="1" x14ac:dyDescent="0.3">
      <c r="A7" s="1850"/>
      <c r="B7" s="1851"/>
      <c r="C7" s="2298">
        <f>COVER!A13</f>
        <v>20096225016</v>
      </c>
      <c r="D7" s="2298"/>
      <c r="E7" s="2298"/>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2085</v>
      </c>
      <c r="D13" s="1865" t="s">
        <v>2085</v>
      </c>
      <c r="E13" s="1868"/>
      <c r="F13" s="1867"/>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2085</v>
      </c>
      <c r="D19" s="1865" t="s">
        <v>2085</v>
      </c>
      <c r="E19" s="1868"/>
      <c r="F19" s="1867"/>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t="s">
        <v>2085</v>
      </c>
      <c r="D21" s="1865" t="s">
        <v>2085</v>
      </c>
      <c r="E21" s="1868"/>
      <c r="F21" s="1867"/>
      <c r="H21" s="1878">
        <f t="shared" si="0"/>
        <v>5</v>
      </c>
      <c r="I21" s="1878">
        <f t="shared" si="1"/>
        <v>5</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2085</v>
      </c>
      <c r="D26" s="1865" t="s">
        <v>2085</v>
      </c>
      <c r="E26" s="1868"/>
      <c r="F26" s="1867" t="s">
        <v>2086</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2085</v>
      </c>
      <c r="D31" s="1865" t="s">
        <v>2085</v>
      </c>
      <c r="E31" s="1868"/>
      <c r="F31" s="1867" t="s">
        <v>2087</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0</v>
      </c>
      <c r="K34" s="1878">
        <f>SUM(H34:J34)</f>
        <v>50</v>
      </c>
    </row>
    <row r="35" spans="1:11" ht="12" customHeight="1" x14ac:dyDescent="0.2">
      <c r="A35" s="1871" t="s">
        <v>1392</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t="s">
        <v>2088</v>
      </c>
      <c r="B41" s="2310"/>
      <c r="C41" s="2310"/>
      <c r="D41" s="2310"/>
      <c r="E41" s="2310"/>
      <c r="F41" s="2311"/>
      <c r="H41" s="1879"/>
      <c r="I41" s="1879"/>
      <c r="J41" s="1879"/>
      <c r="K41" s="1879"/>
    </row>
    <row r="42" spans="1:11" s="1870" customFormat="1" ht="12" customHeight="1" x14ac:dyDescent="0.25">
      <c r="A42" s="2309" t="s">
        <v>2089</v>
      </c>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Fairfield Comm H S Dist 225</v>
      </c>
      <c r="J6" s="2318"/>
      <c r="Q6" s="1664"/>
    </row>
    <row r="7" spans="1:17" x14ac:dyDescent="0.2">
      <c r="A7" s="2319" t="s">
        <v>869</v>
      </c>
      <c r="B7" s="2320"/>
      <c r="C7" s="2320"/>
      <c r="D7" s="2320"/>
      <c r="E7" s="2321"/>
      <c r="F7" s="1017"/>
      <c r="G7" s="1009"/>
      <c r="H7" s="1016" t="s">
        <v>372</v>
      </c>
      <c r="I7" s="2322">
        <f>COVER!A13</f>
        <v>20096225016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111011</v>
      </c>
      <c r="F12" s="1039"/>
      <c r="G12" s="1811">
        <f t="shared" ref="G12:G18" si="0">SUM(E12:F12)</f>
        <v>111011</v>
      </c>
      <c r="H12" s="1040">
        <v>114400</v>
      </c>
      <c r="I12" s="1039"/>
      <c r="J12" s="1811">
        <f t="shared" ref="J12:J18" si="1">SUM(H12:I12)</f>
        <v>114400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111011</v>
      </c>
      <c r="F19" s="1813">
        <f t="shared" si="2"/>
        <v>0</v>
      </c>
      <c r="G19" s="1813">
        <f t="shared" si="2"/>
        <v>111011</v>
      </c>
      <c r="H19" s="1813">
        <f t="shared" si="2"/>
        <v>114400</v>
      </c>
      <c r="I19" s="1813">
        <f t="shared" si="2"/>
        <v>0</v>
      </c>
      <c r="J19" s="1813">
        <f t="shared" si="2"/>
        <v>114400</v>
      </c>
    </row>
    <row r="20" spans="1:10" ht="13.5" thickTop="1" x14ac:dyDescent="0.2">
      <c r="A20" s="1035">
        <v>9</v>
      </c>
      <c r="B20" s="2329" t="s">
        <v>1978</v>
      </c>
      <c r="C20" s="2329"/>
      <c r="D20" s="2330"/>
      <c r="E20" s="1046"/>
      <c r="F20" s="1046"/>
      <c r="G20" s="1046"/>
      <c r="H20" s="1046"/>
      <c r="I20" s="1046"/>
      <c r="J20" s="1814">
        <f>IF(AND(G19&gt;0,J19&gt;0),(((J19-G19)/G19)),"Enter Budget Data")</f>
        <v>3.0528506184071848E-2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1980</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9"/>
  <sheetViews>
    <sheetView showGridLines="0" zoomScale="110" zoomScaleNormal="110" workbookViewId="0">
      <selection activeCell="B32" sqref="B3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89" t="s">
        <v>2090</v>
      </c>
    </row>
    <row r="6" spans="1:2" x14ac:dyDescent="0.2">
      <c r="A6" s="1068"/>
      <c r="B6" s="329" t="s">
        <v>2091</v>
      </c>
    </row>
    <row r="7" spans="1:2" x14ac:dyDescent="0.2">
      <c r="A7" s="1068">
        <v>2</v>
      </c>
      <c r="B7" s="389" t="s">
        <v>2092</v>
      </c>
    </row>
    <row r="8" spans="1:2" x14ac:dyDescent="0.2">
      <c r="A8" s="1068"/>
      <c r="B8" s="329" t="s">
        <v>2093</v>
      </c>
    </row>
    <row r="9" spans="1:2" x14ac:dyDescent="0.2">
      <c r="A9" s="1068"/>
      <c r="B9" s="329" t="s">
        <v>2094</v>
      </c>
    </row>
    <row r="10" spans="1:2" x14ac:dyDescent="0.2">
      <c r="A10" s="1068">
        <v>3</v>
      </c>
      <c r="B10" s="389" t="s">
        <v>2095</v>
      </c>
    </row>
    <row r="11" spans="1:2" x14ac:dyDescent="0.2">
      <c r="A11" s="1068"/>
      <c r="B11" s="329" t="s">
        <v>2096</v>
      </c>
    </row>
    <row r="12" spans="1:2" x14ac:dyDescent="0.2">
      <c r="A12" s="1068">
        <v>4</v>
      </c>
      <c r="B12" s="389" t="s">
        <v>2097</v>
      </c>
    </row>
    <row r="13" spans="1:2" x14ac:dyDescent="0.2">
      <c r="A13" s="1069"/>
      <c r="B13" s="329" t="s">
        <v>2098</v>
      </c>
    </row>
    <row r="14" spans="1:2" x14ac:dyDescent="0.2">
      <c r="A14" s="1068">
        <v>5</v>
      </c>
      <c r="B14" s="389" t="s">
        <v>2099</v>
      </c>
    </row>
    <row r="15" spans="1:2" x14ac:dyDescent="0.2">
      <c r="A15" s="1069"/>
      <c r="B15" s="329" t="s">
        <v>2100</v>
      </c>
    </row>
    <row r="16" spans="1:2" x14ac:dyDescent="0.2">
      <c r="A16" s="1068">
        <v>6</v>
      </c>
      <c r="B16" s="389" t="s">
        <v>2101</v>
      </c>
    </row>
    <row r="17" spans="1:2" x14ac:dyDescent="0.2">
      <c r="A17" s="1069"/>
      <c r="B17" s="329" t="s">
        <v>2102</v>
      </c>
    </row>
    <row r="18" spans="1:2" x14ac:dyDescent="0.2">
      <c r="A18" s="1069"/>
      <c r="B18" s="329" t="s">
        <v>2103</v>
      </c>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c r="B68" s="258" t="str">
        <f>COVER!A17</f>
        <v>Fairfield Comm H S Dist 225</v>
      </c>
    </row>
    <row r="69" spans="1:2" x14ac:dyDescent="0.2">
      <c r="B69" s="1070">
        <f>COVER!A13</f>
        <v>20096225016</v>
      </c>
    </row>
  </sheetData>
  <phoneticPr fontId="15" type="noConversion"/>
  <pageMargins left="0.2" right="0.2" top="1.17" bottom="0.75" header="0.19" footer="0.16"/>
  <pageSetup scale="70" firstPageNumber="32" fitToHeight="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35" sqref="D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21" sqref="F2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95250</xdr:colOff>
                <xdr:row>0</xdr:row>
                <xdr:rowOff>152400</xdr:rowOff>
              </from>
              <to>
                <xdr:col>1</xdr:col>
                <xdr:colOff>885825</xdr:colOff>
                <xdr:row>5</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0</xdr:col>
                <xdr:colOff>95250</xdr:colOff>
                <xdr:row>5</xdr:row>
                <xdr:rowOff>142875</xdr:rowOff>
              </from>
              <to>
                <xdr:col>1</xdr:col>
                <xdr:colOff>885825</xdr:colOff>
                <xdr:row>10</xdr:row>
                <xdr:rowOff>19050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1984</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1985</v>
      </c>
      <c r="B4" s="2357"/>
      <c r="C4" s="2357"/>
      <c r="D4" s="2357"/>
      <c r="E4" s="2357"/>
      <c r="F4" s="2358"/>
      <c r="G4" s="1074"/>
      <c r="H4" s="1074"/>
    </row>
    <row r="5" spans="1:8" ht="14.25" customHeight="1" x14ac:dyDescent="0.2">
      <c r="A5" s="2359" t="s">
        <v>1981</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3635832</v>
      </c>
      <c r="C8" s="1815">
        <f>'Acct Summary 7-8'!D8</f>
        <v>491846</v>
      </c>
      <c r="D8" s="1815">
        <f>'Acct Summary 7-8'!F8</f>
        <v>205736</v>
      </c>
      <c r="E8" s="1815">
        <f>'Acct Summary 7-8'!I8</f>
        <v>48768</v>
      </c>
      <c r="F8" s="1815">
        <f>SUM(B8:E8)</f>
        <v>4382182</v>
      </c>
    </row>
    <row r="9" spans="1:8" s="1079" customFormat="1" ht="14.25" customHeight="1" thickBot="1" x14ac:dyDescent="0.25">
      <c r="A9" s="1078" t="s">
        <v>1369</v>
      </c>
      <c r="B9" s="1816">
        <f>'Acct Summary 7-8'!C17</f>
        <v>3450443</v>
      </c>
      <c r="C9" s="1816">
        <f>'Acct Summary 7-8'!D17</f>
        <v>512635</v>
      </c>
      <c r="D9" s="1816">
        <f>'Acct Summary 7-8'!F17</f>
        <v>193287</v>
      </c>
      <c r="E9" s="1815"/>
      <c r="F9" s="1815">
        <f>SUM(B9:E9)</f>
        <v>4156365</v>
      </c>
    </row>
    <row r="10" spans="1:8" s="1079" customFormat="1" ht="14.25" thickTop="1" thickBot="1" x14ac:dyDescent="0.25">
      <c r="A10" s="1080" t="s">
        <v>1370</v>
      </c>
      <c r="B10" s="1817">
        <f>(B8-B9)</f>
        <v>185389</v>
      </c>
      <c r="C10" s="1817">
        <f>(C8-C9)</f>
        <v>-20789</v>
      </c>
      <c r="D10" s="1817">
        <f>(D8-D9)</f>
        <v>12449</v>
      </c>
      <c r="E10" s="1816">
        <f>(E8-E9)</f>
        <v>48768</v>
      </c>
      <c r="F10" s="1818">
        <f>SUM(F8-F9)</f>
        <v>225817</v>
      </c>
    </row>
    <row r="11" spans="1:8" s="1079" customFormat="1" ht="14.25" thickTop="1" thickBot="1" x14ac:dyDescent="0.25">
      <c r="A11" s="1081" t="s">
        <v>1982</v>
      </c>
      <c r="B11" s="1819">
        <f>'Acct Summary 7-8'!C81</f>
        <v>1105547</v>
      </c>
      <c r="C11" s="1819">
        <f>'Acct Summary 7-8'!D81</f>
        <v>55458</v>
      </c>
      <c r="D11" s="1819">
        <f>'Acct Summary 7-8'!F81</f>
        <v>341586</v>
      </c>
      <c r="E11" s="1819">
        <f>'Acct Summary 7-8'!I81</f>
        <v>76598</v>
      </c>
      <c r="F11" s="1820">
        <f>SUM(B11:E11)</f>
        <v>1579189</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ERROR!</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20096225016</v>
      </c>
    </row>
    <row r="3" spans="1:2" x14ac:dyDescent="0.2">
      <c r="A3" t="s">
        <v>956</v>
      </c>
      <c r="B3" s="138" t="str">
        <f>COVER!A15</f>
        <v>WAYNE, WHITE</v>
      </c>
    </row>
    <row r="4" spans="1:2" x14ac:dyDescent="0.2">
      <c r="A4" t="s">
        <v>1007</v>
      </c>
      <c r="B4" s="138" t="str">
        <f>COVER!A17</f>
        <v>Fairfield Comm H S Dist 225</v>
      </c>
    </row>
    <row r="5" spans="1:2" x14ac:dyDescent="0.2">
      <c r="A5" t="s">
        <v>704</v>
      </c>
      <c r="B5" s="138" t="str">
        <f>COVER!A38</f>
        <v>JILL FULKERSON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f>COVER!T23</f>
        <v>0</v>
      </c>
    </row>
    <row r="16" spans="1:2" x14ac:dyDescent="0.2">
      <c r="A16" t="s">
        <v>422</v>
      </c>
      <c r="B16" s="138" t="str">
        <f>COVER!T13</f>
        <v>KEMPER CPA GROUP LLP</v>
      </c>
    </row>
    <row r="17" spans="1:2" x14ac:dyDescent="0.2">
      <c r="A17" t="s">
        <v>884</v>
      </c>
      <c r="B17" s="138" t="str">
        <f>COVER!T15</f>
        <v>MICHELLE SMITH, CPA</v>
      </c>
    </row>
    <row r="18" spans="1:2" x14ac:dyDescent="0.2">
      <c r="A18" t="s">
        <v>1150</v>
      </c>
      <c r="B18" s="138" t="str">
        <f>COVER!T17</f>
        <v>7200 EAGLE CREST BLVD.</v>
      </c>
    </row>
    <row r="19" spans="1:2" x14ac:dyDescent="0.2">
      <c r="A19" t="s">
        <v>886</v>
      </c>
      <c r="B19" s="138" t="str">
        <f>COVER!T25</f>
        <v>mdsmith@kempercpa.com</v>
      </c>
    </row>
    <row r="20" spans="1:2" x14ac:dyDescent="0.2">
      <c r="A20" t="s">
        <v>887</v>
      </c>
      <c r="B20" s="138" t="str">
        <f>COVER!T19</f>
        <v>EVANSVILLE</v>
      </c>
    </row>
    <row r="21" spans="1:2" x14ac:dyDescent="0.2">
      <c r="A21" t="s">
        <v>479</v>
      </c>
      <c r="B21" s="138" t="str">
        <f>COVER!X19</f>
        <v>IN</v>
      </c>
    </row>
    <row r="22" spans="1:2" x14ac:dyDescent="0.2">
      <c r="A22" t="s">
        <v>888</v>
      </c>
      <c r="B22" s="138">
        <f>COVER!Z19</f>
        <v>47715</v>
      </c>
    </row>
    <row r="23" spans="1:2" x14ac:dyDescent="0.2">
      <c r="A23" t="s">
        <v>1152</v>
      </c>
      <c r="B23" s="138" t="str">
        <f>COVER!T21</f>
        <v>(812)421-8000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1105547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898876</v>
      </c>
      <c r="D92" s="2" t="str">
        <f t="shared" si="0"/>
        <v>Error?</v>
      </c>
    </row>
    <row r="93" spans="1:4" x14ac:dyDescent="0.2">
      <c r="A93" s="5">
        <v>32</v>
      </c>
      <c r="B93" s="138">
        <f>'Assets-Liab 5-6'!C41</f>
        <v>1105547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55458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55458</v>
      </c>
      <c r="D123" s="2" t="str">
        <f t="shared" si="0"/>
        <v>Error?</v>
      </c>
    </row>
    <row r="124" spans="1:4" x14ac:dyDescent="0.2">
      <c r="A124" s="5">
        <v>63</v>
      </c>
      <c r="B124" s="138">
        <f>'Assets-Liab 5-6'!D41</f>
        <v>55458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131446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131446</v>
      </c>
      <c r="D140" s="2" t="str">
        <f t="shared" si="1"/>
        <v>Error?</v>
      </c>
    </row>
    <row r="141" spans="1:4" x14ac:dyDescent="0.2">
      <c r="A141" s="5">
        <v>80</v>
      </c>
      <c r="B141" s="138">
        <f>'Assets-Liab 5-6'!E41</f>
        <v>131446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341586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341586</v>
      </c>
      <c r="D170" s="2" t="str">
        <f t="shared" si="1"/>
        <v>Error?</v>
      </c>
    </row>
    <row r="171" spans="1:4" x14ac:dyDescent="0.2">
      <c r="A171" s="5">
        <v>110</v>
      </c>
      <c r="B171" s="138">
        <f>'Assets-Liab 5-6'!F41</f>
        <v>341586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449070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449070</v>
      </c>
      <c r="D189" s="2" t="str">
        <f t="shared" si="1"/>
        <v>Error?</v>
      </c>
    </row>
    <row r="190" spans="1:4" x14ac:dyDescent="0.2">
      <c r="A190" s="5">
        <v>129</v>
      </c>
      <c r="B190" s="138">
        <f>'Assets-Liab 5-6'!G41</f>
        <v>449070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267017</v>
      </c>
      <c r="D273" s="2" t="str">
        <f t="shared" si="3"/>
        <v>Error?</v>
      </c>
    </row>
    <row r="274" spans="1:4" x14ac:dyDescent="0.2">
      <c r="A274" s="5">
        <v>213</v>
      </c>
      <c r="B274" s="138">
        <f>'Assets-Liab 5-6'!M17</f>
        <v>12602782</v>
      </c>
      <c r="D274" s="2" t="str">
        <f t="shared" si="3"/>
        <v>Error?</v>
      </c>
    </row>
    <row r="275" spans="1:4" x14ac:dyDescent="0.2">
      <c r="A275" s="5">
        <v>214</v>
      </c>
      <c r="B275" s="138">
        <f>'Assets-Liab 5-6'!M18</f>
        <v>3739971</v>
      </c>
      <c r="D275" s="2" t="str">
        <f t="shared" si="3"/>
        <v>Error?</v>
      </c>
    </row>
    <row r="276" spans="1:4" x14ac:dyDescent="0.2">
      <c r="A276" s="5">
        <v>215</v>
      </c>
      <c r="B276" s="138">
        <f>'Assets-Liab 5-6'!M19</f>
        <v>1187736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17797506</v>
      </c>
      <c r="C279" s="2" t="s">
        <v>573</v>
      </c>
      <c r="D279" s="2" t="str">
        <f t="shared" si="3"/>
        <v>Error?</v>
      </c>
    </row>
    <row r="280" spans="1:4" x14ac:dyDescent="0.2">
      <c r="A280" s="5">
        <v>219</v>
      </c>
      <c r="B280" s="138">
        <f>'Assets-Liab 5-6'!M40</f>
        <v>17797506</v>
      </c>
      <c r="D280" s="2" t="str">
        <f t="shared" si="3"/>
        <v>Error?</v>
      </c>
    </row>
    <row r="281" spans="1:4" x14ac:dyDescent="0.2">
      <c r="A281" s="5">
        <v>220</v>
      </c>
      <c r="B281" s="138">
        <f>'Assets-Liab 5-6'!M41</f>
        <v>17797506</v>
      </c>
      <c r="C281" s="2" t="s">
        <v>573</v>
      </c>
      <c r="D281" s="2" t="str">
        <f t="shared" si="3"/>
        <v>Error?</v>
      </c>
    </row>
    <row r="282" spans="1:4" x14ac:dyDescent="0.2">
      <c r="A282" s="5">
        <v>221</v>
      </c>
      <c r="B282" s="138">
        <f>'Assets-Liab 5-6'!N21</f>
        <v>131446</v>
      </c>
      <c r="D282" s="2" t="str">
        <f t="shared" si="3"/>
        <v>Error?</v>
      </c>
    </row>
    <row r="283" spans="1:4" x14ac:dyDescent="0.2">
      <c r="A283" s="5">
        <v>222</v>
      </c>
      <c r="B283" s="138">
        <f>'Assets-Liab 5-6'!N22</f>
        <v>2030180</v>
      </c>
      <c r="D283" s="2" t="str">
        <f t="shared" si="3"/>
        <v>Error?</v>
      </c>
    </row>
    <row r="284" spans="1:4" x14ac:dyDescent="0.2">
      <c r="A284" s="5">
        <v>223</v>
      </c>
      <c r="B284" s="138">
        <f>'Assets-Liab 5-6'!N23</f>
        <v>2161626</v>
      </c>
      <c r="C284" s="2" t="s">
        <v>573</v>
      </c>
      <c r="D284" s="2" t="str">
        <f t="shared" si="3"/>
        <v>Error?</v>
      </c>
    </row>
    <row r="285" spans="1:4" x14ac:dyDescent="0.2">
      <c r="A285" s="5">
        <v>224</v>
      </c>
      <c r="B285" s="138">
        <f>'Assets-Liab 5-6'!N36</f>
        <v>2161626</v>
      </c>
      <c r="D285" s="2" t="str">
        <f t="shared" si="3"/>
        <v>Error?</v>
      </c>
    </row>
    <row r="286" spans="1:4" x14ac:dyDescent="0.2">
      <c r="A286" s="10">
        <v>225</v>
      </c>
      <c r="D286" s="2" t="str">
        <f t="shared" si="3"/>
        <v>OK</v>
      </c>
    </row>
    <row r="287" spans="1:4" x14ac:dyDescent="0.2">
      <c r="A287" s="5">
        <v>226</v>
      </c>
      <c r="B287" s="138">
        <f>'Assets-Liab 5-6'!N37</f>
        <v>2161626</v>
      </c>
      <c r="C287" s="2" t="s">
        <v>573</v>
      </c>
      <c r="D287" s="2" t="str">
        <f t="shared" si="3"/>
        <v>Error?</v>
      </c>
    </row>
    <row r="288" spans="1:4" x14ac:dyDescent="0.2">
      <c r="A288" s="5">
        <v>227</v>
      </c>
      <c r="B288" s="138">
        <f>'Assets-Liab 5-6'!N41</f>
        <v>2161626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981733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237373</v>
      </c>
      <c r="D717" s="2" t="str">
        <f t="shared" si="10"/>
        <v>Error?</v>
      </c>
    </row>
    <row r="718" spans="1:4" x14ac:dyDescent="0.2">
      <c r="A718" s="5">
        <v>657</v>
      </c>
      <c r="B718" s="138">
        <f>'Expenditures 15-22'!C14</f>
        <v>104124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1715365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121824</v>
      </c>
      <c r="D722" s="2" t="str">
        <f t="shared" si="10"/>
        <v>Error?</v>
      </c>
    </row>
    <row r="723" spans="1:4" x14ac:dyDescent="0.2">
      <c r="A723" s="5">
        <v>662</v>
      </c>
      <c r="B723" s="138">
        <f>'Expenditures 15-22'!C38</f>
        <v>25945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147769</v>
      </c>
      <c r="C727" s="2" t="s">
        <v>573</v>
      </c>
      <c r="D727" s="2" t="str">
        <f t="shared" si="10"/>
        <v>Error?</v>
      </c>
    </row>
    <row r="728" spans="1:4" x14ac:dyDescent="0.2">
      <c r="A728" s="5">
        <v>667</v>
      </c>
      <c r="B728" s="138">
        <f>'Expenditures 15-22'!C44</f>
        <v>15032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15032</v>
      </c>
      <c r="C731" s="2" t="s">
        <v>573</v>
      </c>
      <c r="D731" s="2" t="str">
        <f t="shared" si="10"/>
        <v>Error?</v>
      </c>
    </row>
    <row r="732" spans="1:4" x14ac:dyDescent="0.2">
      <c r="A732" s="5">
        <v>671</v>
      </c>
      <c r="B732" s="138">
        <f>'Expenditures 15-22'!C49</f>
        <v>2450</v>
      </c>
      <c r="D732" s="2" t="str">
        <f t="shared" si="10"/>
        <v>Error?</v>
      </c>
    </row>
    <row r="733" spans="1:4" x14ac:dyDescent="0.2">
      <c r="A733" s="5">
        <v>672</v>
      </c>
      <c r="B733" s="138">
        <f>'Expenditures 15-22'!C50</f>
        <v>91978</v>
      </c>
      <c r="D733" s="2" t="str">
        <f t="shared" si="10"/>
        <v>Error?</v>
      </c>
    </row>
    <row r="734" spans="1:4" x14ac:dyDescent="0.2">
      <c r="A734" s="5">
        <v>673</v>
      </c>
      <c r="B734" s="138">
        <f>'Expenditures 15-22'!C53</f>
        <v>94428</v>
      </c>
      <c r="C734" s="2" t="s">
        <v>573</v>
      </c>
      <c r="D734" s="2" t="str">
        <f t="shared" si="10"/>
        <v>Error?</v>
      </c>
    </row>
    <row r="735" spans="1:4" x14ac:dyDescent="0.2">
      <c r="A735" s="5">
        <v>674</v>
      </c>
      <c r="B735" s="138">
        <f>'Expenditures 15-22'!C55</f>
        <v>125697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125697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38234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16196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54430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437356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2152721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237373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56804</v>
      </c>
      <c r="D775" s="2" t="str">
        <f t="shared" si="11"/>
        <v>Error?</v>
      </c>
    </row>
    <row r="776" spans="1:4" x14ac:dyDescent="0.2">
      <c r="A776" s="5">
        <v>715</v>
      </c>
      <c r="B776" s="138">
        <f>'Expenditures 15-22'!D14</f>
        <v>13262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381557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23991</v>
      </c>
      <c r="D780" s="2" t="str">
        <f t="shared" si="11"/>
        <v>Error?</v>
      </c>
    </row>
    <row r="781" spans="1:4" x14ac:dyDescent="0.2">
      <c r="A781" s="5">
        <v>720</v>
      </c>
      <c r="B781" s="138">
        <f>'Expenditures 15-22'!D38</f>
        <v>5772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29763</v>
      </c>
      <c r="C785" s="2" t="s">
        <v>573</v>
      </c>
      <c r="D785" s="2" t="str">
        <f t="shared" si="11"/>
        <v>Error?</v>
      </c>
    </row>
    <row r="786" spans="1:4" x14ac:dyDescent="0.2">
      <c r="A786" s="5">
        <v>725</v>
      </c>
      <c r="B786" s="138">
        <f>'Expenditures 15-22'!D44</f>
        <v>3206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3206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17969</v>
      </c>
      <c r="D791" s="2" t="str">
        <f t="shared" si="11"/>
        <v>Error?</v>
      </c>
    </row>
    <row r="792" spans="1:4" x14ac:dyDescent="0.2">
      <c r="A792" s="5">
        <v>731</v>
      </c>
      <c r="B792" s="138">
        <f>'Expenditures 15-22'!D53</f>
        <v>17969</v>
      </c>
      <c r="C792" s="2" t="s">
        <v>573</v>
      </c>
      <c r="D792" s="2" t="str">
        <f t="shared" si="11"/>
        <v>Error?</v>
      </c>
    </row>
    <row r="793" spans="1:4" x14ac:dyDescent="0.2">
      <c r="A793" s="5">
        <v>732</v>
      </c>
      <c r="B793" s="138">
        <f>'Expenditures 15-22'!D55</f>
        <v>18496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18496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6776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6258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13034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82468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464025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24663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1455</v>
      </c>
      <c r="D833" s="2" t="str">
        <f t="shared" si="12"/>
        <v>Error?</v>
      </c>
    </row>
    <row r="834" spans="1:4" x14ac:dyDescent="0.2">
      <c r="A834" s="5">
        <v>773</v>
      </c>
      <c r="B834" s="138">
        <f>'Expenditures 15-22'!E14</f>
        <v>29627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56788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11320</v>
      </c>
      <c r="D838" s="2" t="str">
        <f t="shared" si="12"/>
        <v>Error?</v>
      </c>
    </row>
    <row r="839" spans="1:4" x14ac:dyDescent="0.2">
      <c r="A839" s="5">
        <v>778</v>
      </c>
      <c r="B839" s="138">
        <f>'Expenditures 15-22'!E38</f>
        <v>219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11539</v>
      </c>
      <c r="C843" s="2" t="s">
        <v>573</v>
      </c>
      <c r="D843" s="2" t="str">
        <f t="shared" si="12"/>
        <v>Error?</v>
      </c>
    </row>
    <row r="844" spans="1:4" x14ac:dyDescent="0.2">
      <c r="A844" s="5">
        <v>783</v>
      </c>
      <c r="B844" s="138">
        <f>'Expenditures 15-22'!E44</f>
        <v>5000</v>
      </c>
      <c r="D844" s="2" t="str">
        <f t="shared" si="12"/>
        <v>Error?</v>
      </c>
    </row>
    <row r="845" spans="1:4" x14ac:dyDescent="0.2">
      <c r="A845" s="5">
        <v>784</v>
      </c>
      <c r="B845" s="138">
        <f>'Expenditures 15-22'!E45</f>
        <v>1482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6482</v>
      </c>
      <c r="C847" s="2" t="s">
        <v>573</v>
      </c>
      <c r="D847" s="2" t="str">
        <f t="shared" si="12"/>
        <v>Error?</v>
      </c>
    </row>
    <row r="848" spans="1:4" x14ac:dyDescent="0.2">
      <c r="A848" s="5">
        <v>787</v>
      </c>
      <c r="B848" s="138">
        <f>'Expenditures 15-22'!E49</f>
        <v>36643</v>
      </c>
      <c r="D848" s="2" t="str">
        <f t="shared" si="12"/>
        <v>Error?</v>
      </c>
    </row>
    <row r="849" spans="1:4" x14ac:dyDescent="0.2">
      <c r="A849" s="5">
        <v>788</v>
      </c>
      <c r="B849" s="138">
        <f>'Expenditures 15-22'!E50</f>
        <v>876</v>
      </c>
      <c r="D849" s="2" t="str">
        <f t="shared" si="12"/>
        <v>Error?</v>
      </c>
    </row>
    <row r="850" spans="1:4" x14ac:dyDescent="0.2">
      <c r="A850" s="5">
        <v>789</v>
      </c>
      <c r="B850" s="138">
        <f>'Expenditures 15-22'!E53</f>
        <v>37519</v>
      </c>
      <c r="C850" s="2" t="s">
        <v>573</v>
      </c>
      <c r="D850" s="2" t="str">
        <f t="shared" si="12"/>
        <v>Error?</v>
      </c>
    </row>
    <row r="851" spans="1:4" x14ac:dyDescent="0.2">
      <c r="A851" s="5">
        <v>790</v>
      </c>
      <c r="B851" s="138">
        <f>'Expenditures 15-22'!E55</f>
        <v>25478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25478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13674</v>
      </c>
      <c r="D855" s="2" t="str">
        <f t="shared" si="12"/>
        <v>Error?</v>
      </c>
    </row>
    <row r="856" spans="1:4" x14ac:dyDescent="0.2">
      <c r="A856" s="5">
        <v>795</v>
      </c>
      <c r="B856" s="138">
        <f>'Expenditures 15-22'!E61</f>
        <v>5790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19721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100739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176938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69572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6479</v>
      </c>
      <c r="D891" s="2" t="str">
        <f t="shared" si="12"/>
        <v>Error?</v>
      </c>
    </row>
    <row r="892" spans="1:4" x14ac:dyDescent="0.2">
      <c r="A892" s="5">
        <v>831</v>
      </c>
      <c r="B892" s="138">
        <f>'Expenditures 15-22'!F14</f>
        <v>35978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112924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389</v>
      </c>
      <c r="D896" s="2" t="str">
        <f t="shared" si="13"/>
        <v>Error?</v>
      </c>
    </row>
    <row r="897" spans="1:4" x14ac:dyDescent="0.2">
      <c r="A897" s="5">
        <v>836</v>
      </c>
      <c r="B897" s="138">
        <f>'Expenditures 15-22'!F38</f>
        <v>809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1198</v>
      </c>
      <c r="C901" s="2" t="s">
        <v>573</v>
      </c>
      <c r="D901" s="2" t="str">
        <f t="shared" si="13"/>
        <v>Error?</v>
      </c>
    </row>
    <row r="902" spans="1:4" x14ac:dyDescent="0.2">
      <c r="A902" s="5">
        <v>841</v>
      </c>
      <c r="B902" s="138">
        <f>'Expenditures 15-22'!F44</f>
        <v>4000</v>
      </c>
      <c r="D902" s="2" t="str">
        <f t="shared" si="13"/>
        <v>Error?</v>
      </c>
    </row>
    <row r="903" spans="1:4" x14ac:dyDescent="0.2">
      <c r="A903" s="5">
        <v>842</v>
      </c>
      <c r="B903" s="138">
        <f>'Expenditures 15-22'!F45</f>
        <v>1461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5461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188</v>
      </c>
      <c r="D907" s="2" t="str">
        <f t="shared" si="13"/>
        <v>Error?</v>
      </c>
    </row>
    <row r="908" spans="1:4" x14ac:dyDescent="0.2">
      <c r="A908" s="5">
        <v>847</v>
      </c>
      <c r="B908" s="138">
        <f>'Expenditures 15-22'!F53</f>
        <v>188</v>
      </c>
      <c r="C908" s="2" t="s">
        <v>573</v>
      </c>
      <c r="D908" s="2" t="str">
        <f t="shared" si="13"/>
        <v>Error?</v>
      </c>
    </row>
    <row r="909" spans="1:4" x14ac:dyDescent="0.2">
      <c r="A909" s="5">
        <v>848</v>
      </c>
      <c r="B909" s="138">
        <f>'Expenditures 15-22'!F55</f>
        <v>35417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35417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1632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52666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54298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96562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209486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147672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9040</v>
      </c>
      <c r="D949" s="2" t="str">
        <f t="shared" si="13"/>
        <v>Error?</v>
      </c>
    </row>
    <row r="950" spans="1:4" x14ac:dyDescent="0.2">
      <c r="A950" s="5">
        <v>889</v>
      </c>
      <c r="B950" s="138">
        <f>'Expenditures 15-22'!G14</f>
        <v>9512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166224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166224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9551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11163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670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670</v>
      </c>
      <c r="C1024" s="2" t="s">
        <v>573</v>
      </c>
      <c r="D1024" s="2" t="str">
        <f t="shared" si="15"/>
        <v>Error?</v>
      </c>
    </row>
    <row r="1025" spans="1:4" x14ac:dyDescent="0.2">
      <c r="A1025" s="5">
        <v>964</v>
      </c>
      <c r="B1025" s="138">
        <f>'Expenditures 15-22'!H55</f>
        <v>945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268271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281049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1461013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311151</v>
      </c>
      <c r="C1105" s="2" t="s">
        <v>573</v>
      </c>
      <c r="D1105" s="2" t="str">
        <f t="shared" si="16"/>
        <v>Error?</v>
      </c>
    </row>
    <row r="1106" spans="1:4" x14ac:dyDescent="0.2">
      <c r="A1106" s="5">
        <v>1045</v>
      </c>
      <c r="B1106" s="138">
        <f>'Expenditures 15-22'!K14</f>
        <v>202054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2444021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157524</v>
      </c>
      <c r="C1110" s="2" t="s">
        <v>573</v>
      </c>
      <c r="D1110" s="2" t="str">
        <f t="shared" si="16"/>
        <v>Error?</v>
      </c>
    </row>
    <row r="1111" spans="1:4" x14ac:dyDescent="0.2">
      <c r="A1111" s="5">
        <v>1050</v>
      </c>
      <c r="B1111" s="138">
        <f>'Expenditures 15-22'!K38</f>
        <v>32745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190269</v>
      </c>
      <c r="C1115" s="2" t="s">
        <v>573</v>
      </c>
      <c r="D1115" s="2" t="str">
        <f t="shared" si="16"/>
        <v>Error?</v>
      </c>
    </row>
    <row r="1116" spans="1:4" x14ac:dyDescent="0.2">
      <c r="A1116" s="5">
        <v>1055</v>
      </c>
      <c r="B1116" s="138">
        <f>'Expenditures 15-22'!K44</f>
        <v>27238</v>
      </c>
      <c r="C1116" s="2" t="s">
        <v>573</v>
      </c>
      <c r="D1116" s="2" t="str">
        <f t="shared" si="16"/>
        <v>Error?</v>
      </c>
    </row>
    <row r="1117" spans="1:4" x14ac:dyDescent="0.2">
      <c r="A1117" s="5">
        <v>1056</v>
      </c>
      <c r="B1117" s="138">
        <f>'Expenditures 15-22'!K45</f>
        <v>2943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30181</v>
      </c>
      <c r="C1119" s="2" t="s">
        <v>573</v>
      </c>
      <c r="D1119" s="2" t="str">
        <f t="shared" si="16"/>
        <v>Error?</v>
      </c>
    </row>
    <row r="1120" spans="1:4" x14ac:dyDescent="0.2">
      <c r="A1120" s="5">
        <v>1059</v>
      </c>
      <c r="B1120" s="138">
        <f>'Expenditures 15-22'!K49</f>
        <v>39763</v>
      </c>
      <c r="C1120" s="2" t="s">
        <v>573</v>
      </c>
      <c r="D1120" s="2" t="str">
        <f t="shared" si="16"/>
        <v>Error?</v>
      </c>
    </row>
    <row r="1121" spans="1:4" x14ac:dyDescent="0.2">
      <c r="A1121" s="5">
        <v>1060</v>
      </c>
      <c r="B1121" s="138">
        <f>'Expenditures 15-22'!K50</f>
        <v>111011</v>
      </c>
      <c r="C1121" s="2" t="s">
        <v>573</v>
      </c>
      <c r="D1121" s="2" t="str">
        <f t="shared" si="16"/>
        <v>Error?</v>
      </c>
    </row>
    <row r="1122" spans="1:4" x14ac:dyDescent="0.2">
      <c r="A1122" s="5">
        <v>1061</v>
      </c>
      <c r="B1122" s="138">
        <f>'Expenditures 15-22'!K53</f>
        <v>150774</v>
      </c>
      <c r="C1122" s="2" t="s">
        <v>573</v>
      </c>
      <c r="D1122" s="2" t="str">
        <f t="shared" si="16"/>
        <v>Error?</v>
      </c>
    </row>
    <row r="1123" spans="1:4" x14ac:dyDescent="0.2">
      <c r="A1123" s="5">
        <v>1062</v>
      </c>
      <c r="B1123" s="138">
        <f>'Expenditures 15-22'!K55</f>
        <v>206033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206033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60316</v>
      </c>
      <c r="C1127" s="2" t="s">
        <v>573</v>
      </c>
      <c r="D1127" s="2" t="str">
        <f t="shared" si="16"/>
        <v>Error?</v>
      </c>
    </row>
    <row r="1128" spans="1:4" x14ac:dyDescent="0.2">
      <c r="A1128" s="5">
        <v>1067</v>
      </c>
      <c r="B1128" s="138">
        <f>'Expenditures 15-22'!K61</f>
        <v>5790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75377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141483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718740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287682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3450443</v>
      </c>
      <c r="C1152" s="2" t="s">
        <v>573</v>
      </c>
      <c r="D1152" s="2" t="str">
        <f t="shared" si="17"/>
        <v>Error?</v>
      </c>
    </row>
    <row r="1153" spans="1:4" x14ac:dyDescent="0.2">
      <c r="A1153" s="5">
        <v>1092</v>
      </c>
      <c r="B1153" s="138">
        <f>'Expenditures 15-22'!K115</f>
        <v>185389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174103</v>
      </c>
      <c r="D1221" s="2" t="str">
        <f t="shared" si="18"/>
        <v>Error?</v>
      </c>
    </row>
    <row r="1222" spans="1:4" x14ac:dyDescent="0.2">
      <c r="A1222" s="10">
        <v>1161</v>
      </c>
      <c r="D1222" s="2" t="str">
        <f t="shared" si="18"/>
        <v>OK</v>
      </c>
    </row>
    <row r="1223" spans="1:4" x14ac:dyDescent="0.2">
      <c r="A1223" s="5">
        <v>1162</v>
      </c>
      <c r="B1223" s="138">
        <f>'Expenditures 15-22'!C127</f>
        <v>174103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174103</v>
      </c>
      <c r="C1225" s="2" t="s">
        <v>573</v>
      </c>
      <c r="D1225" s="2" t="str">
        <f t="shared" si="18"/>
        <v>Error?</v>
      </c>
    </row>
    <row r="1226" spans="1:4" x14ac:dyDescent="0.2">
      <c r="A1226" s="5">
        <v>1165</v>
      </c>
      <c r="B1226" s="138">
        <f>'Expenditures 15-22'!C151</f>
        <v>174103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32076</v>
      </c>
      <c r="D1229" s="2" t="str">
        <f t="shared" si="18"/>
        <v>Error?</v>
      </c>
    </row>
    <row r="1230" spans="1:4" x14ac:dyDescent="0.2">
      <c r="A1230" s="10">
        <v>1169</v>
      </c>
      <c r="D1230" s="2" t="str">
        <f t="shared" si="18"/>
        <v>OK</v>
      </c>
    </row>
    <row r="1231" spans="1:4" x14ac:dyDescent="0.2">
      <c r="A1231" s="5">
        <v>1170</v>
      </c>
      <c r="B1231" s="138">
        <f>'Expenditures 15-22'!D127</f>
        <v>32076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32076</v>
      </c>
      <c r="C1233" s="2" t="s">
        <v>573</v>
      </c>
      <c r="D1233" s="2" t="str">
        <f t="shared" si="18"/>
        <v>Error?</v>
      </c>
    </row>
    <row r="1234" spans="1:4" x14ac:dyDescent="0.2">
      <c r="A1234" s="5">
        <v>1173</v>
      </c>
      <c r="B1234" s="138">
        <f>'Expenditures 15-22'!D151</f>
        <v>32076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213920</v>
      </c>
      <c r="D1237" s="2" t="str">
        <f t="shared" si="18"/>
        <v>Error?</v>
      </c>
    </row>
    <row r="1238" spans="1:4" x14ac:dyDescent="0.2">
      <c r="A1238" s="10">
        <v>1177</v>
      </c>
      <c r="D1238" s="2" t="str">
        <f t="shared" si="18"/>
        <v>OK</v>
      </c>
    </row>
    <row r="1239" spans="1:4" x14ac:dyDescent="0.2">
      <c r="A1239" s="5">
        <v>1178</v>
      </c>
      <c r="B1239" s="138">
        <f>'Expenditures 15-22'!E127</f>
        <v>213920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213920</v>
      </c>
      <c r="C1241" s="2" t="s">
        <v>573</v>
      </c>
      <c r="D1241" s="2" t="str">
        <f t="shared" si="18"/>
        <v>Error?</v>
      </c>
    </row>
    <row r="1242" spans="1:4" x14ac:dyDescent="0.2">
      <c r="A1242" s="5">
        <v>1181</v>
      </c>
      <c r="B1242" s="138">
        <f>'Expenditures 15-22'!E151</f>
        <v>213920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63989</v>
      </c>
      <c r="D1245" s="2" t="str">
        <f t="shared" si="18"/>
        <v>Error?</v>
      </c>
    </row>
    <row r="1246" spans="1:4" x14ac:dyDescent="0.2">
      <c r="A1246" s="10">
        <v>1185</v>
      </c>
      <c r="D1246" s="2" t="str">
        <f t="shared" si="18"/>
        <v>OK</v>
      </c>
    </row>
    <row r="1247" spans="1:4" x14ac:dyDescent="0.2">
      <c r="A1247" s="5">
        <v>1186</v>
      </c>
      <c r="B1247" s="138">
        <f>'Expenditures 15-22'!F127</f>
        <v>63989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63989</v>
      </c>
      <c r="C1249" s="2" t="s">
        <v>573</v>
      </c>
      <c r="D1249" s="2" t="str">
        <f t="shared" si="18"/>
        <v>Error?</v>
      </c>
    </row>
    <row r="1250" spans="1:4" x14ac:dyDescent="0.2">
      <c r="A1250" s="5">
        <v>1189</v>
      </c>
      <c r="B1250" s="138">
        <f>'Expenditures 15-22'!F151</f>
        <v>63989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25869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25869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25869</v>
      </c>
      <c r="C1258" s="2" t="s">
        <v>573</v>
      </c>
      <c r="D1258" s="2" t="str">
        <f t="shared" si="18"/>
        <v>Error?</v>
      </c>
    </row>
    <row r="1259" spans="1:4" x14ac:dyDescent="0.2">
      <c r="A1259" s="5">
        <v>1198</v>
      </c>
      <c r="B1259" s="138">
        <f>'Expenditures 15-22'!G151</f>
        <v>25869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2678</v>
      </c>
      <c r="D1262" s="2" t="str">
        <f t="shared" si="18"/>
        <v>Error?</v>
      </c>
    </row>
    <row r="1263" spans="1:4" x14ac:dyDescent="0.2">
      <c r="A1263" s="10">
        <v>1202</v>
      </c>
      <c r="D1263" s="2" t="str">
        <f t="shared" si="18"/>
        <v>OK</v>
      </c>
    </row>
    <row r="1264" spans="1:4" x14ac:dyDescent="0.2">
      <c r="A1264" s="5">
        <v>1203</v>
      </c>
      <c r="B1264" s="138">
        <f>'Expenditures 15-22'!H127</f>
        <v>2678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2678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2678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512635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512635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512635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512635</v>
      </c>
      <c r="C1288" s="2" t="s">
        <v>573</v>
      </c>
      <c r="D1288" s="2" t="str">
        <f t="shared" si="19"/>
        <v>Error?</v>
      </c>
    </row>
    <row r="1289" spans="1:4" x14ac:dyDescent="0.2">
      <c r="A1289" s="5">
        <v>1228</v>
      </c>
      <c r="B1289" s="138">
        <f>'Expenditures 15-22'!K152</f>
        <v>-20789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65555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308800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375355</v>
      </c>
      <c r="C1317" s="2" t="s">
        <v>573</v>
      </c>
      <c r="D1317" s="2" t="str">
        <f t="shared" si="19"/>
        <v>Error?</v>
      </c>
    </row>
    <row r="1318" spans="1:4" x14ac:dyDescent="0.2">
      <c r="A1318" s="5">
        <v>1257</v>
      </c>
      <c r="B1318" s="138">
        <f>'Expenditures 15-22'!H174</f>
        <v>375355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65555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308800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375355</v>
      </c>
      <c r="C1331" s="2" t="s">
        <v>573</v>
      </c>
      <c r="D1331" s="2" t="str">
        <f t="shared" si="19"/>
        <v>Error?</v>
      </c>
    </row>
    <row r="1332" spans="1:4" x14ac:dyDescent="0.2">
      <c r="A1332" s="5">
        <v>1271</v>
      </c>
      <c r="B1332" s="138">
        <f>'Expenditures 15-22'!K174</f>
        <v>375355</v>
      </c>
      <c r="C1332" s="2" t="s">
        <v>573</v>
      </c>
      <c r="D1332" s="2" t="str">
        <f t="shared" si="19"/>
        <v>Error?</v>
      </c>
    </row>
    <row r="1333" spans="1:4" x14ac:dyDescent="0.2">
      <c r="A1333" s="5">
        <v>1272</v>
      </c>
      <c r="B1333" s="138">
        <f>'Expenditures 15-22'!K175</f>
        <v>11374</v>
      </c>
      <c r="C1333" s="2" t="s">
        <v>573</v>
      </c>
      <c r="D1333" s="2" t="str">
        <f t="shared" si="19"/>
        <v>Error?</v>
      </c>
    </row>
    <row r="1334" spans="1:4" x14ac:dyDescent="0.2">
      <c r="A1334" s="10">
        <v>1273</v>
      </c>
      <c r="D1334" s="2" t="str">
        <f t="shared" si="19"/>
        <v>OK</v>
      </c>
    </row>
    <row r="1335" spans="1:4" x14ac:dyDescent="0.2">
      <c r="A1335" s="5">
        <v>1274</v>
      </c>
      <c r="B1335" s="138">
        <f>'Expenditures 15-22'!C182</f>
        <v>94485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94485</v>
      </c>
      <c r="C1339" s="2" t="s">
        <v>573</v>
      </c>
      <c r="D1339" s="2" t="str">
        <f t="shared" si="19"/>
        <v>Error?</v>
      </c>
    </row>
    <row r="1340" spans="1:4" x14ac:dyDescent="0.2">
      <c r="A1340" s="5">
        <v>1279</v>
      </c>
      <c r="B1340" s="138">
        <f>'Expenditures 15-22'!C210</f>
        <v>94485</v>
      </c>
      <c r="C1340" s="2" t="s">
        <v>573</v>
      </c>
      <c r="D1340" s="2" t="str">
        <f t="shared" si="19"/>
        <v>Error?</v>
      </c>
    </row>
    <row r="1341" spans="1:4" x14ac:dyDescent="0.2">
      <c r="A1341" s="5">
        <v>1280</v>
      </c>
      <c r="B1341" s="138">
        <f>'Expenditures 15-22'!D182</f>
        <v>6148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6148</v>
      </c>
      <c r="C1345" s="2" t="s">
        <v>573</v>
      </c>
      <c r="D1345" s="2" t="str">
        <f t="shared" si="20"/>
        <v>Error?</v>
      </c>
    </row>
    <row r="1346" spans="1:4" x14ac:dyDescent="0.2">
      <c r="A1346" s="5">
        <v>1285</v>
      </c>
      <c r="B1346" s="138">
        <f>'Expenditures 15-22'!D210</f>
        <v>6148</v>
      </c>
      <c r="C1346" s="2" t="s">
        <v>573</v>
      </c>
      <c r="D1346" s="2" t="str">
        <f t="shared" si="20"/>
        <v>Error?</v>
      </c>
    </row>
    <row r="1347" spans="1:4" x14ac:dyDescent="0.2">
      <c r="A1347" s="5">
        <v>1286</v>
      </c>
      <c r="B1347" s="138">
        <f>'Expenditures 15-22'!E182</f>
        <v>7390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7390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7390</v>
      </c>
      <c r="C1353" s="2" t="s">
        <v>573</v>
      </c>
      <c r="D1353" s="2" t="str">
        <f t="shared" si="20"/>
        <v>Error?</v>
      </c>
    </row>
    <row r="1354" spans="1:4" x14ac:dyDescent="0.2">
      <c r="A1354" s="5">
        <v>1293</v>
      </c>
      <c r="B1354" s="138">
        <f>'Expenditures 15-22'!F182</f>
        <v>40090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40090</v>
      </c>
      <c r="C1358" s="2" t="s">
        <v>573</v>
      </c>
      <c r="D1358" s="2" t="str">
        <f t="shared" si="20"/>
        <v>Error?</v>
      </c>
    </row>
    <row r="1359" spans="1:4" x14ac:dyDescent="0.2">
      <c r="A1359" s="5">
        <v>1298</v>
      </c>
      <c r="B1359" s="138">
        <f>'Expenditures 15-22'!F210</f>
        <v>40090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45174</v>
      </c>
      <c r="C1375" s="2" t="s">
        <v>573</v>
      </c>
      <c r="D1375" s="2" t="str">
        <f t="shared" si="20"/>
        <v>Error?</v>
      </c>
    </row>
    <row r="1376" spans="1:4" x14ac:dyDescent="0.2">
      <c r="A1376" s="5">
        <v>1315</v>
      </c>
      <c r="B1376" s="138">
        <f>'Expenditures 15-22'!H210</f>
        <v>45174</v>
      </c>
      <c r="C1376" s="2" t="s">
        <v>573</v>
      </c>
      <c r="D1376" s="2" t="str">
        <f t="shared" si="20"/>
        <v>Error?</v>
      </c>
    </row>
    <row r="1377" spans="1:4" x14ac:dyDescent="0.2">
      <c r="A1377" s="5">
        <v>1316</v>
      </c>
      <c r="B1377" s="138">
        <f>'Expenditures 15-22'!K182</f>
        <v>148113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148113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45174</v>
      </c>
      <c r="C1387" s="2" t="s">
        <v>573</v>
      </c>
      <c r="D1387" s="2" t="str">
        <f t="shared" si="20"/>
        <v>Error?</v>
      </c>
    </row>
    <row r="1388" spans="1:4" x14ac:dyDescent="0.2">
      <c r="A1388" s="5">
        <v>1327</v>
      </c>
      <c r="B1388" s="138">
        <f>'Expenditures 15-22'!K210</f>
        <v>193287</v>
      </c>
      <c r="C1388" s="2" t="s">
        <v>573</v>
      </c>
      <c r="D1388" s="2" t="str">
        <f t="shared" si="20"/>
        <v>Error?</v>
      </c>
    </row>
    <row r="1389" spans="1:4" x14ac:dyDescent="0.2">
      <c r="A1389" s="5">
        <v>1328</v>
      </c>
      <c r="B1389" s="138">
        <f>'Expenditures 15-22'!K211</f>
        <v>12449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3442</v>
      </c>
      <c r="D1407" s="2" t="str">
        <f t="shared" ref="D1407:D1470" si="21">IF(ISBLANK(B1407),"OK",IF(A1407-B1407=0,"OK","Error?"))</f>
        <v>Error?</v>
      </c>
    </row>
    <row r="1408" spans="1:4" x14ac:dyDescent="0.2">
      <c r="A1408" s="5">
        <v>1347</v>
      </c>
      <c r="B1408" s="138">
        <f>'Expenditures 15-22'!D223</f>
        <v>6634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56917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6566</v>
      </c>
      <c r="D1412" s="2" t="str">
        <f t="shared" si="21"/>
        <v>Error?</v>
      </c>
    </row>
    <row r="1413" spans="1:4" x14ac:dyDescent="0.2">
      <c r="A1413" s="5">
        <v>1352</v>
      </c>
      <c r="B1413" s="138">
        <f>'Expenditures 15-22'!D234</f>
        <v>4235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10801</v>
      </c>
      <c r="C1417" s="2" t="s">
        <v>573</v>
      </c>
      <c r="D1417" s="2" t="str">
        <f t="shared" si="21"/>
        <v>Error?</v>
      </c>
    </row>
    <row r="1418" spans="1:4" x14ac:dyDescent="0.2">
      <c r="A1418" s="5">
        <v>1357</v>
      </c>
      <c r="B1418" s="138">
        <f>'Expenditures 15-22'!D240</f>
        <v>299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299</v>
      </c>
      <c r="C1421" s="2" t="s">
        <v>573</v>
      </c>
      <c r="D1421" s="2" t="str">
        <f t="shared" si="21"/>
        <v>Error?</v>
      </c>
    </row>
    <row r="1422" spans="1:4" x14ac:dyDescent="0.2">
      <c r="A1422" s="5">
        <v>1361</v>
      </c>
      <c r="B1422" s="138">
        <f>'Expenditures 15-22'!D245</f>
        <v>187</v>
      </c>
      <c r="D1422" s="2" t="str">
        <f t="shared" si="21"/>
        <v>Error?</v>
      </c>
    </row>
    <row r="1423" spans="1:4" x14ac:dyDescent="0.2">
      <c r="A1423" s="5">
        <v>1362</v>
      </c>
      <c r="B1423" s="138">
        <f>'Expenditures 15-22'!D246</f>
        <v>1334</v>
      </c>
      <c r="D1423" s="2" t="str">
        <f t="shared" si="21"/>
        <v>Error?</v>
      </c>
    </row>
    <row r="1424" spans="1:4" x14ac:dyDescent="0.2">
      <c r="A1424" s="5">
        <v>1363</v>
      </c>
      <c r="B1424" s="138">
        <f>'Expenditures 15-22'!D257</f>
        <v>10839</v>
      </c>
      <c r="C1424" s="2" t="s">
        <v>573</v>
      </c>
      <c r="D1424" s="2" t="str">
        <f t="shared" si="21"/>
        <v>Error?</v>
      </c>
    </row>
    <row r="1425" spans="1:4" x14ac:dyDescent="0.2">
      <c r="A1425" s="5">
        <v>1364</v>
      </c>
      <c r="B1425" s="138">
        <f>'Expenditures 15-22'!D259</f>
        <v>11026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11026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27743</v>
      </c>
      <c r="D1431" s="2" t="str">
        <f t="shared" si="21"/>
        <v>Error?</v>
      </c>
    </row>
    <row r="1432" spans="1:4" x14ac:dyDescent="0.2">
      <c r="A1432" s="5">
        <v>1371</v>
      </c>
      <c r="B1432" s="138">
        <f>'Expenditures 15-22'!D267</f>
        <v>14074</v>
      </c>
      <c r="D1432" s="2" t="str">
        <f t="shared" si="21"/>
        <v>Error?</v>
      </c>
    </row>
    <row r="1433" spans="1:4" x14ac:dyDescent="0.2">
      <c r="A1433" s="5">
        <v>1372</v>
      </c>
      <c r="B1433" s="138">
        <f>'Expenditures 15-22'!D268</f>
        <v>2647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50700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83665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140582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3442</v>
      </c>
      <c r="C1471" s="2" t="s">
        <v>573</v>
      </c>
      <c r="D1471" s="2" t="str">
        <f t="shared" ref="D1471:D1534" si="22">IF(ISBLANK(B1471),"OK",IF(A1471-B1471=0,"OK","Error?"))</f>
        <v>Error?</v>
      </c>
    </row>
    <row r="1472" spans="1:4" x14ac:dyDescent="0.2">
      <c r="A1472" s="5">
        <v>1411</v>
      </c>
      <c r="B1472" s="138">
        <f>'Expenditures 15-22'!K223</f>
        <v>6634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56917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6566</v>
      </c>
      <c r="C1476" s="2" t="s">
        <v>573</v>
      </c>
      <c r="D1476" s="2" t="str">
        <f t="shared" si="22"/>
        <v>Error?</v>
      </c>
    </row>
    <row r="1477" spans="1:4" x14ac:dyDescent="0.2">
      <c r="A1477" s="5">
        <v>1416</v>
      </c>
      <c r="B1477" s="138">
        <f>'Expenditures 15-22'!K234</f>
        <v>4235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10801</v>
      </c>
      <c r="C1481" s="2" t="s">
        <v>573</v>
      </c>
      <c r="D1481" s="2" t="str">
        <f t="shared" si="22"/>
        <v>Error?</v>
      </c>
    </row>
    <row r="1482" spans="1:4" x14ac:dyDescent="0.2">
      <c r="A1482" s="5">
        <v>1421</v>
      </c>
      <c r="B1482" s="138">
        <f>'Expenditures 15-22'!K240</f>
        <v>299</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299</v>
      </c>
      <c r="C1485" s="2" t="s">
        <v>573</v>
      </c>
      <c r="D1485" s="2" t="str">
        <f t="shared" si="22"/>
        <v>Error?</v>
      </c>
    </row>
    <row r="1486" spans="1:4" x14ac:dyDescent="0.2">
      <c r="A1486" s="5">
        <v>1425</v>
      </c>
      <c r="B1486" s="138">
        <f>'Expenditures 15-22'!K245</f>
        <v>187</v>
      </c>
      <c r="C1486" s="2" t="s">
        <v>573</v>
      </c>
      <c r="D1486" s="2" t="str">
        <f t="shared" si="22"/>
        <v>Error?</v>
      </c>
    </row>
    <row r="1487" spans="1:4" x14ac:dyDescent="0.2">
      <c r="A1487" s="5">
        <v>1426</v>
      </c>
      <c r="B1487" s="138">
        <f>'Expenditures 15-22'!K246</f>
        <v>1334</v>
      </c>
      <c r="C1487" s="2" t="s">
        <v>573</v>
      </c>
      <c r="D1487" s="2" t="str">
        <f t="shared" si="22"/>
        <v>Error?</v>
      </c>
    </row>
    <row r="1488" spans="1:4" x14ac:dyDescent="0.2">
      <c r="A1488" s="5">
        <v>1427</v>
      </c>
      <c r="B1488" s="138">
        <f>'Expenditures 15-22'!K257</f>
        <v>10839</v>
      </c>
      <c r="C1488" s="2" t="s">
        <v>573</v>
      </c>
      <c r="D1488" s="2" t="str">
        <f t="shared" si="22"/>
        <v>Error?</v>
      </c>
    </row>
    <row r="1489" spans="1:4" x14ac:dyDescent="0.2">
      <c r="A1489" s="5">
        <v>1428</v>
      </c>
      <c r="B1489" s="138">
        <f>'Expenditures 15-22'!K259</f>
        <v>11026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11026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6236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27743</v>
      </c>
      <c r="C1495" s="2" t="s">
        <v>573</v>
      </c>
      <c r="D1495" s="2" t="str">
        <f t="shared" si="22"/>
        <v>Error?</v>
      </c>
    </row>
    <row r="1496" spans="1:4" x14ac:dyDescent="0.2">
      <c r="A1496" s="5">
        <v>1435</v>
      </c>
      <c r="B1496" s="138">
        <f>'Expenditures 15-22'!K267</f>
        <v>14074</v>
      </c>
      <c r="C1496" s="2" t="s">
        <v>573</v>
      </c>
      <c r="D1496" s="2" t="str">
        <f t="shared" si="22"/>
        <v>Error?</v>
      </c>
    </row>
    <row r="1497" spans="1:4" x14ac:dyDescent="0.2">
      <c r="A1497" s="5">
        <v>1436</v>
      </c>
      <c r="B1497" s="138">
        <f>'Expenditures 15-22'!K268</f>
        <v>2647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50700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83665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140582</v>
      </c>
      <c r="C1517" s="2" t="s">
        <v>573</v>
      </c>
      <c r="D1517" s="2" t="str">
        <f t="shared" si="22"/>
        <v>Error?</v>
      </c>
    </row>
    <row r="1518" spans="1:4" x14ac:dyDescent="0.2">
      <c r="A1518" s="5">
        <v>1457</v>
      </c>
      <c r="B1518" s="138">
        <f>'Expenditures 15-22'!K296</f>
        <v>48180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920158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1105547</v>
      </c>
      <c r="C1630" s="2" t="s">
        <v>573</v>
      </c>
      <c r="D1630" s="2" t="str">
        <f t="shared" si="24"/>
        <v>Error?</v>
      </c>
    </row>
    <row r="1631" spans="1:4" x14ac:dyDescent="0.2">
      <c r="A1631" s="5">
        <v>1570</v>
      </c>
      <c r="B1631" s="138">
        <f>'Acct Summary 7-8'!D79</f>
        <v>25938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55458</v>
      </c>
      <c r="C1644" s="2" t="s">
        <v>573</v>
      </c>
      <c r="D1644" s="2" t="str">
        <f t="shared" si="24"/>
        <v>Error?</v>
      </c>
    </row>
    <row r="1645" spans="1:4" x14ac:dyDescent="0.2">
      <c r="A1645" s="5">
        <v>1584</v>
      </c>
      <c r="B1645" s="138">
        <f>'Acct Summary 7-8'!E79</f>
        <v>120072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131446</v>
      </c>
      <c r="C1658" s="2" t="s">
        <v>573</v>
      </c>
      <c r="D1658" s="2" t="str">
        <f t="shared" si="24"/>
        <v>Error?</v>
      </c>
    </row>
    <row r="1659" spans="1:4" x14ac:dyDescent="0.2">
      <c r="A1659" s="5">
        <v>1598</v>
      </c>
      <c r="B1659" s="138">
        <f>'Acct Summary 7-8'!F79</f>
        <v>329137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341586</v>
      </c>
      <c r="C1672" s="2" t="s">
        <v>573</v>
      </c>
      <c r="D1672" s="2" t="str">
        <f t="shared" si="25"/>
        <v>Error?</v>
      </c>
    </row>
    <row r="1673" spans="1:4" x14ac:dyDescent="0.2">
      <c r="A1673" s="5">
        <v>1612</v>
      </c>
      <c r="B1673" s="138">
        <f>'Acct Summary 7-8'!G79</f>
        <v>400890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449070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884269</v>
      </c>
      <c r="C1744" s="2" t="s">
        <v>573</v>
      </c>
      <c r="D1744" s="2" t="str">
        <f t="shared" si="26"/>
        <v>Error?</v>
      </c>
    </row>
    <row r="1745" spans="1:5" x14ac:dyDescent="0.2">
      <c r="A1745" s="5">
        <v>1684</v>
      </c>
      <c r="B1745" s="138">
        <f>'Tax Sched 23'!B5</f>
        <v>240447</v>
      </c>
      <c r="C1745" s="2" t="s">
        <v>573</v>
      </c>
      <c r="D1745" s="2" t="str">
        <f t="shared" si="26"/>
        <v>Error?</v>
      </c>
    </row>
    <row r="1746" spans="1:5" x14ac:dyDescent="0.2">
      <c r="A1746" s="5">
        <v>1685</v>
      </c>
      <c r="B1746" s="138">
        <f>'Tax Sched 23'!B6</f>
        <v>372503</v>
      </c>
      <c r="C1746" s="2" t="s">
        <v>573</v>
      </c>
      <c r="D1746" s="2" t="str">
        <f t="shared" si="26"/>
        <v>Error?</v>
      </c>
    </row>
    <row r="1747" spans="1:5" x14ac:dyDescent="0.2">
      <c r="A1747" s="5">
        <v>1686</v>
      </c>
      <c r="B1747" s="138">
        <f>'Tax Sched 23'!B7</f>
        <v>115415</v>
      </c>
      <c r="C1747" s="2" t="s">
        <v>573</v>
      </c>
      <c r="D1747" s="2" t="str">
        <f t="shared" si="26"/>
        <v>Error?</v>
      </c>
    </row>
    <row r="1748" spans="1:5" x14ac:dyDescent="0.2">
      <c r="A1748" s="5">
        <v>1687</v>
      </c>
      <c r="B1748" s="138">
        <f>'Tax Sched 23'!B8</f>
        <v>115382</v>
      </c>
      <c r="C1748" s="2" t="s">
        <v>573</v>
      </c>
      <c r="D1748" s="2" t="str">
        <f t="shared" si="26"/>
        <v>Error?</v>
      </c>
    </row>
    <row r="1749" spans="1:5" x14ac:dyDescent="0.2">
      <c r="A1749" s="5">
        <v>1688</v>
      </c>
      <c r="B1749" s="138">
        <f>'Tax Sched 23'!B10</f>
        <v>48089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240727</v>
      </c>
      <c r="C1752" s="2" t="s">
        <v>573</v>
      </c>
      <c r="D1752" s="2" t="str">
        <f t="shared" si="26"/>
        <v>Error?</v>
      </c>
    </row>
    <row r="1753" spans="1:5" x14ac:dyDescent="0.2">
      <c r="A1753" s="5">
        <v>1692</v>
      </c>
      <c r="B1753" s="138">
        <f>'Tax Sched 23'!B12</f>
        <v>48089</v>
      </c>
      <c r="C1753" s="2" t="s">
        <v>573</v>
      </c>
      <c r="D1753" s="2" t="str">
        <f t="shared" si="26"/>
        <v>Error?</v>
      </c>
    </row>
    <row r="1754" spans="1:5" x14ac:dyDescent="0.2">
      <c r="A1754" s="5">
        <v>1693</v>
      </c>
      <c r="B1754" s="138">
        <f>'Tax Sched 23'!B14</f>
        <v>19236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2196901</v>
      </c>
      <c r="C1759" s="2" t="s">
        <v>573</v>
      </c>
      <c r="D1759" s="2" t="str">
        <f t="shared" si="26"/>
        <v>Error?</v>
      </c>
    </row>
    <row r="1760" spans="1:5" x14ac:dyDescent="0.2">
      <c r="A1760" s="5">
        <v>1699</v>
      </c>
      <c r="B1760" s="138">
        <f>'Tax Sched 23'!D4</f>
        <v>884269</v>
      </c>
      <c r="C1760" s="2" t="s">
        <v>573</v>
      </c>
      <c r="D1760" s="2" t="str">
        <f t="shared" si="26"/>
        <v>Error?</v>
      </c>
    </row>
    <row r="1761" spans="1:5" x14ac:dyDescent="0.2">
      <c r="A1761" s="5">
        <v>1700</v>
      </c>
      <c r="B1761" s="138">
        <f>'Tax Sched 23'!D5</f>
        <v>240447</v>
      </c>
      <c r="C1761" s="2" t="s">
        <v>573</v>
      </c>
      <c r="D1761" s="2" t="str">
        <f t="shared" si="26"/>
        <v>Error?</v>
      </c>
    </row>
    <row r="1762" spans="1:5" s="8" customFormat="1" x14ac:dyDescent="0.2">
      <c r="A1762" s="5">
        <v>1701</v>
      </c>
      <c r="B1762" s="138">
        <f>'Tax Sched 23'!D6</f>
        <v>372503</v>
      </c>
      <c r="C1762" s="2" t="s">
        <v>573</v>
      </c>
      <c r="D1762" s="2" t="str">
        <f t="shared" si="26"/>
        <v>Error?</v>
      </c>
      <c r="E1762" s="9"/>
    </row>
    <row r="1763" spans="1:5" x14ac:dyDescent="0.2">
      <c r="A1763" s="5">
        <v>1702</v>
      </c>
      <c r="B1763" s="138">
        <f>'Tax Sched 23'!D7</f>
        <v>115415</v>
      </c>
      <c r="C1763" s="2" t="s">
        <v>573</v>
      </c>
      <c r="D1763" s="2" t="str">
        <f t="shared" si="26"/>
        <v>Error?</v>
      </c>
    </row>
    <row r="1764" spans="1:5" x14ac:dyDescent="0.2">
      <c r="A1764" s="5">
        <v>1703</v>
      </c>
      <c r="B1764" s="138">
        <f>'Tax Sched 23'!D8</f>
        <v>115382</v>
      </c>
      <c r="C1764" s="2" t="s">
        <v>573</v>
      </c>
      <c r="D1764" s="2" t="str">
        <f t="shared" si="26"/>
        <v>Error?</v>
      </c>
    </row>
    <row r="1765" spans="1:5" x14ac:dyDescent="0.2">
      <c r="A1765" s="5">
        <v>1704</v>
      </c>
      <c r="B1765" s="138">
        <f>'Tax Sched 23'!D10</f>
        <v>48089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240727</v>
      </c>
      <c r="C1768" s="2" t="s">
        <v>573</v>
      </c>
      <c r="D1768" s="2" t="str">
        <f t="shared" si="26"/>
        <v>Error?</v>
      </c>
    </row>
    <row r="1769" spans="1:5" x14ac:dyDescent="0.2">
      <c r="A1769" s="5">
        <v>1708</v>
      </c>
      <c r="B1769" s="138">
        <f>'Tax Sched 23'!D12</f>
        <v>48089</v>
      </c>
      <c r="C1769" s="2" t="s">
        <v>573</v>
      </c>
      <c r="D1769" s="2" t="str">
        <f t="shared" si="26"/>
        <v>Error?</v>
      </c>
    </row>
    <row r="1770" spans="1:5" x14ac:dyDescent="0.2">
      <c r="A1770" s="5">
        <v>1709</v>
      </c>
      <c r="B1770" s="138">
        <f>'Tax Sched 23'!D14</f>
        <v>19236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2196901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916558</v>
      </c>
      <c r="C1792" s="2" t="s">
        <v>573</v>
      </c>
      <c r="D1792" s="2" t="str">
        <f t="shared" si="27"/>
        <v>Error?</v>
      </c>
    </row>
    <row r="1793" spans="1:4" x14ac:dyDescent="0.2">
      <c r="A1793" s="5">
        <v>1732</v>
      </c>
      <c r="B1793" s="138">
        <f>'Tax Sched 23'!F5</f>
        <v>249065</v>
      </c>
      <c r="C1793" s="2" t="s">
        <v>573</v>
      </c>
      <c r="D1793" s="2" t="str">
        <f t="shared" si="27"/>
        <v>Error?</v>
      </c>
    </row>
    <row r="1794" spans="1:4" x14ac:dyDescent="0.2">
      <c r="A1794" s="5">
        <v>1733</v>
      </c>
      <c r="B1794" s="138">
        <f>'Tax Sched 23'!F6</f>
        <v>371430</v>
      </c>
      <c r="C1794" s="2" t="s">
        <v>573</v>
      </c>
      <c r="D1794" s="2" t="str">
        <f t="shared" si="27"/>
        <v>Error?</v>
      </c>
    </row>
    <row r="1795" spans="1:4" x14ac:dyDescent="0.2">
      <c r="A1795" s="5">
        <v>1734</v>
      </c>
      <c r="B1795" s="138">
        <f>'Tax Sched 23'!F7</f>
        <v>119551</v>
      </c>
      <c r="C1795" s="2" t="s">
        <v>573</v>
      </c>
      <c r="D1795" s="2" t="str">
        <f t="shared" si="27"/>
        <v>Error?</v>
      </c>
    </row>
    <row r="1796" spans="1:4" x14ac:dyDescent="0.2">
      <c r="A1796" s="5">
        <v>1735</v>
      </c>
      <c r="B1796" s="138">
        <f>'Tax Sched 23'!F8</f>
        <v>119037</v>
      </c>
      <c r="C1796" s="2" t="s">
        <v>573</v>
      </c>
      <c r="D1796" s="2" t="str">
        <f t="shared" si="27"/>
        <v>Error?</v>
      </c>
    </row>
    <row r="1797" spans="1:4" x14ac:dyDescent="0.2">
      <c r="A1797" s="5">
        <v>1736</v>
      </c>
      <c r="B1797" s="138">
        <f>'Tax Sched 23'!F10</f>
        <v>49813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255938</v>
      </c>
      <c r="C1800" s="2" t="s">
        <v>573</v>
      </c>
      <c r="D1800" s="2" t="str">
        <f t="shared" si="27"/>
        <v>Error?</v>
      </c>
    </row>
    <row r="1801" spans="1:4" x14ac:dyDescent="0.2">
      <c r="A1801" s="5">
        <v>1740</v>
      </c>
      <c r="B1801" s="138">
        <f>'Tax Sched 23'!F12</f>
        <v>49813</v>
      </c>
      <c r="C1801" s="2" t="s">
        <v>573</v>
      </c>
      <c r="D1801" s="2" t="str">
        <f t="shared" si="27"/>
        <v>Error?</v>
      </c>
    </row>
    <row r="1802" spans="1:4" x14ac:dyDescent="0.2">
      <c r="A1802" s="5">
        <v>1741</v>
      </c>
      <c r="B1802" s="138">
        <f>'Tax Sched 23'!F14</f>
        <v>19925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2265421</v>
      </c>
      <c r="C1807" s="2" t="s">
        <v>573</v>
      </c>
      <c r="D1807" s="2" t="str">
        <f t="shared" si="27"/>
        <v>Error?</v>
      </c>
    </row>
    <row r="1808" spans="1:4" x14ac:dyDescent="0.2">
      <c r="A1808" s="5">
        <v>1747</v>
      </c>
      <c r="B1808" s="138">
        <f>'Tax Sched 23'!E4</f>
        <v>916558</v>
      </c>
      <c r="D1808" s="2" t="str">
        <f t="shared" si="27"/>
        <v>Error?</v>
      </c>
    </row>
    <row r="1809" spans="1:4" x14ac:dyDescent="0.2">
      <c r="A1809" s="5">
        <v>1748</v>
      </c>
      <c r="B1809" s="138">
        <f>'Tax Sched 23'!E5</f>
        <v>249065</v>
      </c>
      <c r="D1809" s="2" t="str">
        <f t="shared" si="27"/>
        <v>Error?</v>
      </c>
    </row>
    <row r="1810" spans="1:4" x14ac:dyDescent="0.2">
      <c r="A1810" s="5">
        <v>1749</v>
      </c>
      <c r="B1810" s="138">
        <f>'Tax Sched 23'!E6</f>
        <v>371430</v>
      </c>
      <c r="D1810" s="2" t="str">
        <f t="shared" si="27"/>
        <v>Error?</v>
      </c>
    </row>
    <row r="1811" spans="1:4" x14ac:dyDescent="0.2">
      <c r="A1811" s="5">
        <v>1750</v>
      </c>
      <c r="B1811" s="138">
        <f>'Tax Sched 23'!E7</f>
        <v>119551</v>
      </c>
      <c r="D1811" s="2" t="str">
        <f t="shared" si="27"/>
        <v>Error?</v>
      </c>
    </row>
    <row r="1812" spans="1:4" x14ac:dyDescent="0.2">
      <c r="A1812" s="5">
        <v>1751</v>
      </c>
      <c r="B1812" s="138">
        <f>'Tax Sched 23'!E8</f>
        <v>119037</v>
      </c>
      <c r="D1812" s="2" t="str">
        <f t="shared" si="27"/>
        <v>Error?</v>
      </c>
    </row>
    <row r="1813" spans="1:4" x14ac:dyDescent="0.2">
      <c r="A1813" s="5">
        <v>1752</v>
      </c>
      <c r="B1813" s="138">
        <f>'Tax Sched 23'!E10</f>
        <v>49813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255938</v>
      </c>
      <c r="D1816" s="2" t="str">
        <f t="shared" si="27"/>
        <v>Error?</v>
      </c>
    </row>
    <row r="1817" spans="1:4" x14ac:dyDescent="0.2">
      <c r="A1817" s="5">
        <v>1756</v>
      </c>
      <c r="B1817" s="138">
        <f>'Tax Sched 23'!E12</f>
        <v>49813</v>
      </c>
      <c r="D1817" s="2" t="str">
        <f t="shared" si="27"/>
        <v>Error?</v>
      </c>
    </row>
    <row r="1818" spans="1:4" x14ac:dyDescent="0.2">
      <c r="A1818" s="5">
        <v>1757</v>
      </c>
      <c r="B1818" s="138">
        <f>'Tax Sched 23'!E14</f>
        <v>19925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2265421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2511688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19236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19236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19236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267017</v>
      </c>
      <c r="D2008" s="2" t="str">
        <f t="shared" si="30"/>
        <v>Error?</v>
      </c>
    </row>
    <row r="2009" spans="1:4" x14ac:dyDescent="0.2">
      <c r="A2009" s="5">
        <v>1948</v>
      </c>
      <c r="B2009" s="138">
        <f>'Cap Outlay Deprec 26'!C8</f>
        <v>12602782</v>
      </c>
      <c r="D2009" s="2" t="str">
        <f t="shared" si="30"/>
        <v>Error?</v>
      </c>
    </row>
    <row r="2010" spans="1:4" x14ac:dyDescent="0.2">
      <c r="A2010" s="5">
        <v>1949</v>
      </c>
      <c r="B2010" s="138">
        <f>'Cap Outlay Deprec 26'!C10</f>
        <v>1253198</v>
      </c>
      <c r="D2010" s="2" t="str">
        <f t="shared" si="30"/>
        <v>Error?</v>
      </c>
    </row>
    <row r="2011" spans="1:4" x14ac:dyDescent="0.2">
      <c r="A2011" s="5">
        <v>1950</v>
      </c>
      <c r="B2011" s="138">
        <f>'Cap Outlay Deprec 26'!C12</f>
        <v>568221</v>
      </c>
      <c r="D2011" s="2" t="str">
        <f t="shared" si="30"/>
        <v>Error?</v>
      </c>
    </row>
    <row r="2012" spans="1:4" x14ac:dyDescent="0.2">
      <c r="A2012" s="5">
        <v>1951</v>
      </c>
      <c r="B2012" s="138">
        <f>'Cap Outlay Deprec 26'!C13</f>
        <v>567970</v>
      </c>
      <c r="D2012" s="2" t="str">
        <f t="shared" si="30"/>
        <v>Error?</v>
      </c>
    </row>
    <row r="2013" spans="1:4" x14ac:dyDescent="0.2">
      <c r="A2013" s="5">
        <v>1952</v>
      </c>
      <c r="B2013" s="138">
        <f>'Cap Outlay Deprec 26'!C16</f>
        <v>15901832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2510745</v>
      </c>
      <c r="D2016" s="2" t="str">
        <f t="shared" si="30"/>
        <v>Error?</v>
      </c>
    </row>
    <row r="2017" spans="1:4" x14ac:dyDescent="0.2">
      <c r="A2017" s="5">
        <v>1956</v>
      </c>
      <c r="B2017" s="138">
        <f>'Cap Outlay Deprec 26'!D12</f>
        <v>53487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4455946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23972</v>
      </c>
      <c r="D2022" s="2" t="str">
        <f t="shared" si="30"/>
        <v>Error?</v>
      </c>
    </row>
    <row r="2023" spans="1:4" x14ac:dyDescent="0.2">
      <c r="A2023" s="5">
        <v>1962</v>
      </c>
      <c r="B2023" s="138">
        <f>'Cap Outlay Deprec 26'!E12</f>
        <v>1942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2560272</v>
      </c>
      <c r="C2025" s="2" t="s">
        <v>573</v>
      </c>
      <c r="D2025" s="2" t="str">
        <f t="shared" si="30"/>
        <v>Error?</v>
      </c>
    </row>
    <row r="2026" spans="1:4" x14ac:dyDescent="0.2">
      <c r="A2026" s="5">
        <v>1965</v>
      </c>
      <c r="B2026" s="138">
        <f>'Cap Outlay Deprec 26'!F5</f>
        <v>267017</v>
      </c>
      <c r="C2026" s="2" t="s">
        <v>573</v>
      </c>
      <c r="D2026" s="2" t="str">
        <f t="shared" si="30"/>
        <v>Error?</v>
      </c>
    </row>
    <row r="2027" spans="1:4" x14ac:dyDescent="0.2">
      <c r="A2027" s="5">
        <v>1966</v>
      </c>
      <c r="B2027" s="138">
        <f>'Cap Outlay Deprec 26'!F8</f>
        <v>12602782</v>
      </c>
      <c r="C2027" s="2" t="s">
        <v>573</v>
      </c>
      <c r="D2027" s="2" t="str">
        <f t="shared" si="30"/>
        <v>Error?</v>
      </c>
    </row>
    <row r="2028" spans="1:4" x14ac:dyDescent="0.2">
      <c r="A2028" s="5">
        <v>1967</v>
      </c>
      <c r="B2028" s="138">
        <f>'Cap Outlay Deprec 26'!F10</f>
        <v>3739971</v>
      </c>
      <c r="C2028" s="2" t="s">
        <v>573</v>
      </c>
      <c r="D2028" s="2" t="str">
        <f t="shared" si="30"/>
        <v>Error?</v>
      </c>
    </row>
    <row r="2029" spans="1:4" x14ac:dyDescent="0.2">
      <c r="A2029" s="5">
        <v>1968</v>
      </c>
      <c r="B2029" s="138">
        <f>'Cap Outlay Deprec 26'!F12</f>
        <v>619766</v>
      </c>
      <c r="C2029" s="2" t="s">
        <v>573</v>
      </c>
      <c r="D2029" s="2" t="str">
        <f t="shared" si="30"/>
        <v>Error?</v>
      </c>
    </row>
    <row r="2030" spans="1:4" x14ac:dyDescent="0.2">
      <c r="A2030" s="5">
        <v>1969</v>
      </c>
      <c r="B2030" s="138">
        <f>'Cap Outlay Deprec 26'!F13</f>
        <v>567970</v>
      </c>
      <c r="C2030" s="2" t="s">
        <v>573</v>
      </c>
      <c r="D2030" s="2" t="str">
        <f t="shared" si="30"/>
        <v>Error?</v>
      </c>
    </row>
    <row r="2031" spans="1:4" x14ac:dyDescent="0.2">
      <c r="A2031" s="5">
        <v>1970</v>
      </c>
      <c r="B2031" s="138">
        <f>'Cap Outlay Deprec 26'!F16</f>
        <v>17797506</v>
      </c>
      <c r="C2031" s="2" t="s">
        <v>573</v>
      </c>
      <c r="D2031" s="2" t="str">
        <f t="shared" si="30"/>
        <v>Error?</v>
      </c>
    </row>
    <row r="2032" spans="1:4" x14ac:dyDescent="0.2">
      <c r="A2032" s="10">
        <v>1971</v>
      </c>
      <c r="D2032" s="2" t="str">
        <f t="shared" si="30"/>
        <v>OK</v>
      </c>
    </row>
    <row r="2033" spans="1:4" x14ac:dyDescent="0.2">
      <c r="A2033" s="5">
        <v>1972</v>
      </c>
      <c r="B2033" s="138">
        <f>'Cap Outlay Deprec 26'!H8</f>
        <v>4887971</v>
      </c>
      <c r="D2033" s="2" t="str">
        <f t="shared" si="30"/>
        <v>Error?</v>
      </c>
    </row>
    <row r="2034" spans="1:4" x14ac:dyDescent="0.2">
      <c r="A2034" s="5">
        <v>1973</v>
      </c>
      <c r="B2034" s="138">
        <f>'Cap Outlay Deprec 26'!H10</f>
        <v>353183</v>
      </c>
      <c r="D2034" s="2" t="str">
        <f t="shared" si="30"/>
        <v>Error?</v>
      </c>
    </row>
    <row r="2035" spans="1:4" x14ac:dyDescent="0.2">
      <c r="A2035" s="5">
        <v>1974</v>
      </c>
      <c r="B2035" s="138">
        <f>'Cap Outlay Deprec 26'!H12</f>
        <v>305082</v>
      </c>
      <c r="D2035" s="2" t="str">
        <f t="shared" si="30"/>
        <v>Error?</v>
      </c>
    </row>
    <row r="2036" spans="1:4" x14ac:dyDescent="0.2">
      <c r="A2036" s="5">
        <v>1975</v>
      </c>
      <c r="B2036" s="138">
        <f>'Cap Outlay Deprec 26'!H13</f>
        <v>383514</v>
      </c>
      <c r="D2036" s="2" t="str">
        <f t="shared" si="30"/>
        <v>Error?</v>
      </c>
    </row>
    <row r="2037" spans="1:4" x14ac:dyDescent="0.2">
      <c r="A2037" s="5">
        <v>1976</v>
      </c>
      <c r="B2037" s="138">
        <f>'Cap Outlay Deprec 26'!H16</f>
        <v>5931697</v>
      </c>
      <c r="C2037" s="2" t="s">
        <v>573</v>
      </c>
      <c r="D2037" s="2" t="str">
        <f t="shared" si="30"/>
        <v>Error?</v>
      </c>
    </row>
    <row r="2038" spans="1:4" x14ac:dyDescent="0.2">
      <c r="A2038" s="10">
        <v>1977</v>
      </c>
      <c r="D2038" s="2" t="str">
        <f t="shared" si="30"/>
        <v>OK</v>
      </c>
    </row>
    <row r="2039" spans="1:4" x14ac:dyDescent="0.2">
      <c r="A2039" s="5">
        <v>1978</v>
      </c>
      <c r="B2039" s="138">
        <f>'Cap Outlay Deprec 26'!I8</f>
        <v>252056</v>
      </c>
      <c r="D2039" s="2" t="str">
        <f t="shared" si="30"/>
        <v>Error?</v>
      </c>
    </row>
    <row r="2040" spans="1:4" x14ac:dyDescent="0.2">
      <c r="A2040" s="5">
        <v>1979</v>
      </c>
      <c r="B2040" s="138">
        <f>'Cap Outlay Deprec 26'!I10</f>
        <v>290546</v>
      </c>
      <c r="D2040" s="2" t="str">
        <f t="shared" si="30"/>
        <v>Error?</v>
      </c>
    </row>
    <row r="2041" spans="1:4" x14ac:dyDescent="0.2">
      <c r="A2041" s="5">
        <v>1980</v>
      </c>
      <c r="B2041" s="138">
        <f>'Cap Outlay Deprec 26'!I12</f>
        <v>60096</v>
      </c>
      <c r="D2041" s="2" t="str">
        <f t="shared" si="30"/>
        <v>Error?</v>
      </c>
    </row>
    <row r="2042" spans="1:4" x14ac:dyDescent="0.2">
      <c r="A2042" s="5">
        <v>1981</v>
      </c>
      <c r="B2042" s="138">
        <f>'Cap Outlay Deprec 26'!I13</f>
        <v>52360</v>
      </c>
      <c r="D2042" s="2" t="str">
        <f t="shared" si="30"/>
        <v>Error?</v>
      </c>
    </row>
    <row r="2043" spans="1:4" x14ac:dyDescent="0.2">
      <c r="A2043" s="5">
        <v>1982</v>
      </c>
      <c r="B2043" s="138">
        <f>'Cap Outlay Deprec 26'!I16</f>
        <v>655745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5594</v>
      </c>
      <c r="D2046" s="2" t="str">
        <f t="shared" si="30"/>
        <v>Error?</v>
      </c>
    </row>
    <row r="2047" spans="1:4" x14ac:dyDescent="0.2">
      <c r="A2047" s="5">
        <v>1986</v>
      </c>
      <c r="B2047" s="138">
        <f>'Cap Outlay Deprec 26'!J12</f>
        <v>837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9065</v>
      </c>
      <c r="C2049" s="2" t="s">
        <v>573</v>
      </c>
      <c r="D2049" s="2" t="str">
        <f t="shared" si="31"/>
        <v>Error?</v>
      </c>
    </row>
    <row r="2050" spans="1:4" x14ac:dyDescent="0.2">
      <c r="A2050" s="10">
        <v>1989</v>
      </c>
      <c r="D2050" s="2" t="str">
        <f t="shared" si="31"/>
        <v>OK</v>
      </c>
    </row>
    <row r="2051" spans="1:4" x14ac:dyDescent="0.2">
      <c r="A2051" s="5">
        <v>1990</v>
      </c>
      <c r="B2051" s="138">
        <f>'Cap Outlay Deprec 26'!K8</f>
        <v>5140027</v>
      </c>
      <c r="C2051" s="2" t="s">
        <v>573</v>
      </c>
      <c r="D2051" s="2" t="str">
        <f t="shared" si="31"/>
        <v>Error?</v>
      </c>
    </row>
    <row r="2052" spans="1:4" x14ac:dyDescent="0.2">
      <c r="A2052" s="5">
        <v>1991</v>
      </c>
      <c r="B2052" s="138">
        <f>'Cap Outlay Deprec 26'!K10</f>
        <v>638135</v>
      </c>
      <c r="C2052" s="2" t="s">
        <v>573</v>
      </c>
      <c r="D2052" s="2" t="str">
        <f t="shared" si="31"/>
        <v>Error?</v>
      </c>
    </row>
    <row r="2053" spans="1:4" x14ac:dyDescent="0.2">
      <c r="A2053" s="5">
        <v>1992</v>
      </c>
      <c r="B2053" s="138">
        <f>'Cap Outlay Deprec 26'!K12</f>
        <v>364341</v>
      </c>
      <c r="C2053" s="2" t="s">
        <v>573</v>
      </c>
      <c r="D2053" s="2" t="str">
        <f t="shared" si="31"/>
        <v>Error?</v>
      </c>
    </row>
    <row r="2054" spans="1:4" x14ac:dyDescent="0.2">
      <c r="A2054" s="5">
        <v>1993</v>
      </c>
      <c r="B2054" s="138">
        <f>'Cap Outlay Deprec 26'!K13</f>
        <v>435874</v>
      </c>
      <c r="C2054" s="2" t="s">
        <v>573</v>
      </c>
      <c r="D2054" s="2" t="str">
        <f t="shared" si="31"/>
        <v>Error?</v>
      </c>
    </row>
    <row r="2055" spans="1:4" x14ac:dyDescent="0.2">
      <c r="A2055" s="5">
        <v>1994</v>
      </c>
      <c r="B2055" s="138">
        <f>'Cap Outlay Deprec 26'!K16</f>
        <v>6578377</v>
      </c>
      <c r="C2055" s="2" t="s">
        <v>573</v>
      </c>
      <c r="D2055" s="2" t="str">
        <f t="shared" si="31"/>
        <v>Error?</v>
      </c>
    </row>
    <row r="2056" spans="1:4" x14ac:dyDescent="0.2">
      <c r="A2056" s="5">
        <v>1995</v>
      </c>
      <c r="B2056" s="138">
        <f>'Cap Outlay Deprec 26'!L5</f>
        <v>267017</v>
      </c>
      <c r="C2056" s="2" t="s">
        <v>573</v>
      </c>
      <c r="D2056" s="2" t="str">
        <f t="shared" si="31"/>
        <v>Error?</v>
      </c>
    </row>
    <row r="2057" spans="1:4" x14ac:dyDescent="0.2">
      <c r="A2057" s="5">
        <v>1996</v>
      </c>
      <c r="B2057" s="138">
        <f>'Cap Outlay Deprec 26'!L8</f>
        <v>7462755</v>
      </c>
      <c r="C2057" s="2" t="s">
        <v>573</v>
      </c>
      <c r="D2057" s="2" t="str">
        <f t="shared" si="31"/>
        <v>Error?</v>
      </c>
    </row>
    <row r="2058" spans="1:4" x14ac:dyDescent="0.2">
      <c r="A2058" s="5">
        <v>1997</v>
      </c>
      <c r="B2058" s="138">
        <f>'Cap Outlay Deprec 26'!L10</f>
        <v>3101836</v>
      </c>
      <c r="C2058" s="2" t="s">
        <v>573</v>
      </c>
      <c r="D2058" s="2" t="str">
        <f t="shared" si="31"/>
        <v>Error?</v>
      </c>
    </row>
    <row r="2059" spans="1:4" x14ac:dyDescent="0.2">
      <c r="A2059" s="5">
        <v>1998</v>
      </c>
      <c r="B2059" s="138">
        <f>'Cap Outlay Deprec 26'!L12</f>
        <v>255425</v>
      </c>
      <c r="C2059" s="2" t="s">
        <v>573</v>
      </c>
      <c r="D2059" s="2" t="str">
        <f t="shared" si="31"/>
        <v>Error?</v>
      </c>
    </row>
    <row r="2060" spans="1:4" x14ac:dyDescent="0.2">
      <c r="A2060" s="5">
        <v>1999</v>
      </c>
      <c r="B2060" s="138">
        <f>'Cap Outlay Deprec 26'!L13</f>
        <v>132096</v>
      </c>
      <c r="C2060" s="2" t="s">
        <v>573</v>
      </c>
      <c r="D2060" s="2" t="str">
        <f t="shared" si="31"/>
        <v>Error?</v>
      </c>
    </row>
    <row r="2061" spans="1:4" x14ac:dyDescent="0.2">
      <c r="A2061" s="5">
        <v>2000</v>
      </c>
      <c r="B2061" s="138">
        <f>'Cap Outlay Deprec 26'!L16</f>
        <v>11219129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268271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287682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125309</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206671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1159325</v>
      </c>
      <c r="C2551" s="2" t="s">
        <v>573</v>
      </c>
      <c r="D2551" s="2" t="str">
        <f t="shared" si="38"/>
        <v>Error?</v>
      </c>
    </row>
    <row r="2552" spans="1:4" x14ac:dyDescent="0.2">
      <c r="A2552" s="10">
        <v>2491</v>
      </c>
      <c r="D2552" s="2" t="str">
        <f t="shared" si="38"/>
        <v>OK</v>
      </c>
    </row>
    <row r="2553" spans="1:4" x14ac:dyDescent="0.2">
      <c r="A2553" s="5">
        <v>2492</v>
      </c>
      <c r="B2553" s="138">
        <f>'Acct Summary 7-8'!C6</f>
        <v>2273096</v>
      </c>
      <c r="C2553" s="2" t="s">
        <v>573</v>
      </c>
      <c r="D2553" s="2" t="str">
        <f t="shared" si="38"/>
        <v>Error?</v>
      </c>
    </row>
    <row r="2554" spans="1:4" x14ac:dyDescent="0.2">
      <c r="A2554" s="5">
        <v>2493</v>
      </c>
      <c r="B2554" s="138">
        <f>'Acct Summary 7-8'!C7</f>
        <v>203411</v>
      </c>
      <c r="C2554" s="2" t="s">
        <v>573</v>
      </c>
      <c r="D2554" s="2" t="str">
        <f t="shared" si="38"/>
        <v>Error?</v>
      </c>
    </row>
    <row r="2555" spans="1:4" x14ac:dyDescent="0.2">
      <c r="A2555" s="5">
        <v>2494</v>
      </c>
      <c r="B2555" s="138">
        <f>'Acct Summary 7-8'!C8</f>
        <v>3635832</v>
      </c>
      <c r="C2555" s="2" t="s">
        <v>573</v>
      </c>
      <c r="D2555" s="2" t="str">
        <f t="shared" si="38"/>
        <v>Error?</v>
      </c>
    </row>
    <row r="2556" spans="1:4" x14ac:dyDescent="0.2">
      <c r="A2556" s="5">
        <v>2495</v>
      </c>
      <c r="B2556" s="138">
        <f>'Acct Summary 7-8'!C12</f>
        <v>2444021</v>
      </c>
      <c r="C2556" s="2" t="s">
        <v>573</v>
      </c>
      <c r="D2556" s="2" t="str">
        <f t="shared" si="38"/>
        <v>Error?</v>
      </c>
    </row>
    <row r="2557" spans="1:4" x14ac:dyDescent="0.2">
      <c r="A2557" s="5">
        <v>2496</v>
      </c>
      <c r="B2557" s="138">
        <f>'Acct Summary 7-8'!C13</f>
        <v>718740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287682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3450443</v>
      </c>
      <c r="C2561" s="2" t="s">
        <v>573</v>
      </c>
      <c r="D2561" s="2" t="str">
        <f t="shared" si="39"/>
        <v>Error?</v>
      </c>
    </row>
    <row r="2562" spans="1:4" x14ac:dyDescent="0.2">
      <c r="A2562" s="5">
        <v>2501</v>
      </c>
      <c r="B2562" s="138">
        <f>'Acct Summary 7-8'!C20</f>
        <v>185389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274557</v>
      </c>
      <c r="C2564" s="2" t="s">
        <v>573</v>
      </c>
      <c r="D2564" s="2" t="str">
        <f t="shared" si="39"/>
        <v>Error?</v>
      </c>
    </row>
    <row r="2565" spans="1:4" x14ac:dyDescent="0.2">
      <c r="A2565" s="10">
        <v>2504</v>
      </c>
      <c r="D2565" s="2" t="str">
        <f t="shared" si="39"/>
        <v>OK</v>
      </c>
    </row>
    <row r="2566" spans="1:4" x14ac:dyDescent="0.2">
      <c r="A2566" s="5">
        <v>2505</v>
      </c>
      <c r="B2566" s="138">
        <f>'Acct Summary 7-8'!D6</f>
        <v>217289</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491846</v>
      </c>
      <c r="C2568" s="2" t="s">
        <v>573</v>
      </c>
      <c r="D2568" s="2" t="str">
        <f t="shared" si="39"/>
        <v>Error?</v>
      </c>
    </row>
    <row r="2569" spans="1:4" x14ac:dyDescent="0.2">
      <c r="A2569" s="5">
        <v>2508</v>
      </c>
      <c r="B2569" s="138">
        <f>'Acct Summary 7-8'!D13</f>
        <v>512635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512635</v>
      </c>
      <c r="C2573" s="2" t="s">
        <v>573</v>
      </c>
      <c r="D2573" s="2" t="str">
        <f t="shared" si="39"/>
        <v>Error?</v>
      </c>
    </row>
    <row r="2574" spans="1:4" x14ac:dyDescent="0.2">
      <c r="A2574" s="5">
        <v>2513</v>
      </c>
      <c r="B2574" s="138">
        <f>'Acct Summary 7-8'!D20</f>
        <v>-20789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125862</v>
      </c>
      <c r="C2591" s="2" t="s">
        <v>573</v>
      </c>
      <c r="D2591" s="2" t="str">
        <f t="shared" si="39"/>
        <v>Error?</v>
      </c>
    </row>
    <row r="2592" spans="1:4" x14ac:dyDescent="0.2">
      <c r="A2592" s="10">
        <v>2531</v>
      </c>
      <c r="D2592" s="2" t="str">
        <f t="shared" si="39"/>
        <v>OK</v>
      </c>
    </row>
    <row r="2593" spans="1:4" x14ac:dyDescent="0.2">
      <c r="A2593" s="5">
        <v>2532</v>
      </c>
      <c r="B2593" s="138">
        <f>'Acct Summary 7-8'!F6</f>
        <v>79874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205736</v>
      </c>
      <c r="C2595" s="2" t="s">
        <v>573</v>
      </c>
      <c r="D2595" s="2" t="str">
        <f t="shared" si="39"/>
        <v>Error?</v>
      </c>
    </row>
    <row r="2596" spans="1:4" x14ac:dyDescent="0.2">
      <c r="A2596" s="5">
        <v>2535</v>
      </c>
      <c r="B2596" s="138">
        <f>'Acct Summary 7-8'!F13</f>
        <v>148113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45174</v>
      </c>
      <c r="C2599" s="2" t="s">
        <v>573</v>
      </c>
      <c r="D2599" s="2" t="str">
        <f t="shared" si="39"/>
        <v>Error?</v>
      </c>
    </row>
    <row r="2600" spans="1:4" x14ac:dyDescent="0.2">
      <c r="A2600" s="5">
        <v>2539</v>
      </c>
      <c r="B2600" s="138">
        <f>'Acct Summary 7-8'!F17</f>
        <v>193287</v>
      </c>
      <c r="C2600" s="2" t="s">
        <v>573</v>
      </c>
      <c r="D2600" s="2" t="str">
        <f t="shared" si="39"/>
        <v>Error?</v>
      </c>
    </row>
    <row r="2601" spans="1:4" x14ac:dyDescent="0.2">
      <c r="A2601" s="5">
        <v>2540</v>
      </c>
      <c r="B2601" s="138">
        <f>'Acct Summary 7-8'!F20</f>
        <v>12449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188762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188762</v>
      </c>
      <c r="C2606" s="2" t="s">
        <v>573</v>
      </c>
      <c r="D2606" s="2" t="str">
        <f t="shared" si="39"/>
        <v>Error?</v>
      </c>
    </row>
    <row r="2607" spans="1:4" x14ac:dyDescent="0.2">
      <c r="A2607" s="5">
        <v>2546</v>
      </c>
      <c r="B2607" s="138">
        <f>'Acct Summary 7-8'!G12</f>
        <v>56917</v>
      </c>
      <c r="C2607" s="2" t="s">
        <v>573</v>
      </c>
      <c r="D2607" s="2" t="str">
        <f t="shared" si="39"/>
        <v>Error?</v>
      </c>
    </row>
    <row r="2608" spans="1:4" x14ac:dyDescent="0.2">
      <c r="A2608" s="5">
        <v>2547</v>
      </c>
      <c r="B2608" s="138">
        <f>'Acct Summary 7-8'!G13</f>
        <v>83665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140582</v>
      </c>
      <c r="C2612" s="2" t="s">
        <v>573</v>
      </c>
      <c r="D2612" s="2" t="str">
        <f t="shared" si="39"/>
        <v>Error?</v>
      </c>
    </row>
    <row r="2613" spans="1:4" x14ac:dyDescent="0.2">
      <c r="A2613" s="5">
        <v>2552</v>
      </c>
      <c r="B2613" s="138">
        <f>'Acct Summary 7-8'!G20</f>
        <v>48180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386729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386729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375355</v>
      </c>
      <c r="C2634" s="2" t="s">
        <v>573</v>
      </c>
      <c r="D2634" s="2" t="str">
        <f t="shared" si="40"/>
        <v>Error?</v>
      </c>
    </row>
    <row r="2635" spans="1:4" x14ac:dyDescent="0.2">
      <c r="A2635" s="5">
        <v>2574</v>
      </c>
      <c r="B2635" s="138">
        <f>'Acct Summary 7-8'!E17</f>
        <v>375355</v>
      </c>
      <c r="C2635" s="2" t="s">
        <v>573</v>
      </c>
      <c r="D2635" s="2" t="str">
        <f t="shared" si="40"/>
        <v>Error?</v>
      </c>
    </row>
    <row r="2636" spans="1:4" x14ac:dyDescent="0.2">
      <c r="A2636" s="5">
        <v>2575</v>
      </c>
      <c r="B2636" s="138">
        <f>'Acct Summary 7-8'!E20</f>
        <v>11374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19411</v>
      </c>
      <c r="C2789" s="2" t="s">
        <v>573</v>
      </c>
      <c r="D2789" s="2" t="str">
        <f t="shared" si="42"/>
        <v>Error?</v>
      </c>
    </row>
    <row r="2790" spans="1:4" x14ac:dyDescent="0.2">
      <c r="A2790" s="5">
        <v>2729</v>
      </c>
      <c r="B2790" s="138">
        <f>'Expenditures 15-22'!E102</f>
        <v>19411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76598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105353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76598</v>
      </c>
      <c r="D2912" s="2" t="str">
        <f t="shared" si="44"/>
        <v>Error?</v>
      </c>
    </row>
    <row r="2913" spans="1:4" x14ac:dyDescent="0.2">
      <c r="A2913" s="5">
        <v>2852</v>
      </c>
      <c r="B2913" s="138">
        <f>'Assets-Liab 5-6'!I41</f>
        <v>76598</v>
      </c>
      <c r="C2913" s="2" t="s">
        <v>573</v>
      </c>
      <c r="D2913" s="2" t="str">
        <f t="shared" si="44"/>
        <v>Error?</v>
      </c>
    </row>
    <row r="2914" spans="1:4" x14ac:dyDescent="0.2">
      <c r="A2914" s="5">
        <v>2853</v>
      </c>
      <c r="B2914" s="138">
        <f>'Assets-Liab 5-6'!L33</f>
        <v>105353</v>
      </c>
      <c r="D2914" s="2" t="str">
        <f t="shared" si="44"/>
        <v>Error?</v>
      </c>
    </row>
    <row r="2915" spans="1:4" x14ac:dyDescent="0.2">
      <c r="A2915" s="10">
        <v>2854</v>
      </c>
      <c r="D2915" s="2" t="str">
        <f t="shared" si="44"/>
        <v>OK</v>
      </c>
    </row>
    <row r="2916" spans="1:4" x14ac:dyDescent="0.2">
      <c r="A2916" s="5">
        <v>2855</v>
      </c>
      <c r="B2916" s="138">
        <f>'Assets-Liab 5-6'!L34</f>
        <v>105353</v>
      </c>
      <c r="C2916" s="2" t="s">
        <v>573</v>
      </c>
      <c r="D2916" s="2" t="str">
        <f t="shared" si="44"/>
        <v>Error?</v>
      </c>
    </row>
    <row r="2917" spans="1:4" x14ac:dyDescent="0.2">
      <c r="A2917" s="5">
        <v>2856</v>
      </c>
      <c r="B2917" s="138">
        <f>'Assets-Liab 5-6'!L41</f>
        <v>105353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19411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268271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287682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98749</v>
      </c>
      <c r="D3055" s="2" t="str">
        <f t="shared" si="46"/>
        <v>Error?</v>
      </c>
    </row>
    <row r="3056" spans="1:4" x14ac:dyDescent="0.2">
      <c r="A3056" s="5">
        <v>2995</v>
      </c>
      <c r="B3056" s="138">
        <f>'Expenditures 15-22'!D10</f>
        <v>74118</v>
      </c>
      <c r="D3056" s="2" t="str">
        <f t="shared" si="46"/>
        <v>Error?</v>
      </c>
    </row>
    <row r="3057" spans="1:4" x14ac:dyDescent="0.2">
      <c r="A3057" s="5">
        <v>2996</v>
      </c>
      <c r="B3057" s="138">
        <f>'Expenditures 15-22'!E10</f>
        <v>769</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173636</v>
      </c>
      <c r="C3062" s="2" t="s">
        <v>573</v>
      </c>
      <c r="D3062" s="2" t="str">
        <f t="shared" si="46"/>
        <v>Error?</v>
      </c>
    </row>
    <row r="3063" spans="1:4" x14ac:dyDescent="0.2">
      <c r="A3063" s="10">
        <v>3002</v>
      </c>
      <c r="D3063" s="2" t="str">
        <f t="shared" si="46"/>
        <v>OK</v>
      </c>
    </row>
    <row r="3064" spans="1:4" x14ac:dyDescent="0.2">
      <c r="A3064" s="5">
        <v>3003</v>
      </c>
      <c r="B3064" s="138">
        <f>'Expenditures 15-22'!D219</f>
        <v>23365</v>
      </c>
      <c r="D3064" s="2" t="str">
        <f t="shared" si="46"/>
        <v>Error?</v>
      </c>
    </row>
    <row r="3065" spans="1:4" x14ac:dyDescent="0.2">
      <c r="A3065" s="5">
        <v>3004</v>
      </c>
      <c r="B3065" s="138">
        <f>'Expenditures 15-22'!K219</f>
        <v>23365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48768</v>
      </c>
      <c r="C3225" s="2" t="s">
        <v>573</v>
      </c>
      <c r="D3225" s="2" t="str">
        <f t="shared" si="49"/>
        <v>Error?</v>
      </c>
    </row>
    <row r="3226" spans="1:4" x14ac:dyDescent="0.2">
      <c r="A3226" s="5">
        <v>3165</v>
      </c>
      <c r="B3226" s="138">
        <f>'Acct Summary 7-8'!I8</f>
        <v>48768</v>
      </c>
      <c r="C3226" s="2" t="s">
        <v>573</v>
      </c>
      <c r="D3226" s="2" t="str">
        <f t="shared" si="49"/>
        <v>Error?</v>
      </c>
    </row>
    <row r="3227" spans="1:4" x14ac:dyDescent="0.2">
      <c r="A3227" s="5">
        <v>3166</v>
      </c>
      <c r="B3227" s="138">
        <f>'Acct Summary 7-8'!I20</f>
        <v>48768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185389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50309</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50309</v>
      </c>
      <c r="C3238" s="2" t="s">
        <v>573</v>
      </c>
      <c r="D3238" s="2" t="str">
        <f t="shared" si="49"/>
        <v>Error?</v>
      </c>
    </row>
    <row r="3239" spans="1:4" x14ac:dyDescent="0.2">
      <c r="A3239" s="5">
        <v>3178</v>
      </c>
      <c r="B3239" s="138">
        <f>'Acct Summary 7-8'!D78</f>
        <v>29520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12449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48180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11374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125309</v>
      </c>
      <c r="C3318" s="2" t="s">
        <v>573</v>
      </c>
      <c r="D3318" s="2" t="str">
        <f t="shared" si="50"/>
        <v>Error?</v>
      </c>
    </row>
    <row r="3319" spans="1:4" x14ac:dyDescent="0.2">
      <c r="A3319" s="5">
        <v>3258</v>
      </c>
      <c r="B3319" s="138">
        <f>'Acct Summary 7-8'!I77</f>
        <v>-125309</v>
      </c>
      <c r="C3319" s="2" t="s">
        <v>573</v>
      </c>
      <c r="D3319" s="2" t="str">
        <f t="shared" si="50"/>
        <v>Error?</v>
      </c>
    </row>
    <row r="3320" spans="1:4" x14ac:dyDescent="0.2">
      <c r="A3320" s="5">
        <v>3259</v>
      </c>
      <c r="B3320" s="138">
        <f>'Acct Summary 7-8'!I78</f>
        <v>-76541</v>
      </c>
      <c r="C3320" s="2" t="s">
        <v>573</v>
      </c>
      <c r="D3320" s="2" t="str">
        <f t="shared" si="50"/>
        <v>Error?</v>
      </c>
    </row>
    <row r="3321" spans="1:4" x14ac:dyDescent="0.2">
      <c r="A3321" s="5">
        <v>3260</v>
      </c>
      <c r="B3321" s="138">
        <f>'Acct Summary 7-8'!I79</f>
        <v>153139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76598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293386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895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1612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296167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23476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23476</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1105547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55458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131446</v>
      </c>
      <c r="D3417" s="2" t="str">
        <f t="shared" si="52"/>
        <v>Error?</v>
      </c>
    </row>
    <row r="3418" spans="1:4" x14ac:dyDescent="0.2">
      <c r="A3418" s="10">
        <v>3357</v>
      </c>
      <c r="D3418" s="2" t="str">
        <f t="shared" si="52"/>
        <v>OK</v>
      </c>
    </row>
    <row r="3419" spans="1:4" x14ac:dyDescent="0.2">
      <c r="A3419" s="5">
        <v>3358</v>
      </c>
      <c r="B3419" s="138">
        <f>'Assets-Liab 5-6'!F4</f>
        <v>341586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449070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76598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105353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64655</v>
      </c>
      <c r="C3446" s="2" t="s">
        <v>573</v>
      </c>
      <c r="D3446" s="2" t="str">
        <f t="shared" si="52"/>
        <v>Error?</v>
      </c>
    </row>
    <row r="3447" spans="1:4" x14ac:dyDescent="0.2">
      <c r="A3447" s="5">
        <v>3386</v>
      </c>
      <c r="B3447" s="138">
        <f>'Tax Sched 23'!D16</f>
        <v>64655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64478</v>
      </c>
      <c r="C3449" s="2" t="s">
        <v>573</v>
      </c>
      <c r="D3449" s="2" t="str">
        <f t="shared" si="52"/>
        <v>Error?</v>
      </c>
    </row>
    <row r="3450" spans="1:4" x14ac:dyDescent="0.2">
      <c r="A3450" s="5">
        <v>3389</v>
      </c>
      <c r="B3450" s="138">
        <f>'Tax Sched 23'!E16</f>
        <v>64478</v>
      </c>
      <c r="D3450" s="2" t="str">
        <f t="shared" si="52"/>
        <v>Error?</v>
      </c>
    </row>
    <row r="3451" spans="1:4" x14ac:dyDescent="0.2">
      <c r="A3451" s="5">
        <v>3390</v>
      </c>
      <c r="B3451" s="138">
        <f>'Cap Outlay Deprec 26'!C15</f>
        <v>608289</v>
      </c>
      <c r="D3451" s="2" t="str">
        <f t="shared" si="52"/>
        <v>Error?</v>
      </c>
    </row>
    <row r="3452" spans="1:4" x14ac:dyDescent="0.2">
      <c r="A3452" s="5">
        <v>3391</v>
      </c>
      <c r="B3452" s="138">
        <f>'Cap Outlay Deprec 26'!D15</f>
        <v>1891714</v>
      </c>
      <c r="D3452" s="2" t="str">
        <f t="shared" si="52"/>
        <v>Error?</v>
      </c>
    </row>
    <row r="3453" spans="1:4" x14ac:dyDescent="0.2">
      <c r="A3453" s="5">
        <v>3392</v>
      </c>
      <c r="B3453" s="138">
        <f>'Cap Outlay Deprec 26'!E15</f>
        <v>2500003</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51348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51348</v>
      </c>
      <c r="C3571" s="2" t="s">
        <v>573</v>
      </c>
      <c r="D3571" s="2" t="str">
        <f t="shared" si="54"/>
        <v>Error?</v>
      </c>
    </row>
    <row r="3572" spans="1:4" x14ac:dyDescent="0.2">
      <c r="A3572" s="5">
        <v>3511</v>
      </c>
      <c r="B3572" s="138">
        <f>'Acct Summary 7-8'!K13</f>
        <v>1915546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1915546</v>
      </c>
      <c r="C3575" s="2" t="s">
        <v>573</v>
      </c>
      <c r="D3575" s="2" t="str">
        <f t="shared" si="54"/>
        <v>Error?</v>
      </c>
    </row>
    <row r="3576" spans="1:4" x14ac:dyDescent="0.2">
      <c r="A3576" s="5">
        <v>3515</v>
      </c>
      <c r="B3576" s="138">
        <f>'Acct Summary 7-8'!K20</f>
        <v>-1864198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75000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75000</v>
      </c>
      <c r="C3587" s="2" t="s">
        <v>573</v>
      </c>
      <c r="D3587" s="2" t="str">
        <f t="shared" si="55"/>
        <v>Error?</v>
      </c>
    </row>
    <row r="3588" spans="1:4" x14ac:dyDescent="0.2">
      <c r="A3588" s="5">
        <v>3527</v>
      </c>
      <c r="B3588" s="138">
        <f>'Acct Summary 7-8'!K78</f>
        <v>-1789198</v>
      </c>
      <c r="C3588" s="2" t="s">
        <v>573</v>
      </c>
      <c r="D3588" s="2" t="str">
        <f t="shared" si="55"/>
        <v>Error?</v>
      </c>
    </row>
    <row r="3589" spans="1:4" x14ac:dyDescent="0.2">
      <c r="A3589" s="5">
        <v>3528</v>
      </c>
      <c r="B3589" s="138">
        <f>'Acct Summary 7-8'!K79</f>
        <v>1789198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7146</v>
      </c>
      <c r="D3632" s="2" t="str">
        <f t="shared" si="55"/>
        <v>Error?</v>
      </c>
    </row>
    <row r="3633" spans="1:4" x14ac:dyDescent="0.2">
      <c r="A3633" s="5">
        <v>3572</v>
      </c>
      <c r="B3633" s="138">
        <f>'Expenditures 15-22'!E350</f>
        <v>7146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7146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12518</v>
      </c>
      <c r="D3639" s="2" t="str">
        <f t="shared" si="55"/>
        <v>Error?</v>
      </c>
    </row>
    <row r="3640" spans="1:4" x14ac:dyDescent="0.2">
      <c r="A3640" s="5">
        <v>3579</v>
      </c>
      <c r="B3640" s="138">
        <f>'Expenditures 15-22'!F350</f>
        <v>12518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12518</v>
      </c>
      <c r="C3642" s="2" t="s">
        <v>573</v>
      </c>
      <c r="D3642" s="2" t="str">
        <f t="shared" si="55"/>
        <v>Error?</v>
      </c>
    </row>
    <row r="3643" spans="1:4" x14ac:dyDescent="0.2">
      <c r="A3643" s="5">
        <v>3582</v>
      </c>
      <c r="B3643" s="138">
        <f>'Expenditures 15-22'!F367</f>
        <v>12518</v>
      </c>
      <c r="C3643" s="2" t="s">
        <v>573</v>
      </c>
      <c r="D3643" s="2" t="str">
        <f t="shared" si="55"/>
        <v>Error?</v>
      </c>
    </row>
    <row r="3644" spans="1:4" x14ac:dyDescent="0.2">
      <c r="A3644" s="10">
        <v>3583</v>
      </c>
      <c r="D3644" s="2" t="str">
        <f t="shared" si="55"/>
        <v>OK</v>
      </c>
    </row>
    <row r="3645" spans="1:4" x14ac:dyDescent="0.2">
      <c r="A3645" s="5">
        <v>3584</v>
      </c>
      <c r="B3645" s="138">
        <f>'Expenditures 15-22'!G348</f>
        <v>1895882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1895882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1895882</v>
      </c>
      <c r="C3649" s="2" t="s">
        <v>573</v>
      </c>
      <c r="D3649" s="2" t="str">
        <f t="shared" si="56"/>
        <v>Error?</v>
      </c>
    </row>
    <row r="3650" spans="1:4" x14ac:dyDescent="0.2">
      <c r="A3650" s="5">
        <v>3589</v>
      </c>
      <c r="B3650" s="138">
        <f>'Expenditures 15-22'!G367</f>
        <v>1895882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1895882</v>
      </c>
      <c r="C3668" s="2" t="s">
        <v>573</v>
      </c>
      <c r="D3668" s="2" t="str">
        <f t="shared" si="56"/>
        <v>Error?</v>
      </c>
    </row>
    <row r="3669" spans="1:4" x14ac:dyDescent="0.2">
      <c r="A3669" s="5">
        <v>3608</v>
      </c>
      <c r="B3669" s="138">
        <f>'Expenditures 15-22'!K349</f>
        <v>19664</v>
      </c>
      <c r="C3669" s="2" t="s">
        <v>573</v>
      </c>
      <c r="D3669" s="2" t="str">
        <f t="shared" si="56"/>
        <v>Error?</v>
      </c>
    </row>
    <row r="3670" spans="1:4" x14ac:dyDescent="0.2">
      <c r="A3670" s="5">
        <v>3609</v>
      </c>
      <c r="B3670" s="138">
        <f>'Expenditures 15-22'!K350</f>
        <v>1915546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1915546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1915546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-1864198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48089</v>
      </c>
      <c r="C3725" s="2" t="s">
        <v>573</v>
      </c>
      <c r="D3725" s="2" t="str">
        <f t="shared" si="57"/>
        <v>Error?</v>
      </c>
    </row>
    <row r="3726" spans="1:4" x14ac:dyDescent="0.2">
      <c r="A3726" s="5">
        <v>3665</v>
      </c>
      <c r="B3726" s="138">
        <f>'Tax Sched 23'!D13</f>
        <v>48089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49813</v>
      </c>
      <c r="C3728" s="2" t="s">
        <v>573</v>
      </c>
      <c r="D3728" s="2" t="str">
        <f t="shared" si="57"/>
        <v>Error?</v>
      </c>
    </row>
    <row r="3729" spans="1:4" x14ac:dyDescent="0.2">
      <c r="A3729" s="5">
        <v>3668</v>
      </c>
      <c r="B3729" s="138">
        <f>'Tax Sched 23'!E13</f>
        <v>49813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1349805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4985637</v>
      </c>
      <c r="C4122" s="2" t="s">
        <v>573</v>
      </c>
      <c r="D4122" s="2" t="str">
        <f t="shared" si="63"/>
        <v>Error?</v>
      </c>
    </row>
    <row r="4123" spans="1:4" x14ac:dyDescent="0.2">
      <c r="A4123" s="5">
        <v>4062</v>
      </c>
      <c r="B4123" s="138">
        <f>'Acct Summary 7-8'!D10</f>
        <v>491846</v>
      </c>
      <c r="C4123" s="2" t="s">
        <v>573</v>
      </c>
      <c r="D4123" s="2" t="str">
        <f t="shared" si="63"/>
        <v>Error?</v>
      </c>
    </row>
    <row r="4124" spans="1:4" x14ac:dyDescent="0.2">
      <c r="A4124" s="5">
        <v>4063</v>
      </c>
      <c r="B4124" s="138">
        <f>'Acct Summary 7-8'!E10</f>
        <v>386729</v>
      </c>
      <c r="C4124" s="2" t="s">
        <v>573</v>
      </c>
      <c r="D4124" s="2" t="str">
        <f t="shared" si="63"/>
        <v>Error?</v>
      </c>
    </row>
    <row r="4125" spans="1:4" x14ac:dyDescent="0.2">
      <c r="A4125" s="5">
        <v>4064</v>
      </c>
      <c r="B4125" s="138">
        <f>'Acct Summary 7-8'!F10</f>
        <v>205736</v>
      </c>
      <c r="C4125" s="2" t="s">
        <v>573</v>
      </c>
      <c r="D4125" s="2" t="str">
        <f t="shared" si="63"/>
        <v>Error?</v>
      </c>
    </row>
    <row r="4126" spans="1:4" x14ac:dyDescent="0.2">
      <c r="A4126" s="5">
        <v>4065</v>
      </c>
      <c r="B4126" s="138">
        <f>'Acct Summary 7-8'!G10</f>
        <v>188762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48768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51348</v>
      </c>
      <c r="C4130" s="2" t="s">
        <v>573</v>
      </c>
      <c r="D4130" s="2" t="str">
        <f t="shared" si="63"/>
        <v>Error?</v>
      </c>
    </row>
    <row r="4131" spans="1:4" x14ac:dyDescent="0.2">
      <c r="A4131" s="5">
        <v>4070</v>
      </c>
      <c r="B4131" s="138">
        <f>'Acct Summary 7-8'!C18</f>
        <v>1349805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4800248</v>
      </c>
      <c r="C4136" s="2" t="s">
        <v>573</v>
      </c>
      <c r="D4136" s="2" t="str">
        <f t="shared" si="63"/>
        <v>Error?</v>
      </c>
    </row>
    <row r="4137" spans="1:4" x14ac:dyDescent="0.2">
      <c r="A4137" s="5">
        <v>4076</v>
      </c>
      <c r="B4137" s="138">
        <f>'Acct Summary 7-8'!D19</f>
        <v>512635</v>
      </c>
      <c r="C4137" s="2" t="s">
        <v>573</v>
      </c>
      <c r="D4137" s="2" t="str">
        <f t="shared" si="63"/>
        <v>Error?</v>
      </c>
    </row>
    <row r="4138" spans="1:4" x14ac:dyDescent="0.2">
      <c r="A4138" s="5">
        <v>4077</v>
      </c>
      <c r="B4138" s="138">
        <f>'Acct Summary 7-8'!E19</f>
        <v>375355</v>
      </c>
      <c r="C4138" s="2" t="s">
        <v>573</v>
      </c>
      <c r="D4138" s="2" t="str">
        <f t="shared" si="63"/>
        <v>Error?</v>
      </c>
    </row>
    <row r="4139" spans="1:4" x14ac:dyDescent="0.2">
      <c r="A4139" s="5">
        <v>4078</v>
      </c>
      <c r="B4139" s="138">
        <f>'Acct Summary 7-8'!F19</f>
        <v>193287</v>
      </c>
      <c r="C4139" s="2" t="s">
        <v>573</v>
      </c>
      <c r="D4139" s="2" t="str">
        <f t="shared" si="63"/>
        <v>Error?</v>
      </c>
    </row>
    <row r="4140" spans="1:4" x14ac:dyDescent="0.2">
      <c r="A4140" s="5">
        <v>4079</v>
      </c>
      <c r="B4140" s="138">
        <f>'Acct Summary 7-8'!G19</f>
        <v>140582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1915546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2161626</v>
      </c>
      <c r="C4171" s="2" t="s">
        <v>573</v>
      </c>
      <c r="D4171" s="2" t="str">
        <f t="shared" si="64"/>
        <v>Error?</v>
      </c>
    </row>
    <row r="4172" spans="1:4" x14ac:dyDescent="0.2">
      <c r="A4172" s="5">
        <v>4111</v>
      </c>
      <c r="B4172" s="138">
        <f>'Short-Term Long-Term Debt 24'!J49</f>
        <v>2030180</v>
      </c>
      <c r="C4172" s="2" t="s">
        <v>573</v>
      </c>
      <c r="D4172" s="2" t="str">
        <f t="shared" si="64"/>
        <v>Error?</v>
      </c>
    </row>
    <row r="4173" spans="1:4" x14ac:dyDescent="0.2">
      <c r="A4173" s="5">
        <v>4112</v>
      </c>
      <c r="B4173" s="138">
        <f>'Short-Term Long-Term Debt 24'!H49</f>
        <v>350062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45174</v>
      </c>
      <c r="D4210" s="2" t="str">
        <f t="shared" si="64"/>
        <v>Error?</v>
      </c>
    </row>
    <row r="4211" spans="1:4" x14ac:dyDescent="0.2">
      <c r="A4211" s="5">
        <v>4150</v>
      </c>
      <c r="B4211" s="138">
        <f>'Expenditures 15-22'!K206</f>
        <v>45174</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573</v>
      </c>
      <c r="D4265" s="2" t="str">
        <f t="shared" si="65"/>
        <v>Error?</v>
      </c>
      <c r="E4265" s="128"/>
    </row>
    <row r="4266" spans="1:5" x14ac:dyDescent="0.2">
      <c r="A4266" s="12">
        <v>4205</v>
      </c>
      <c r="B4266" s="138">
        <f>('FP Info 3'!F10)*100000</f>
        <v>219</v>
      </c>
      <c r="C4266" s="2" t="s">
        <v>573</v>
      </c>
      <c r="D4266" s="2" t="str">
        <f t="shared" si="65"/>
        <v>Error?</v>
      </c>
      <c r="E4266" s="128"/>
    </row>
    <row r="4267" spans="1:5" x14ac:dyDescent="0.2">
      <c r="A4267" s="12">
        <v>4206</v>
      </c>
      <c r="B4267" s="138">
        <f>('FP Info 3'!H10)*100000</f>
        <v>105.10000000000001</v>
      </c>
      <c r="C4267" s="2" t="s">
        <v>573</v>
      </c>
      <c r="D4267" s="2" t="str">
        <f t="shared" si="65"/>
        <v>Error?</v>
      </c>
      <c r="E4267" s="128"/>
    </row>
    <row r="4268" spans="1:5" x14ac:dyDescent="0.2">
      <c r="A4268" s="12">
        <v>4207</v>
      </c>
      <c r="B4268" s="138">
        <f>('FP Info 3'!J10)*100000</f>
        <v>1244</v>
      </c>
      <c r="C4268" s="2" t="s">
        <v>573</v>
      </c>
      <c r="D4268" s="2" t="str">
        <f t="shared" si="65"/>
        <v>Error?</v>
      </c>
    </row>
    <row r="4269" spans="1:5" x14ac:dyDescent="0.2">
      <c r="A4269" s="12">
        <v>4208</v>
      </c>
      <c r="B4269" s="138">
        <f>'FP Info 3'!J16</f>
        <v>1579189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27708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18048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15668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3134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100871338</v>
      </c>
      <c r="D4995" s="2" t="str">
        <f t="shared" si="77"/>
        <v>Error?</v>
      </c>
    </row>
    <row r="4996" spans="1:4" x14ac:dyDescent="0.2">
      <c r="A4996" s="12">
        <v>4935</v>
      </c>
      <c r="B4996" s="138">
        <f>'FP Info 3'!H31</f>
        <v>6960122.3220000006</v>
      </c>
      <c r="D4996" s="2" t="str">
        <f t="shared" si="77"/>
        <v>Error?</v>
      </c>
    </row>
    <row r="4997" spans="1:4" x14ac:dyDescent="0.2">
      <c r="A4997" s="12">
        <v>4936</v>
      </c>
      <c r="B4997" s="138">
        <f>'FP Info 3'!H37</f>
        <v>2161626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48089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884269</v>
      </c>
      <c r="D5061" s="2" t="str">
        <f t="shared" si="78"/>
        <v>Error?</v>
      </c>
    </row>
    <row r="5062" spans="1:4" x14ac:dyDescent="0.2">
      <c r="A5062" s="10">
        <v>5001</v>
      </c>
      <c r="D5062" s="2" t="str">
        <f t="shared" si="78"/>
        <v>OK</v>
      </c>
    </row>
    <row r="5063" spans="1:4" x14ac:dyDescent="0.2">
      <c r="A5063" s="5">
        <v>5002</v>
      </c>
      <c r="B5063" s="138">
        <f>'Revenues 9-14'!C7</f>
        <v>19236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951594</v>
      </c>
      <c r="C5066" s="2" t="s">
        <v>573</v>
      </c>
      <c r="D5066" s="2" t="str">
        <f t="shared" si="78"/>
        <v>Error?</v>
      </c>
    </row>
    <row r="5067" spans="1:4" x14ac:dyDescent="0.2">
      <c r="A5067" s="5">
        <v>5006</v>
      </c>
      <c r="B5067" s="138">
        <f>'Revenues 9-14'!C14</f>
        <v>6740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95540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102280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6784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6784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4704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10535</v>
      </c>
      <c r="C5096" s="2" t="s">
        <v>573</v>
      </c>
      <c r="D5096" s="2" t="str">
        <f t="shared" si="78"/>
        <v>Error?</v>
      </c>
    </row>
    <row r="5097" spans="1:4" x14ac:dyDescent="0.2">
      <c r="A5097" s="5">
        <v>5036</v>
      </c>
      <c r="B5097" s="138">
        <f>'Revenues 9-14'!C77</f>
        <v>30059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17430</v>
      </c>
      <c r="D5101" s="2" t="str">
        <f t="shared" si="78"/>
        <v>Error?</v>
      </c>
    </row>
    <row r="5102" spans="1:4" x14ac:dyDescent="0.2">
      <c r="A5102" s="5">
        <v>5041</v>
      </c>
      <c r="B5102" s="138">
        <f>'Revenues 9-14'!C82</f>
        <v>47489</v>
      </c>
      <c r="C5102" s="2" t="s">
        <v>573</v>
      </c>
      <c r="D5102" s="2" t="str">
        <f t="shared" si="78"/>
        <v>Error?</v>
      </c>
    </row>
    <row r="5103" spans="1:4" x14ac:dyDescent="0.2">
      <c r="A5103" s="5">
        <v>5042</v>
      </c>
      <c r="B5103" s="138">
        <f>'Revenues 9-14'!C84</f>
        <v>25932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25932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5004</v>
      </c>
      <c r="D5114" s="2" t="str">
        <f t="shared" si="78"/>
        <v>Error?</v>
      </c>
    </row>
    <row r="5115" spans="1:4" x14ac:dyDescent="0.2">
      <c r="A5115" s="5">
        <v>5054</v>
      </c>
      <c r="B5115" s="138">
        <f>'Revenues 9-14'!C98</f>
        <v>1241</v>
      </c>
      <c r="D5115" s="2" t="str">
        <f t="shared" si="78"/>
        <v>Error?</v>
      </c>
    </row>
    <row r="5116" spans="1:4" x14ac:dyDescent="0.2">
      <c r="A5116" s="5">
        <v>5055</v>
      </c>
      <c r="B5116" s="138">
        <f>'Revenues 9-14'!C99</f>
        <v>1499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6967</v>
      </c>
      <c r="D5119" s="2" t="str">
        <f t="shared" ref="D5119:D5182" si="79">IF(ISBLANK(B5119),"OK",IF(A5119-B5119=0,"OK","Error?"))</f>
        <v>Error?</v>
      </c>
    </row>
    <row r="5120" spans="1:4" x14ac:dyDescent="0.2">
      <c r="A5120" s="5">
        <v>5059</v>
      </c>
      <c r="B5120" s="138">
        <f>'Revenues 9-14'!C108</f>
        <v>14711</v>
      </c>
      <c r="C5120" s="2" t="s">
        <v>573</v>
      </c>
      <c r="D5120" s="2" t="str">
        <f t="shared" si="79"/>
        <v>Error?</v>
      </c>
    </row>
    <row r="5121" spans="1:4" x14ac:dyDescent="0.2">
      <c r="A5121" s="5">
        <v>5060</v>
      </c>
      <c r="B5121" s="138">
        <f>'Revenues 9-14'!C109</f>
        <v>1159325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2172894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2172894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40125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72195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635</v>
      </c>
      <c r="D5167" s="2" t="str">
        <f t="shared" si="79"/>
        <v>Error?</v>
      </c>
    </row>
    <row r="5168" spans="1:4" x14ac:dyDescent="0.2">
      <c r="A5168" s="5">
        <v>5107</v>
      </c>
      <c r="B5168" s="138">
        <f>'Revenues 9-14'!C148</f>
        <v>24238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100202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2273096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25258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11991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37249</v>
      </c>
      <c r="C5246" s="2" t="s">
        <v>573</v>
      </c>
      <c r="D5246" s="2" t="str">
        <f t="shared" si="80"/>
        <v>Error?</v>
      </c>
    </row>
    <row r="5247" spans="1:4" x14ac:dyDescent="0.2">
      <c r="A5247" s="5">
        <v>5186</v>
      </c>
      <c r="B5247" s="138">
        <f>'Revenues 9-14'!C200</f>
        <v>104578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18048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104578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160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160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203411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203411</v>
      </c>
      <c r="C5326" s="2" t="s">
        <v>573</v>
      </c>
      <c r="D5326" s="2" t="str">
        <f t="shared" si="82"/>
        <v>Error?</v>
      </c>
    </row>
    <row r="5327" spans="1:5" x14ac:dyDescent="0.2">
      <c r="A5327" s="5">
        <v>5266</v>
      </c>
      <c r="B5327" s="138">
        <f>'Revenues 9-14'!C268</f>
        <v>3635832</v>
      </c>
      <c r="C5327" s="2" t="s">
        <v>573</v>
      </c>
      <c r="D5327" s="2" t="str">
        <f t="shared" si="82"/>
        <v>Error?</v>
      </c>
    </row>
    <row r="5328" spans="1:5" x14ac:dyDescent="0.2">
      <c r="A5328" s="5">
        <v>5267</v>
      </c>
      <c r="B5328" s="138">
        <f>'Revenues 9-14'!D5</f>
        <v>240447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240447</v>
      </c>
      <c r="C5334" s="2" t="s">
        <v>573</v>
      </c>
      <c r="D5334" s="2" t="str">
        <f t="shared" si="82"/>
        <v>Error?</v>
      </c>
    </row>
    <row r="5335" spans="1:4" x14ac:dyDescent="0.2">
      <c r="A5335" s="5">
        <v>5274</v>
      </c>
      <c r="B5335" s="138">
        <f>'Revenues 9-14'!D14</f>
        <v>1702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1702</v>
      </c>
      <c r="C5339" s="2" t="s">
        <v>573</v>
      </c>
      <c r="D5339" s="2" t="str">
        <f t="shared" si="82"/>
        <v>Error?</v>
      </c>
    </row>
    <row r="5340" spans="1:4" x14ac:dyDescent="0.2">
      <c r="A5340" s="5">
        <v>5279</v>
      </c>
      <c r="B5340" s="138">
        <f>'Revenues 9-14'!D65</f>
        <v>228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32180</v>
      </c>
      <c r="D5354" s="2" t="str">
        <f t="shared" si="82"/>
        <v>Error?</v>
      </c>
    </row>
    <row r="5355" spans="1:4" x14ac:dyDescent="0.2">
      <c r="A5355" s="5">
        <v>5294</v>
      </c>
      <c r="B5355" s="138">
        <f>'Revenues 9-14'!D108</f>
        <v>32180</v>
      </c>
      <c r="C5355" s="2" t="s">
        <v>573</v>
      </c>
      <c r="D5355" s="2" t="str">
        <f t="shared" si="82"/>
        <v>Error?</v>
      </c>
    </row>
    <row r="5356" spans="1:4" x14ac:dyDescent="0.2">
      <c r="A5356" s="5">
        <v>5295</v>
      </c>
      <c r="B5356" s="138">
        <f>'Revenues 9-14'!D109</f>
        <v>274557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217289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217289</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217289</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491846</v>
      </c>
      <c r="C5508" s="2" t="s">
        <v>573</v>
      </c>
      <c r="D5508" s="2" t="str">
        <f t="shared" si="85"/>
        <v>Error?</v>
      </c>
    </row>
    <row r="5509" spans="1:4" x14ac:dyDescent="0.2">
      <c r="A5509" s="5">
        <v>5448</v>
      </c>
      <c r="B5509" s="138">
        <f>'Revenues 9-14'!E5</f>
        <v>372503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372503</v>
      </c>
      <c r="C5513" s="2" t="s">
        <v>573</v>
      </c>
      <c r="D5513" s="2" t="str">
        <f t="shared" si="85"/>
        <v>Error?</v>
      </c>
    </row>
    <row r="5514" spans="1:4" x14ac:dyDescent="0.2">
      <c r="A5514" s="5">
        <v>5453</v>
      </c>
      <c r="B5514" s="138">
        <f>'Revenues 9-14'!E14</f>
        <v>2633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2633</v>
      </c>
      <c r="C5518" s="2" t="s">
        <v>573</v>
      </c>
      <c r="D5518" s="2" t="str">
        <f t="shared" si="85"/>
        <v>Error?</v>
      </c>
    </row>
    <row r="5519" spans="1:4" x14ac:dyDescent="0.2">
      <c r="A5519" s="5">
        <v>5458</v>
      </c>
      <c r="B5519" s="138">
        <f>'Revenues 9-14'!E65</f>
        <v>402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402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11191</v>
      </c>
      <c r="C5526" s="2" t="s">
        <v>573</v>
      </c>
      <c r="D5526" s="2" t="str">
        <f t="shared" si="85"/>
        <v>Error?</v>
      </c>
    </row>
    <row r="5527" spans="1:4" x14ac:dyDescent="0.2">
      <c r="A5527" s="5">
        <v>5466</v>
      </c>
      <c r="B5527" s="138">
        <f>'Revenues 9-14'!E109</f>
        <v>386729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386729</v>
      </c>
      <c r="C5552" s="2" t="s">
        <v>573</v>
      </c>
      <c r="D5552" s="2" t="str">
        <f t="shared" si="85"/>
        <v>Error?</v>
      </c>
    </row>
    <row r="5553" spans="1:4" x14ac:dyDescent="0.2">
      <c r="A5553" s="5">
        <v>5492</v>
      </c>
      <c r="B5553" s="138">
        <f>'Revenues 9-14'!F5</f>
        <v>115415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115415</v>
      </c>
      <c r="C5557" s="2" t="s">
        <v>573</v>
      </c>
      <c r="D5557" s="2" t="str">
        <f t="shared" si="85"/>
        <v>Error?</v>
      </c>
    </row>
    <row r="5558" spans="1:4" x14ac:dyDescent="0.2">
      <c r="A5558" s="5">
        <v>5497</v>
      </c>
      <c r="B5558" s="138">
        <f>'Revenues 9-14'!F14</f>
        <v>817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817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1056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1056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8244</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120</v>
      </c>
      <c r="D5586" s="2" t="str">
        <f t="shared" si="86"/>
        <v>Error?</v>
      </c>
    </row>
    <row r="5587" spans="1:4" x14ac:dyDescent="0.2">
      <c r="A5587" s="5">
        <v>5526</v>
      </c>
      <c r="B5587" s="138">
        <f>'Revenues 9-14'!F108</f>
        <v>8574</v>
      </c>
      <c r="C5587" s="2" t="s">
        <v>573</v>
      </c>
      <c r="D5587" s="2" t="str">
        <f t="shared" si="86"/>
        <v>Error?</v>
      </c>
    </row>
    <row r="5588" spans="1:4" x14ac:dyDescent="0.2">
      <c r="A5588" s="5">
        <v>5527</v>
      </c>
      <c r="B5588" s="138">
        <f>'Revenues 9-14'!F109</f>
        <v>125862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27166</v>
      </c>
      <c r="D5615" s="2" t="str">
        <f t="shared" si="86"/>
        <v>Error?</v>
      </c>
    </row>
    <row r="5616" spans="1:4" x14ac:dyDescent="0.2">
      <c r="A5616" s="10">
        <v>5555</v>
      </c>
      <c r="D5616" s="2" t="str">
        <f t="shared" si="86"/>
        <v>OK</v>
      </c>
    </row>
    <row r="5617" spans="1:5" x14ac:dyDescent="0.2">
      <c r="A5617" s="5">
        <v>5556</v>
      </c>
      <c r="B5617" s="138">
        <f>'Revenues 9-14'!F153</f>
        <v>52708</v>
      </c>
      <c r="D5617" s="2" t="str">
        <f t="shared" si="86"/>
        <v>Error?</v>
      </c>
    </row>
    <row r="5618" spans="1:5" x14ac:dyDescent="0.2">
      <c r="A5618" s="5">
        <v>5557</v>
      </c>
      <c r="B5618" s="138">
        <f>'Revenues 9-14'!F155</f>
        <v>79874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79874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79874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205736</v>
      </c>
      <c r="C5720" s="2" t="s">
        <v>573</v>
      </c>
      <c r="D5720" s="2" t="str">
        <f t="shared" si="88"/>
        <v>Error?</v>
      </c>
    </row>
    <row r="5721" spans="1:4" x14ac:dyDescent="0.2">
      <c r="A5721" s="5">
        <v>5660</v>
      </c>
      <c r="B5721" s="138">
        <f>'Revenues 9-14'!G5</f>
        <v>115382</v>
      </c>
      <c r="D5721" s="2" t="str">
        <f t="shared" si="88"/>
        <v>Error?</v>
      </c>
    </row>
    <row r="5722" spans="1:4" x14ac:dyDescent="0.2">
      <c r="A5722" s="5">
        <v>5661</v>
      </c>
      <c r="B5722" s="138">
        <f>'Revenues 9-14'!G7</f>
        <v>0</v>
      </c>
      <c r="D5722" s="2" t="str">
        <f t="shared" si="88"/>
        <v>Error?</v>
      </c>
    </row>
    <row r="5723" spans="1:4" x14ac:dyDescent="0.2">
      <c r="A5723" s="5">
        <v>5662</v>
      </c>
      <c r="B5723" s="138">
        <f>'Revenues 9-14'!G8</f>
        <v>64655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180037</v>
      </c>
      <c r="C5725" s="2" t="s">
        <v>573</v>
      </c>
      <c r="D5725" s="2" t="str">
        <f t="shared" si="88"/>
        <v>Error?</v>
      </c>
    </row>
    <row r="5726" spans="1:4" x14ac:dyDescent="0.2">
      <c r="A5726" s="5">
        <v>5665</v>
      </c>
      <c r="B5726" s="138">
        <f>'Revenues 9-14'!G14</f>
        <v>1273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5990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7263</v>
      </c>
      <c r="C5730" s="2" t="s">
        <v>573</v>
      </c>
      <c r="D5730" s="2" t="str">
        <f t="shared" si="88"/>
        <v>Error?</v>
      </c>
    </row>
    <row r="5731" spans="1:4" x14ac:dyDescent="0.2">
      <c r="A5731" s="5">
        <v>5670</v>
      </c>
      <c r="B5731" s="138">
        <f>'Revenues 9-14'!G65</f>
        <v>1462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1462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188762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48089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48089</v>
      </c>
      <c r="C5918" s="2" t="s">
        <v>573</v>
      </c>
      <c r="D5918" s="2" t="str">
        <f t="shared" si="91"/>
        <v>Error?</v>
      </c>
    </row>
    <row r="5919" spans="1:4" x14ac:dyDescent="0.2">
      <c r="A5919" s="5">
        <v>5858</v>
      </c>
      <c r="B5919" s="138">
        <f>'Revenues 9-14'!I14</f>
        <v>340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340</v>
      </c>
      <c r="C5923" s="2" t="s">
        <v>573</v>
      </c>
      <c r="D5923" s="2" t="str">
        <f t="shared" si="91"/>
        <v>Error?</v>
      </c>
    </row>
    <row r="5924" spans="1:4" x14ac:dyDescent="0.2">
      <c r="A5924" s="5">
        <v>5863</v>
      </c>
      <c r="B5924" s="138">
        <f>'Revenues 9-14'!I65</f>
        <v>339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48768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48089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48089</v>
      </c>
      <c r="C5987" s="2" t="s">
        <v>573</v>
      </c>
      <c r="D5987" s="2" t="str">
        <f t="shared" si="92"/>
        <v>Error?</v>
      </c>
    </row>
    <row r="5988" spans="1:4" x14ac:dyDescent="0.2">
      <c r="A5988" s="5">
        <v>5927</v>
      </c>
      <c r="B5988" s="138">
        <f>'Revenues 9-14'!K14</f>
        <v>340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340</v>
      </c>
      <c r="C5992" s="2" t="s">
        <v>573</v>
      </c>
      <c r="D5992" s="2" t="str">
        <f t="shared" si="92"/>
        <v>Error?</v>
      </c>
    </row>
    <row r="5993" spans="1:4" x14ac:dyDescent="0.2">
      <c r="A5993" s="5">
        <v>5932</v>
      </c>
      <c r="B5993" s="138">
        <f>'Revenues 9-14'!K65</f>
        <v>2919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2919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51348</v>
      </c>
      <c r="C6023" s="2" t="s">
        <v>573</v>
      </c>
      <c r="D6023" s="2" t="str">
        <f t="shared" si="93"/>
        <v>Error?</v>
      </c>
    </row>
    <row r="6024" spans="1:5" x14ac:dyDescent="0.2">
      <c r="A6024" s="5">
        <v>5963</v>
      </c>
      <c r="B6024" s="138">
        <f>'Revenues 9-14'!G109</f>
        <v>188762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48768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51348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5831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400.14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113314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113314</v>
      </c>
      <c r="D6215" s="2" t="str">
        <f t="shared" si="96"/>
        <v>Error?</v>
      </c>
      <c r="E6215" s="2" t="s">
        <v>190</v>
      </c>
    </row>
    <row r="6216" spans="1:5" x14ac:dyDescent="0.2">
      <c r="A6216">
        <v>6155</v>
      </c>
      <c r="B6216" s="138">
        <f>'Assets-Liab 5-6'!J41</f>
        <v>113314</v>
      </c>
      <c r="D6216" s="2" t="str">
        <f t="shared" si="96"/>
        <v>Error?</v>
      </c>
      <c r="E6216" s="2" t="s">
        <v>190</v>
      </c>
    </row>
    <row r="6217" spans="1:5" x14ac:dyDescent="0.2">
      <c r="A6217">
        <v>6156</v>
      </c>
      <c r="B6217" s="138">
        <f>'Assets-Liab 5-6'!J4</f>
        <v>113314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243763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243763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243763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237776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237776</v>
      </c>
      <c r="D6229" s="2" t="str">
        <f t="shared" si="96"/>
        <v>Error?</v>
      </c>
      <c r="E6229" s="2" t="s">
        <v>190</v>
      </c>
    </row>
    <row r="6230" spans="1:5" x14ac:dyDescent="0.2">
      <c r="A6230">
        <v>6169</v>
      </c>
      <c r="B6230" s="138">
        <f>'Acct Summary 7-8'!J20</f>
        <v>5987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5987</v>
      </c>
      <c r="D6263" s="2" t="str">
        <f t="shared" si="96"/>
        <v>Error?</v>
      </c>
      <c r="E6263" s="2" t="s">
        <v>190</v>
      </c>
    </row>
    <row r="6264" spans="1:5" x14ac:dyDescent="0.2">
      <c r="A6264">
        <v>6203</v>
      </c>
      <c r="B6264" s="138">
        <f>'Acct Summary 7-8'!J79</f>
        <v>107327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113314</v>
      </c>
      <c r="D6266" s="2" t="str">
        <f t="shared" si="96"/>
        <v>Error?</v>
      </c>
      <c r="E6266" s="2" t="s">
        <v>190</v>
      </c>
    </row>
    <row r="6267" spans="1:5" x14ac:dyDescent="0.2">
      <c r="A6267">
        <v>6206</v>
      </c>
      <c r="B6267" s="138">
        <f>'Acct Summary 7-8'!C82</f>
        <v>185389</v>
      </c>
      <c r="D6267" s="2" t="str">
        <f t="shared" si="96"/>
        <v>Error?</v>
      </c>
      <c r="E6267" s="2" t="s">
        <v>190</v>
      </c>
    </row>
    <row r="6268" spans="1:5" x14ac:dyDescent="0.2">
      <c r="A6268">
        <v>6207</v>
      </c>
      <c r="B6268" s="138">
        <f>'Acct Summary 7-8'!D82</f>
        <v>29520</v>
      </c>
      <c r="D6268" s="2" t="str">
        <f t="shared" si="96"/>
        <v>Error?</v>
      </c>
      <c r="E6268" s="2" t="s">
        <v>190</v>
      </c>
    </row>
    <row r="6269" spans="1:5" x14ac:dyDescent="0.2">
      <c r="A6269">
        <v>6208</v>
      </c>
      <c r="B6269" s="138">
        <f>'Acct Summary 7-8'!E82</f>
        <v>11374</v>
      </c>
      <c r="D6269" s="2" t="str">
        <f t="shared" si="96"/>
        <v>Error?</v>
      </c>
      <c r="E6269" s="2" t="s">
        <v>190</v>
      </c>
    </row>
    <row r="6270" spans="1:5" x14ac:dyDescent="0.2">
      <c r="A6270">
        <v>6209</v>
      </c>
      <c r="B6270" s="138">
        <f>'Acct Summary 7-8'!F82</f>
        <v>12449</v>
      </c>
      <c r="D6270" s="2" t="str">
        <f t="shared" si="96"/>
        <v>Error?</v>
      </c>
      <c r="E6270" s="2" t="s">
        <v>190</v>
      </c>
    </row>
    <row r="6271" spans="1:5" x14ac:dyDescent="0.2">
      <c r="A6271">
        <v>6210</v>
      </c>
      <c r="B6271" s="138">
        <f>'Acct Summary 7-8'!G82</f>
        <v>48180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-76541</v>
      </c>
      <c r="D6273" s="2" t="str">
        <f t="shared" si="97"/>
        <v>Error?</v>
      </c>
      <c r="E6273" s="2" t="s">
        <v>190</v>
      </c>
    </row>
    <row r="6274" spans="1:5" x14ac:dyDescent="0.2">
      <c r="A6274">
        <v>6213</v>
      </c>
      <c r="B6274" s="138">
        <f>'Acct Summary 7-8'!J82</f>
        <v>5987</v>
      </c>
      <c r="D6274" s="2" t="str">
        <f t="shared" si="97"/>
        <v>Error?</v>
      </c>
      <c r="E6274" s="2" t="s">
        <v>190</v>
      </c>
    </row>
    <row r="6275" spans="1:5" x14ac:dyDescent="0.2">
      <c r="A6275">
        <v>6214</v>
      </c>
      <c r="B6275" s="138">
        <f>'Acct Summary 7-8'!K82</f>
        <v>-1789198</v>
      </c>
      <c r="D6275" s="2" t="str">
        <f t="shared" si="97"/>
        <v>Error?</v>
      </c>
      <c r="E6275" s="2" t="s">
        <v>190</v>
      </c>
    </row>
    <row r="6276" spans="1:5" x14ac:dyDescent="0.2">
      <c r="A6276">
        <v>6215</v>
      </c>
      <c r="B6276" s="138">
        <f>'Acct Summary 7-8'!C83</f>
        <v>0.16768984041384039</v>
      </c>
      <c r="D6276" s="2" t="str">
        <f t="shared" si="97"/>
        <v>Error?</v>
      </c>
      <c r="E6276" s="2" t="s">
        <v>190</v>
      </c>
    </row>
    <row r="6277" spans="1:5" x14ac:dyDescent="0.2">
      <c r="A6277">
        <v>6216</v>
      </c>
      <c r="B6277" s="138">
        <f>'Acct Summary 7-8'!D83</f>
        <v>0.53229470950989943</v>
      </c>
      <c r="D6277" s="2" t="str">
        <f t="shared" si="97"/>
        <v>Error?</v>
      </c>
      <c r="E6277" s="2" t="s">
        <v>190</v>
      </c>
    </row>
    <row r="6278" spans="1:5" x14ac:dyDescent="0.2">
      <c r="A6278">
        <v>6217</v>
      </c>
      <c r="B6278" s="138">
        <f>'Acct Summary 7-8'!E83</f>
        <v>8.6529829739969269E-2</v>
      </c>
      <c r="D6278" s="2" t="str">
        <f t="shared" si="97"/>
        <v>Error?</v>
      </c>
      <c r="E6278" s="2" t="s">
        <v>190</v>
      </c>
    </row>
    <row r="6279" spans="1:5" x14ac:dyDescent="0.2">
      <c r="A6279">
        <v>6218</v>
      </c>
      <c r="B6279" s="138">
        <f>'Acct Summary 7-8'!F83</f>
        <v>3.6444702066243929E-2</v>
      </c>
      <c r="D6279" s="2" t="str">
        <f t="shared" si="97"/>
        <v>Error?</v>
      </c>
      <c r="E6279" s="2" t="s">
        <v>190</v>
      </c>
    </row>
    <row r="6280" spans="1:5" x14ac:dyDescent="0.2">
      <c r="A6280">
        <v>6219</v>
      </c>
      <c r="B6280" s="138">
        <f>'Acct Summary 7-8'!G83</f>
        <v>0.10728839601843811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-0.9992558552442623</v>
      </c>
      <c r="D6282" s="2" t="str">
        <f t="shared" si="97"/>
        <v>Error?</v>
      </c>
      <c r="E6282" s="2" t="s">
        <v>190</v>
      </c>
    </row>
    <row r="6283" spans="1:5" x14ac:dyDescent="0.2">
      <c r="A6283">
        <v>6222</v>
      </c>
      <c r="B6283" s="138">
        <f>'Acct Summary 7-8'!J83</f>
        <v>5.2835483700160613E-2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240727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240727</v>
      </c>
      <c r="D6301" s="2" t="str">
        <f t="shared" si="97"/>
        <v>Error?</v>
      </c>
      <c r="E6301" s="2" t="s">
        <v>190</v>
      </c>
    </row>
    <row r="6302" spans="1:5" x14ac:dyDescent="0.2">
      <c r="A6302">
        <v>6241</v>
      </c>
      <c r="B6302" s="138">
        <f>'Revenues 9-14'!J14</f>
        <v>1702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1702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447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447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887</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887</v>
      </c>
      <c r="D6351" s="2" t="str">
        <f t="shared" si="98"/>
        <v>Error?</v>
      </c>
      <c r="E6351" s="2" t="s">
        <v>190</v>
      </c>
    </row>
    <row r="6352" spans="1:5" x14ac:dyDescent="0.2">
      <c r="A6352">
        <v>6291</v>
      </c>
      <c r="B6352" s="138">
        <f>'Revenues 9-14'!J109</f>
        <v>243763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32070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237776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210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243763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9318</v>
      </c>
      <c r="D7093" s="2" t="str">
        <f t="shared" si="109"/>
        <v>Error?</v>
      </c>
    </row>
    <row r="7094" spans="1:4" x14ac:dyDescent="0.2">
      <c r="A7094">
        <v>7033</v>
      </c>
      <c r="B7094" s="138">
        <f>'Expenditures 15-22'!K254</f>
        <v>9318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21965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21965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116152</v>
      </c>
      <c r="D7172" s="2" t="str">
        <f t="shared" si="111"/>
        <v>Error?</v>
      </c>
    </row>
    <row r="7173" spans="1:4" x14ac:dyDescent="0.2">
      <c r="A7173">
        <v>7112</v>
      </c>
      <c r="B7173" s="138">
        <f>'Expenditures 15-22'!D325</f>
        <v>22629</v>
      </c>
      <c r="D7173" s="2" t="str">
        <f t="shared" si="111"/>
        <v>Error?</v>
      </c>
    </row>
    <row r="7174" spans="1:4" x14ac:dyDescent="0.2">
      <c r="A7174">
        <v>7113</v>
      </c>
      <c r="B7174" s="138">
        <f>'Expenditures 15-22'!E325</f>
        <v>11913</v>
      </c>
      <c r="D7174" s="2" t="str">
        <f t="shared" si="111"/>
        <v>Error?</v>
      </c>
    </row>
    <row r="7175" spans="1:4" x14ac:dyDescent="0.2">
      <c r="A7175">
        <v>7114</v>
      </c>
      <c r="B7175" s="138">
        <f>'Expenditures 15-22'!F325</f>
        <v>1975</v>
      </c>
      <c r="D7175" s="2" t="str">
        <f t="shared" si="111"/>
        <v>Error?</v>
      </c>
    </row>
    <row r="7176" spans="1:4" x14ac:dyDescent="0.2">
      <c r="A7176">
        <v>7115</v>
      </c>
      <c r="B7176" s="138">
        <f>'Expenditures 15-22'!G325</f>
        <v>5062</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157731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1235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1235</v>
      </c>
      <c r="D7198" s="2" t="str">
        <f t="shared" si="111"/>
        <v>Error?</v>
      </c>
    </row>
    <row r="7199" spans="1:4" x14ac:dyDescent="0.2">
      <c r="A7199">
        <v>7138</v>
      </c>
      <c r="B7199" s="138">
        <f>'Expenditures 15-22'!C330</f>
        <v>116152</v>
      </c>
      <c r="D7199" s="2" t="str">
        <f t="shared" si="111"/>
        <v>Error?</v>
      </c>
    </row>
    <row r="7200" spans="1:4" x14ac:dyDescent="0.2">
      <c r="A7200">
        <v>7139</v>
      </c>
      <c r="B7200" s="138">
        <f>'Expenditures 15-22'!D330</f>
        <v>22629</v>
      </c>
      <c r="D7200" s="2" t="str">
        <f t="shared" si="111"/>
        <v>Error?</v>
      </c>
    </row>
    <row r="7201" spans="1:4" x14ac:dyDescent="0.2">
      <c r="A7201">
        <v>7140</v>
      </c>
      <c r="B7201" s="138">
        <f>'Expenditures 15-22'!E330</f>
        <v>91958</v>
      </c>
      <c r="D7201" s="2" t="str">
        <f t="shared" si="111"/>
        <v>Error?</v>
      </c>
    </row>
    <row r="7202" spans="1:4" x14ac:dyDescent="0.2">
      <c r="A7202">
        <v>7141</v>
      </c>
      <c r="B7202" s="138">
        <f>'Expenditures 15-22'!F330</f>
        <v>1975</v>
      </c>
      <c r="D7202" s="2" t="str">
        <f t="shared" si="111"/>
        <v>Error?</v>
      </c>
    </row>
    <row r="7203" spans="1:4" x14ac:dyDescent="0.2">
      <c r="A7203">
        <v>7142</v>
      </c>
      <c r="B7203" s="138">
        <f>'Expenditures 15-22'!G330</f>
        <v>5062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237776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116152</v>
      </c>
      <c r="D7216" s="2" t="str">
        <f t="shared" si="111"/>
        <v>Error?</v>
      </c>
    </row>
    <row r="7217" spans="1:4" x14ac:dyDescent="0.2">
      <c r="A7217">
        <v>7156</v>
      </c>
      <c r="B7217" s="138">
        <f>'Expenditures 15-22'!D342</f>
        <v>22629</v>
      </c>
      <c r="D7217" s="2" t="str">
        <f t="shared" si="111"/>
        <v>Error?</v>
      </c>
    </row>
    <row r="7218" spans="1:4" x14ac:dyDescent="0.2">
      <c r="A7218">
        <v>7157</v>
      </c>
      <c r="B7218" s="138">
        <f>'Expenditures 15-22'!E342</f>
        <v>91958</v>
      </c>
      <c r="D7218" s="2" t="str">
        <f t="shared" si="111"/>
        <v>Error?</v>
      </c>
    </row>
    <row r="7219" spans="1:4" x14ac:dyDescent="0.2">
      <c r="A7219">
        <v>7158</v>
      </c>
      <c r="B7219" s="138">
        <f>'Expenditures 15-22'!F342</f>
        <v>1975</v>
      </c>
      <c r="D7219" s="2" t="str">
        <f t="shared" si="111"/>
        <v>Error?</v>
      </c>
    </row>
    <row r="7220" spans="1:4" x14ac:dyDescent="0.2">
      <c r="A7220">
        <v>7159</v>
      </c>
      <c r="B7220" s="138">
        <f>'Expenditures 15-22'!G342</f>
        <v>5062</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237776</v>
      </c>
      <c r="D7224" s="2" t="str">
        <f t="shared" si="111"/>
        <v>Error?</v>
      </c>
    </row>
    <row r="7225" spans="1:4" x14ac:dyDescent="0.2">
      <c r="A7225">
        <v>7164</v>
      </c>
      <c r="B7225" s="138">
        <f>'Expenditures 15-22'!K343</f>
        <v>5987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34355</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34355</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1947</v>
      </c>
      <c r="D7601" s="2" t="str">
        <f t="shared" si="122"/>
        <v>Error?</v>
      </c>
      <c r="E7601" s="2" t="s">
        <v>19</v>
      </c>
    </row>
    <row r="7602" spans="1:5" x14ac:dyDescent="0.2">
      <c r="A7602">
        <f t="shared" si="123"/>
        <v>7541</v>
      </c>
      <c r="B7602" s="138">
        <f>'Cap Outlay Deprec 26'!I6</f>
        <v>687</v>
      </c>
      <c r="D7602" s="2" t="str">
        <f t="shared" si="122"/>
        <v>Error?</v>
      </c>
      <c r="E7602" s="2" t="s">
        <v>19</v>
      </c>
    </row>
    <row r="7603" spans="1:5" x14ac:dyDescent="0.2">
      <c r="A7603">
        <f t="shared" si="123"/>
        <v>7542</v>
      </c>
      <c r="B7603" s="138">
        <f>'Cap Outlay Deprec 26'!J6</f>
        <v>2634</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655745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38253</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38253</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10692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10692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24238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24238</v>
      </c>
      <c r="D7719" s="2" t="str">
        <f t="shared" si="126"/>
        <v>Error?</v>
      </c>
      <c r="E7719" s="2" t="s">
        <v>827</v>
      </c>
    </row>
    <row r="7720" spans="1:6" x14ac:dyDescent="0.2">
      <c r="A7720">
        <v>7659</v>
      </c>
      <c r="B7720" s="138">
        <f>'Rest Tax Levies-Tort Im 25'!H14</f>
        <v>19236</v>
      </c>
      <c r="D7720" s="2" t="str">
        <f t="shared" si="126"/>
        <v>Error?</v>
      </c>
      <c r="E7720" s="2" t="s">
        <v>827</v>
      </c>
    </row>
    <row r="7721" spans="1:6" x14ac:dyDescent="0.2">
      <c r="A7721">
        <v>7660</v>
      </c>
      <c r="B7721" s="138">
        <f>'Rest Tax Levies-Tort Im 25'!K14</f>
        <v>24238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11191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50309</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75000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29'!D142</f>
        <v>0</v>
      </c>
      <c r="D7797" s="2" t="str">
        <f t="shared" si="127"/>
        <v>Error?</v>
      </c>
      <c r="E7797" s="4" t="s">
        <v>1902</v>
      </c>
    </row>
    <row r="7798" spans="1:5" x14ac:dyDescent="0.2">
      <c r="A7798">
        <v>7737</v>
      </c>
      <c r="B7798" s="138">
        <f>'Contracts Paid in CY 29'!F142</f>
        <v>0</v>
      </c>
      <c r="D7798" s="2" t="str">
        <f t="shared" si="127"/>
        <v>Error?</v>
      </c>
      <c r="E7798" s="4" t="s">
        <v>1902</v>
      </c>
    </row>
    <row r="7799" spans="1:5" x14ac:dyDescent="0.2">
      <c r="A7799">
        <v>7738</v>
      </c>
      <c r="B7799" s="138">
        <f>'Contracts Paid in CY 29'!G142</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1986</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Fairfield Comm H S Dist 225</v>
      </c>
      <c r="B7" s="2404"/>
      <c r="C7" s="2404"/>
      <c r="D7" s="2405"/>
      <c r="E7" s="2406">
        <f>COVER!A13</f>
        <v>20096225016</v>
      </c>
      <c r="F7" s="2407"/>
      <c r="G7" s="2413">
        <f>COVER!T23</f>
        <v>0</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KEMPER CPA GROUP LLP</v>
      </c>
      <c r="H9" s="2419"/>
      <c r="I9" s="2419"/>
      <c r="J9" s="2419"/>
      <c r="K9" s="2419"/>
      <c r="L9" s="2420"/>
    </row>
    <row r="10" spans="1:29" ht="13.5" customHeight="1" x14ac:dyDescent="0.2">
      <c r="A10" s="2393" t="str">
        <f>COVER!A38</f>
        <v>JILL FULKERSON</v>
      </c>
      <c r="B10" s="2394"/>
      <c r="C10" s="2394"/>
      <c r="D10" s="2394"/>
      <c r="E10" s="2394"/>
      <c r="F10" s="2395"/>
      <c r="G10" s="2387" t="str">
        <f>COVER!T17</f>
        <v>7200 EAGLE CREST BLVD.</v>
      </c>
      <c r="H10" s="2388"/>
      <c r="I10" s="2388"/>
      <c r="J10" s="2388"/>
      <c r="K10" s="2388"/>
      <c r="L10" s="2389"/>
    </row>
    <row r="11" spans="1:29" ht="13.5" customHeight="1" x14ac:dyDescent="0.2">
      <c r="A11" s="1184" t="s">
        <v>1519</v>
      </c>
      <c r="B11" s="1185"/>
      <c r="C11" s="1186"/>
      <c r="D11" s="1191"/>
      <c r="E11" s="1186"/>
      <c r="F11" s="1190"/>
      <c r="G11" s="2387" t="str">
        <f>COVER!T19</f>
        <v>EVANSVILLE</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t="str">
        <f>COVER!T25</f>
        <v>mdsmith@kempercpa.com</v>
      </c>
      <c r="J13" s="2400"/>
      <c r="K13" s="2400"/>
      <c r="L13" s="2401"/>
    </row>
    <row r="14" spans="1:29" ht="13.5" customHeight="1" x14ac:dyDescent="0.2">
      <c r="A14" s="2387" t="str">
        <f>COVER!A19</f>
        <v>300 WEST KING</v>
      </c>
      <c r="B14" s="2388"/>
      <c r="C14" s="2388"/>
      <c r="D14" s="2388"/>
      <c r="E14" s="2388"/>
      <c r="F14" s="2389"/>
      <c r="G14" s="1195" t="s">
        <v>1185</v>
      </c>
      <c r="H14" s="1193"/>
      <c r="I14" s="1193"/>
      <c r="J14" s="1193"/>
      <c r="K14" s="1193"/>
      <c r="L14" s="1194"/>
    </row>
    <row r="15" spans="1:29" ht="13.5" customHeight="1" x14ac:dyDescent="0.2">
      <c r="A15" s="2387" t="str">
        <f>COVER!A21</f>
        <v>FAIRFIELD</v>
      </c>
      <c r="B15" s="2388"/>
      <c r="C15" s="2388"/>
      <c r="D15" s="2388"/>
      <c r="E15" s="2388"/>
      <c r="F15" s="2389"/>
      <c r="G15" s="2384" t="str">
        <f>COVER!T15</f>
        <v>MICHELLE SMITH, CPA</v>
      </c>
      <c r="H15" s="2385"/>
      <c r="I15" s="2385"/>
      <c r="J15" s="2385"/>
      <c r="K15" s="2385"/>
      <c r="L15" s="2386"/>
    </row>
    <row r="16" spans="1:29" ht="12.2" customHeight="1" x14ac:dyDescent="0.2">
      <c r="A16" s="2409">
        <f>COVER!A25</f>
        <v>62837</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(812)421-8000</v>
      </c>
      <c r="H18" s="2404"/>
      <c r="I18" s="2404"/>
      <c r="J18" s="2404"/>
      <c r="K18" s="2403" t="str">
        <f>COVER!X21</f>
        <v>(812)421-2292</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3"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Fairfield Comm H S Dist 225</v>
      </c>
      <c r="B1" s="2402"/>
      <c r="C1" s="2402"/>
      <c r="D1" s="2402"/>
    </row>
    <row r="2" spans="1:11" s="1212" customFormat="1" ht="12.75" x14ac:dyDescent="0.2">
      <c r="A2" s="2426">
        <f>'Single Audit Cover'!E7</f>
        <v>20096225016</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Fairfield Comm H S Dist 225</v>
      </c>
      <c r="B1" s="2429"/>
      <c r="C1" s="2429"/>
      <c r="D1" s="2429"/>
      <c r="E1" s="2429"/>
    </row>
    <row r="2" spans="1:5" x14ac:dyDescent="0.2">
      <c r="A2" s="2430">
        <f>'Single Audit Cover'!E7</f>
        <v>20096225016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203411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2058</v>
      </c>
      <c r="B17" s="1259" t="s">
        <v>1236</v>
      </c>
      <c r="C17" s="1259"/>
      <c r="D17" s="1261">
        <f>-SUM('Revenues 9-14'!C264:D264,'Revenues 9-14'!F264:G264)</f>
        <v>0</v>
      </c>
    </row>
    <row r="19" spans="1:4" ht="13.5" thickBot="1" x14ac:dyDescent="0.25">
      <c r="A19" s="1262" t="s">
        <v>1235</v>
      </c>
      <c r="D19" s="1263">
        <f>SUM(D10:D17)</f>
        <v>203411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203411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203411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Fairfield Comm H S Dist 225</v>
      </c>
      <c r="C1" s="2433"/>
      <c r="D1" s="2433"/>
      <c r="E1" s="2433"/>
      <c r="F1" s="2433"/>
      <c r="G1" s="2433"/>
      <c r="H1" s="2433"/>
      <c r="I1" s="2433"/>
      <c r="J1" s="2433"/>
      <c r="K1" s="2433"/>
      <c r="L1" s="2433"/>
      <c r="M1" s="2433"/>
    </row>
    <row r="2" spans="2:14" ht="15" x14ac:dyDescent="0.2">
      <c r="B2" s="2434">
        <f>'Single Audit Cover'!E7</f>
        <v>20096225016</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1838</v>
      </c>
      <c r="I8" s="1316" t="s">
        <v>1262</v>
      </c>
      <c r="J8" s="1315" t="s">
        <v>1987</v>
      </c>
      <c r="K8" s="1316" t="s">
        <v>1261</v>
      </c>
      <c r="L8" s="1317" t="s">
        <v>1257</v>
      </c>
      <c r="M8" s="1318" t="s">
        <v>30</v>
      </c>
    </row>
    <row r="9" spans="2:14" ht="14.25" x14ac:dyDescent="0.2">
      <c r="B9" s="1322" t="s">
        <v>1259</v>
      </c>
      <c r="C9" s="1310" t="s">
        <v>1735</v>
      </c>
      <c r="D9" s="1311" t="s">
        <v>1736</v>
      </c>
      <c r="E9" s="1319" t="s">
        <v>1838</v>
      </c>
      <c r="F9" s="1320" t="s">
        <v>1987</v>
      </c>
      <c r="G9" s="1321" t="s">
        <v>1838</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Fairfield Comm H S Dist 225</v>
      </c>
      <c r="B1" s="2446"/>
      <c r="C1" s="2446"/>
      <c r="D1" s="2446"/>
      <c r="E1" s="2446"/>
      <c r="F1" s="2446"/>
    </row>
    <row r="2" spans="1:7" ht="13.5" customHeight="1" x14ac:dyDescent="0.2">
      <c r="A2" s="2434">
        <f>'Single Audit Cover'!E7</f>
        <v>20096225016</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3"/>
      <c r="E33" s="1283"/>
    </row>
    <row r="34" spans="1:6" ht="13.5" customHeight="1" x14ac:dyDescent="0.2">
      <c r="A34" s="328" t="s">
        <v>1837</v>
      </c>
      <c r="B34" s="328"/>
      <c r="C34" s="1286">
        <v>0</v>
      </c>
      <c r="D34" s="1903" t="s">
        <v>1589</v>
      </c>
      <c r="E34" s="2440">
        <f>+C33+C34</f>
        <v>0</v>
      </c>
      <c r="F34" s="244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3" zoomScale="110" zoomScaleNormal="110" workbookViewId="0">
      <selection activeCell="E24" sqref="E2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Fairfield Comm H S Dist 225</v>
      </c>
      <c r="C1" s="2461"/>
      <c r="D1" s="2461"/>
      <c r="E1" s="2461"/>
      <c r="F1" s="2461"/>
      <c r="G1" s="2461"/>
      <c r="H1" s="2461"/>
      <c r="I1" s="2461"/>
      <c r="J1" s="1406"/>
    </row>
    <row r="2" spans="2:10" s="317" customFormat="1" ht="12.75" customHeight="1" x14ac:dyDescent="0.2">
      <c r="B2" s="2462">
        <f>'Single Audit Cover'!E7</f>
        <v>20096225016</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t="s">
        <v>2104</v>
      </c>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2064</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2064</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2061</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t="s">
        <v>2064</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Fairfield Comm H S Dist 225</v>
      </c>
      <c r="C1" s="2460"/>
      <c r="D1" s="2460"/>
      <c r="E1" s="2460"/>
      <c r="F1" s="2460"/>
      <c r="G1" s="2460"/>
      <c r="H1" s="2460"/>
      <c r="I1" s="2460"/>
      <c r="J1" s="2460"/>
      <c r="K1" s="2460"/>
      <c r="L1" s="1371"/>
      <c r="M1" s="1371"/>
    </row>
    <row r="2" spans="1:13" ht="12" customHeight="1" x14ac:dyDescent="0.2">
      <c r="B2" s="2462">
        <f>'Single Audit Cover'!E7</f>
        <v>20096225016</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1988</v>
      </c>
      <c r="D10" s="1383">
        <v>1</v>
      </c>
      <c r="E10" s="322"/>
      <c r="F10" s="1384" t="s">
        <v>1295</v>
      </c>
      <c r="G10" s="1385"/>
      <c r="H10" s="1386" t="s">
        <v>1294</v>
      </c>
      <c r="I10" s="1385" t="s">
        <v>2064</v>
      </c>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2105</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2106</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2107</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2108</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2109</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2110</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2111</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Fairfield Comm H S Dist 225</v>
      </c>
      <c r="C1" s="2483"/>
      <c r="D1" s="2483"/>
      <c r="E1" s="2483"/>
      <c r="F1" s="2483"/>
      <c r="G1" s="2483"/>
      <c r="H1" s="2483"/>
      <c r="I1" s="2483"/>
      <c r="J1" s="2483"/>
      <c r="K1" s="2483"/>
      <c r="L1" s="1449"/>
    </row>
    <row r="2" spans="1:12" ht="12.75" customHeight="1" x14ac:dyDescent="0.2">
      <c r="B2" s="2484">
        <f>'Single Audit Cover'!E7</f>
        <v>20096225016</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1988</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0" sqref="C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Fairfield Comm H S Dist 225</v>
      </c>
      <c r="C1" s="2460"/>
      <c r="D1" s="2460"/>
      <c r="E1" s="1469"/>
    </row>
    <row r="2" spans="2:5" s="1279" customFormat="1" ht="12.75" customHeight="1" x14ac:dyDescent="0.2">
      <c r="B2" s="2462">
        <f>'Single Audit Cover'!E7</f>
        <v>20096225016</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c r="C5" s="328"/>
      <c r="D5" s="328"/>
      <c r="E5" s="328"/>
    </row>
    <row r="6" spans="2:5" s="1279" customFormat="1" ht="13.5" customHeight="1" x14ac:dyDescent="0.2">
      <c r="B6" s="1473" t="s">
        <v>1315</v>
      </c>
      <c r="C6" s="1473" t="s">
        <v>1314</v>
      </c>
      <c r="D6" s="1473" t="s">
        <v>1767</v>
      </c>
    </row>
    <row r="7" spans="2:5" ht="13.5" customHeight="1" x14ac:dyDescent="0.2">
      <c r="B7" s="1474" t="s">
        <v>2112</v>
      </c>
      <c r="C7" s="324" t="s">
        <v>2114</v>
      </c>
      <c r="D7" s="324" t="s">
        <v>2116</v>
      </c>
      <c r="E7" s="324"/>
    </row>
    <row r="8" spans="2:5" ht="13.5" customHeight="1" x14ac:dyDescent="0.2">
      <c r="B8" s="1474" t="s">
        <v>2113</v>
      </c>
      <c r="C8" s="324" t="s">
        <v>2115</v>
      </c>
      <c r="D8" s="324" t="s">
        <v>2117</v>
      </c>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1768</v>
      </c>
    </row>
    <row r="46" spans="2:5" ht="12.2" customHeight="1" x14ac:dyDescent="0.2">
      <c r="B46" s="1483" t="s">
        <v>1769</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purl.org/dc/terms/"/>
    <ds:schemaRef ds:uri="http://purl.org/dc/elements/1.1/"/>
    <ds:schemaRef ds:uri="6ce3111e-7420-4802-b50a-75d4e9a0b980"/>
    <ds:schemaRef ds:uri="4d435f69-8686-490b-bd6d-b153bf22ab50"/>
    <ds:schemaRef ds:uri="http://schemas.microsoft.com/sharepoint/v3"/>
    <ds:schemaRef ds:uri="http://schemas.openxmlformats.org/package/2006/metadata/core-properties"/>
    <ds:schemaRef ds:uri="http://schemas.microsoft.com/office/infopath/2007/PartnerControl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2019-12-09T20:47:55Z</cp:lastPrinted>
  <dcterms:created xsi:type="dcterms:W3CDTF">2003-10-29T19:06:34Z</dcterms:created>
  <dcterms:modified xsi:type="dcterms:W3CDTF">2019-12-27T21:54:33Z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