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D0B4461-5894-40B1-9ADB-85FD2C84AB26}" xr6:coauthVersionLast="36" xr6:coauthVersionMax="36" xr10:uidLastSave="{00000000-0000-0000-0000-000000000000}"/>
  <bookViews>
    <workbookView xWindow="0" yWindow="0" windowWidth="28800" windowHeight="109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E26" i="108"/>
  <c r="G26" i="108"/>
  <c r="D27" i="108"/>
  <c r="E27" i="108"/>
  <c r="F27" i="108"/>
  <c r="G27" i="108"/>
  <c r="F31" i="108"/>
  <c r="F37" i="108"/>
  <c r="G28" i="108"/>
  <c r="D31" i="108"/>
  <c r="D37"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D22" i="37"/>
  <c r="J22" i="37"/>
  <c r="D7245" i="106" l="1"/>
  <c r="D6103" i="106"/>
  <c r="F62" i="34"/>
  <c r="B2836" i="106"/>
  <c r="D2836" i="106" s="1"/>
  <c r="G29" i="108"/>
  <c r="E29" i="108"/>
  <c r="F42" i="34"/>
  <c r="G15" i="145"/>
  <c r="D24" i="37"/>
  <c r="B4270" i="106" s="1"/>
  <c r="D4270" i="106" s="1"/>
  <c r="D69" i="36"/>
  <c r="H33" i="118"/>
  <c r="D11" i="37"/>
  <c r="F69" i="34"/>
  <c r="B7047" i="106"/>
  <c r="D7047" i="106" s="1"/>
  <c r="F67" i="34"/>
  <c r="B6995" i="106"/>
  <c r="D6995" i="106" s="1"/>
  <c r="F64" i="34"/>
  <c r="F26" i="108"/>
  <c r="B1126" i="106"/>
  <c r="D1126" i="106" s="1"/>
  <c r="D26" i="108"/>
  <c r="F49" i="34"/>
  <c r="L22" i="37"/>
  <c r="N22" i="3"/>
  <c r="B283" i="106" s="1"/>
  <c r="D283" i="106" s="1"/>
  <c r="G38" i="108"/>
  <c r="F56" i="34"/>
  <c r="E38" i="108"/>
  <c r="D14" i="4"/>
  <c r="B2570" i="106" s="1"/>
  <c r="D2570" i="106" s="1"/>
  <c r="F70" i="34"/>
  <c r="F36" i="34"/>
  <c r="H112" i="29"/>
  <c r="B7018" i="106" s="1"/>
  <c r="D7018" i="106" s="1"/>
  <c r="G39" i="108"/>
  <c r="B7076" i="106"/>
  <c r="D7076" i="106" s="1"/>
  <c r="G35" i="108"/>
  <c r="F50" i="34"/>
  <c r="E35" i="108"/>
  <c r="F44" i="34"/>
  <c r="F36" i="108"/>
  <c r="B7235" i="106"/>
  <c r="D7235" i="106" s="1"/>
  <c r="D36" i="108"/>
  <c r="D31" i="36"/>
  <c r="H29" i="118"/>
  <c r="K28" i="118" s="1"/>
  <c r="O27" i="118" s="1"/>
  <c r="O29" i="118" s="1"/>
  <c r="L13" i="11"/>
  <c r="B2060" i="106" s="1"/>
  <c r="D2060" i="106" s="1"/>
  <c r="D9" i="7"/>
  <c r="B1767" i="106" s="1"/>
  <c r="D1767" i="106" s="1"/>
  <c r="D54" i="36"/>
  <c r="L15" i="11"/>
  <c r="B3459" i="106" s="1"/>
  <c r="D3459" i="106" s="1"/>
  <c r="L5" i="11"/>
  <c r="B2056" i="106" s="1"/>
  <c r="D2056" i="106" s="1"/>
  <c r="I24" i="12"/>
  <c r="B1996" i="106" s="1"/>
  <c r="D1996" i="106" s="1"/>
  <c r="B1990" i="106"/>
  <c r="D1990" i="106" s="1"/>
  <c r="F19" i="7"/>
  <c r="B1807" i="106" s="1"/>
  <c r="D1807" i="106" s="1"/>
  <c r="H342" i="29"/>
  <c r="B7221" i="106" s="1"/>
  <c r="D7221" i="106" s="1"/>
  <c r="G210" i="29"/>
  <c r="B7231" i="106"/>
  <c r="D7231" i="106" s="1"/>
  <c r="B6289" i="106"/>
  <c r="D6289" i="106" s="1"/>
  <c r="F46" i="34"/>
  <c r="B3647" i="106"/>
  <c r="D3647" i="106" s="1"/>
  <c r="G34" i="108"/>
  <c r="B1124" i="106"/>
  <c r="D1124" i="106" s="1"/>
  <c r="B2724" i="106"/>
  <c r="D2724" i="106" s="1"/>
  <c r="B1797" i="106"/>
  <c r="D1797" i="106" s="1"/>
  <c r="E28" i="108"/>
  <c r="F28" i="108"/>
  <c r="L367" i="29"/>
  <c r="I210" i="29"/>
  <c r="B7071" i="106" s="1"/>
  <c r="D7071" i="106" s="1"/>
  <c r="J41" i="3"/>
  <c r="D51" i="36" s="1"/>
  <c r="F72" i="34"/>
  <c r="H365" i="29"/>
  <c r="B7242" i="106" s="1"/>
  <c r="D7242" i="106" s="1"/>
  <c r="F71" i="34"/>
  <c r="K184" i="29"/>
  <c r="F13" i="4" s="1"/>
  <c r="B2596" i="106" s="1"/>
  <c r="D2596" i="106" s="1"/>
  <c r="G14" i="4"/>
  <c r="B2609" i="106" s="1"/>
  <c r="D2609" i="106" s="1"/>
  <c r="E30" i="108"/>
  <c r="G30" i="108"/>
  <c r="F34" i="34"/>
  <c r="L342" i="29"/>
  <c r="C352" i="29"/>
  <c r="C367" i="29" s="1"/>
  <c r="B3622" i="106" s="1"/>
  <c r="D3622" i="106" s="1"/>
  <c r="J210" i="29"/>
  <c r="B7072" i="106" s="1"/>
  <c r="D7072" i="106" s="1"/>
  <c r="B1308" i="106"/>
  <c r="D1308" i="106" s="1"/>
  <c r="E174" i="29"/>
  <c r="B1309" i="106" s="1"/>
  <c r="D1309" i="106" s="1"/>
  <c r="C342" i="29"/>
  <c r="B7216" i="106" s="1"/>
  <c r="D7216" i="106" s="1"/>
  <c r="J129" i="29"/>
  <c r="B7038" i="106" s="1"/>
  <c r="D7038" i="106" s="1"/>
  <c r="I129" i="29"/>
  <c r="B7037" i="106" s="1"/>
  <c r="D7037" i="106" s="1"/>
  <c r="C129" i="29"/>
  <c r="C151" i="29" s="1"/>
  <c r="B1226" i="106" s="1"/>
  <c r="D1226" i="106" s="1"/>
  <c r="D17" i="7"/>
  <c r="B4104" i="106" s="1"/>
  <c r="D4104" i="106" s="1"/>
  <c r="F77" i="4"/>
  <c r="B3255" i="106" s="1"/>
  <c r="D3255" i="106" s="1"/>
  <c r="H76" i="4"/>
  <c r="B3298" i="106" s="1"/>
  <c r="D3298" i="106" s="1"/>
  <c r="J77" i="4"/>
  <c r="B6262" i="106" s="1"/>
  <c r="D6262" i="106" s="1"/>
  <c r="K76" i="4"/>
  <c r="B3586" i="106" s="1"/>
  <c r="D3586" i="106" s="1"/>
  <c r="B3254" i="106"/>
  <c r="D3254" i="106" s="1"/>
  <c r="K41" i="3"/>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2" i="106"/>
  <c r="D7253" i="106"/>
  <c r="D7250" i="106"/>
  <c r="D7254" i="106"/>
  <c r="D7255" i="106"/>
  <c r="D7256" i="106"/>
  <c r="B1381" i="106"/>
  <c r="D1381" i="106" s="1"/>
  <c r="B1317" i="106"/>
  <c r="D1317" i="106" s="1"/>
  <c r="N23" i="3"/>
  <c r="B284" i="106" s="1"/>
  <c r="D284" i="106" s="1"/>
  <c r="D41" i="108"/>
  <c r="E43" i="108" s="1"/>
  <c r="I26" i="12"/>
  <c r="B7741" i="106" s="1"/>
  <c r="D7741" i="106" s="1"/>
  <c r="J16" i="4"/>
  <c r="B6226" i="106" s="1"/>
  <c r="D6226" i="106" s="1"/>
  <c r="B1328" i="106"/>
  <c r="D1328" i="106" s="1"/>
  <c r="B1266" i="106"/>
  <c r="D1266" i="106" s="1"/>
  <c r="F41" i="108"/>
  <c r="G43" i="108" s="1"/>
  <c r="L16" i="11"/>
  <c r="B2061" i="106" s="1"/>
  <c r="D2061" i="106" s="1"/>
  <c r="G6" i="4"/>
  <c r="B2604" i="106" s="1"/>
  <c r="D2604" i="106" s="1"/>
  <c r="B6216" i="106"/>
  <c r="D6216" i="106" s="1"/>
  <c r="B1365" i="106"/>
  <c r="D1365" i="106" s="1"/>
  <c r="F65" i="34"/>
  <c r="L114" i="29"/>
  <c r="K77" i="4"/>
  <c r="B3587" i="106" s="1"/>
  <c r="D3587" i="106" s="1"/>
  <c r="K365" i="29"/>
  <c r="K16" i="4" s="1"/>
  <c r="F66" i="34"/>
  <c r="B1225" i="106"/>
  <c r="D1225" i="106" s="1"/>
  <c r="H77" i="4"/>
  <c r="B3299" i="106" s="1"/>
  <c r="D3299" i="106" s="1"/>
  <c r="B3621" i="106"/>
  <c r="D3621" i="106" s="1"/>
  <c r="K342" i="29"/>
  <c r="F13" i="34" s="1"/>
  <c r="C114" i="29"/>
  <c r="B757" i="106" s="1"/>
  <c r="D757" i="106" s="1"/>
  <c r="I151" i="29"/>
  <c r="F59" i="34" s="1"/>
  <c r="J151" i="29"/>
  <c r="B7052" i="106" s="1"/>
  <c r="D7052" i="106" s="1"/>
  <c r="B5770" i="106"/>
  <c r="D5770" i="106" s="1"/>
  <c r="B5527" i="106"/>
  <c r="D5527" i="106" s="1"/>
  <c r="I7" i="4"/>
  <c r="B4444" i="106" s="1"/>
  <c r="D4444" i="106" s="1"/>
  <c r="F174" i="34"/>
  <c r="D44" i="3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K367" i="29"/>
  <c r="B7224" i="106"/>
  <c r="D7224" i="106" s="1"/>
  <c r="B7051" i="106"/>
  <c r="D7051"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J20" i="4"/>
  <c r="B6230" i="106" s="1"/>
  <c r="D6230" i="106" s="1"/>
  <c r="B6223" i="106"/>
  <c r="D6223"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F175" i="34" l="1"/>
  <c r="F79" i="34"/>
  <c r="B3576" i="106"/>
  <c r="D3576" i="106" s="1"/>
  <c r="F8" i="146"/>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<sst xmlns="http://schemas.openxmlformats.org/spreadsheetml/2006/main" count="5135" uniqueCount="2134">
  <si>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</si>
  <si>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</si>
  <si>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</si>
  <si>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</si>
  <si>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</si>
  <si>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</si>
  <si>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</si>
  <si>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</si>
  <si>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</si>
  <si>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</si>
  <si>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</si>
  <si>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</si>
  <si>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</si>
  <si>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</si>
  <si>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</si>
  <si>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</si>
  <si>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</si>
  <si>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</si>
  <si>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</si>
  <si>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</si>
  <si>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</si>
  <si>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</si>
  <si>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</si>
  <si>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</si>
  <si>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</si>
  <si>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</si>
  <si>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</si>
  <si>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</si>
  <si>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</si>
  <si>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</si>
  <si>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</si>
  <si>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</si>
  <si>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</si>
  <si>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</si>
  <si>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</si>
  <si>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</si>
  <si>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</si>
  <si>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</si>
  <si>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</si>
  <si>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</si>
  <si>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</si>
  <si>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</si>
  <si>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</si>
  <si>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</si>
  <si>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</si>
  <si>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</si>
  <si>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</si>
  <si>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</si>
  <si>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</si>
  <si>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</si>
  <si>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</si>
  <si>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</si>
  <si>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</si>
  <si>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</si>
  <si>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</si>
  <si>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</si>
  <si>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</si>
  <si>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</si>
  <si>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</si>
  <si>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</si>
  <si>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</si>
  <si>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</si>
  <si>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</si>
  <si>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</si>
  <si>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</si>
  <si>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</si>
  <si>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</si>
  <si>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</si>
  <si>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</si>
  <si>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</si>
  <si>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</si>
  <si>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</si>
  <si>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</si>
  <si>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</si>
  <si>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</si>
  <si>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</si>
  <si>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</si>
  <si>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</si>
  <si>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</si>
  <si>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</si>
  <si>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</si>
  <si>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</si>
  <si>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</si>
  <si>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</si>
  <si>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</si>
  <si>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</si>
  <si>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</si>
  <si>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</si>
  <si>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</si>
  <si>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</si>
  <si>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</si>
  <si>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</si>
  <si>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</si>
  <si>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</si>
  <si>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</si>
  <si>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</si>
  <si>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</si>
  <si>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</si>
  <si>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</si>
  <si>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</si>
  <si>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</si>
  <si>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</si>
  <si>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</si>
  <si>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</si>
  <si>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</si>
  <si>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</si>
  <si>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</si>
  <si>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</si>
  <si>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</si>
  <si>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</si>
  <si>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</si>
  <si>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</si>
  <si>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</si>
  <si>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</si>
  <si>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</si>
  <si>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</si>
  <si>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</si>
  <si>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</si>
  <si>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</si>
  <si>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</si>
  <si>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</si>
  <si>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</si>
  <si>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</si>
  <si>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</si>
  <si>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</si>
  <si>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</si>
  <si>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</si>
  <si>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</si>
  <si>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</si>
  <si>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</si>
  <si>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</si>
  <si>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</si>
  <si>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</si>
  <si>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</si>
  <si>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</si>
  <si>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</si>
  <si>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</si>
  <si>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</si>
  <si>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</si>
  <si>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</si>
  <si>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</si>
  <si>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</si>
  <si>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</si>
  <si>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</si>
  <si>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</si>
  <si>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</si>
  <si>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</si>
  <si>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</si>
  <si>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</si>
  <si>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</si>
  <si>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</si>
  <si>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</si>
  <si>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</si>
  <si>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</si>
  <si>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</si>
  <si>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</si>
  <si>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</si>
  <si>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</si>
  <si>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</si>
  <si>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</si>
  <si>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</si>
  <si>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</si>
  <si>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</si>
  <si>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</si>
  <si>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</si>
  <si>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</si>
  <si>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</si>
  <si>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</si>
  <si>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</si>
  <si>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</si>
  <si>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</si>
  <si>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</si>
  <si>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</si>
  <si>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</si>
  <si>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</si>
  <si>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</si>
  <si>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</si>
  <si>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</si>
  <si>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</si>
  <si>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</si>
  <si>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</si>
  <si>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</si>
  <si>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</si>
  <si>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</si>
  <si>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</si>
  <si>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</si>
  <si>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</si>
  <si>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</si>
  <si>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</si>
  <si>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</si>
  <si>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</si>
  <si>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</si>
  <si>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</si>
  <si>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</si>
  <si>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</si>
  <si>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</si>
  <si>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</si>
  <si>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</si>
  <si>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</si>
  <si>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</si>
  <si>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</si>
  <si>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</si>
  <si>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</si>
  <si>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</si>
  <si>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</si>
  <si>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</si>
  <si>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</si>
  <si>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</si>
  <si>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</si>
  <si>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</si>
  <si>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</si>
  <si>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</si>
  <si>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</si>
  <si>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</si>
  <si>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</si>
  <si>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</si>
  <si>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</si>
  <si>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</si>
  <si>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</si>
  <si>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</si>
  <si>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</si>
  <si>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</si>
  <si>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</si>
  <si>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</si>
  <si>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</si>
  <si>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</si>
  <si>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</si>
  <si>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</si>
  <si>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</si>
  <si>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</si>
  <si>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</si>
  <si>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</si>
  <si>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</si>
  <si>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</si>
  <si>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</si>
  <si>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</si>
  <si>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</si>
  <si>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</si>
  <si>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</si>
  <si>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</si>
  <si>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</si>
  <si>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</si>
  <si>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</si>
  <si>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</si>
  <si>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</si>
  <si>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</si>
  <si>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</si>
  <si>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</si>
  <si>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</si>
  <si>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</si>
  <si>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</si>
  <si>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</si>
  <si>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</si>
  <si>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</si>
  <si>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</si>
  <si>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</si>
  <si>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</si>
  <si>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</si>
  <si>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</si>
  <si>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</si>
  <si>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</si>
  <si>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</si>
  <si>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</si>
  <si>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</si>
  <si>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</si>
  <si>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</si>
  <si>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</si>
  <si>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</si>
  <si>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</si>
  <si>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</si>
  <si>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</si>
  <si>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</si>
  <si>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</si>
  <si>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</si>
  <si>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</si>
  <si>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</si>
  <si>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</si>
  <si>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</si>
  <si>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</si>
  <si>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</si>
  <si>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</si>
  <si>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</si>
  <si>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</si>
  <si>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</si>
  <si>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</si>
  <si>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</si>
  <si>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</si>
  <si>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</si>
  <si>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</si>
  <si>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</si>
  <si>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</si>
  <si>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</si>
  <si>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</si>
  <si>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</si>
  <si>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</si>
  <si>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</si>
  <si>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</si>
  <si>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</si>
  <si>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</si>
  <si>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</si>
  <si>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</si>
  <si>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</si>
  <si>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</si>
  <si>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</si>
  <si>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</si>
  <si>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</si>
  <si>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</si>
  <si>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</si>
  <si>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</si>
  <si>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</si>
  <si>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</si>
  <si>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</si>
  <si>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</si>
  <si>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</si>
  <si>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</si>
  <si>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</si>
  <si>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</si>
  <si>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</si>
  <si>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</si>
  <si>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</si>
  <si>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</si>
  <si>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</si>
  <si>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</si>
  <si>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</si>
  <si>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</si>
  <si>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</si>
  <si>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</si>
  <si>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</si>
  <si>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</si>
  <si>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</si>
  <si>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</si>
  <si>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</si>
  <si>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</si>
  <si>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</si>
  <si>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</si>
  <si>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</si>
  <si>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</si>
  <si>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</si>
  <si>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</si>
  <si>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</si>
  <si>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</si>
  <si>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</si>
  <si>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</si>
  <si>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</si>
  <si>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</si>
  <si>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</si>
  <si>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</si>
  <si>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</si>
  <si>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</si>
  <si>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</si>
  <si>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</si>
  <si>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</si>
  <si>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</si>
  <si>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</si>
  <si>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</si>
  <si>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</si>
  <si>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</si>
  <si>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</si>
  <si>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</si>
  <si>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</si>
  <si>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</si>
  <si>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</si>
  <si>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</si>
  <si>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</si>
  <si>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</si>
  <si>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</si>
  <si>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</si>
  <si>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</si>
  <si>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</si>
  <si>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</si>
  <si>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</si>
  <si>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</si>
  <si>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</si>
  <si>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</si>
  <si>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</si>
  <si>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</si>
  <si>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</si>
  <si>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</si>
  <si>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</si>
  <si>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</si>
  <si>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</si>
  <si>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</si>
  <si>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</si>
  <si>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</si>
  <si>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</si>
  <si>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</si>
  <si>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</si>
  <si>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</si>
  <si>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</si>
  <si>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</si>
  <si>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</si>
  <si>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</si>
  <si>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</si>
  <si>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</si>
  <si>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</si>
  <si>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</si>
  <si>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</si>
  <si>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</si>
  <si>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</si>
  <si>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</si>
  <si>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</si>
  <si>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</si>
  <si>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</si>
  <si>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</si>
  <si>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</si>
  <si>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</si>
  <si>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</si>
  <si>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</si>
  <si>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</si>
  <si>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</si>
  <si>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</si>
  <si>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</si>
  <si>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</si>
  <si>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</si>
  <si>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</si>
  <si>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</si>
  <si>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</si>
  <si>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</si>
  <si>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</si>
  <si>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</si>
  <si>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</si>
  <si>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</si>
  <si>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</si>
  <si>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</si>
  <si>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</si>
  <si>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</si>
  <si>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</si>
  <si>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</si>
  <si>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</si>
  <si>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</si>
  <si>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</si>
  <si>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</si>
  <si>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</si>
  <si>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</si>
  <si>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</si>
  <si>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</si>
  <si>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</si>
  <si>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</si>
  <si>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</si>
  <si>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</si>
  <si>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</si>
  <si>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</si>
  <si>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</si>
  <si>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</si>
  <si>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</si>
  <si>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</si>
  <si>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</si>
  <si>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</si>
  <si>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</si>
  <si>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</si>
  <si>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</si>
  <si>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</si>
  <si>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</si>
  <si>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</si>
  <si>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</si>
  <si>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</si>
  <si>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</si>
  <si>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</si>
  <si>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</si>
  <si>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</si>
  <si>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</si>
  <si>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</si>
  <si>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</si>
  <si>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</si>
  <si>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</si>
  <si>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</si>
  <si>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</si>
  <si>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</si>
  <si>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</si>
  <si>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</si>
  <si>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</si>
  <si>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</si>
  <si>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</si>
  <si>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</si>
  <si>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</si>
  <si>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</si>
  <si>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</si>
  <si>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</si>
  <si>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</si>
  <si>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</si>
  <si>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</si>
  <si>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</si>
  <si>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</si>
  <si>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</si>
  <si>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</si>
  <si>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</si>
  <si>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</si>
  <si>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</si>
  <si>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</si>
  <si>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</si>
  <si>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</si>
  <si>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</si>
  <si>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</si>
  <si>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</si>
  <si>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</si>
  <si>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</si>
  <si>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</si>
  <si>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</si>
  <si>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</si>
  <si>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</si>
  <si>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</si>
  <si>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</si>
  <si>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</si>
  <si>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</si>
  <si>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</si>
  <si>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</si>
  <si>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</si>
  <si>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</si>
  <si>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</si>
  <si>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</si>
  <si>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</si>
  <si>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</si>
  <si>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</si>
  <si>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</si>
  <si>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</si>
  <si>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</si>
  <si>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</si>
  <si>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</si>
  <si>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</si>
  <si>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</si>
  <si>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</si>
  <si>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</si>
  <si>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</si>
  <si>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</si>
  <si>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</si>
  <si>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</si>
  <si>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</si>
  <si>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</si>
  <si>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</si>
  <si>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</si>
  <si>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</si>
  <si>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</si>
  <si>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</si>
  <si>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</si>
  <si>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</si>
  <si>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</si>
  <si>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</si>
  <si>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</si>
  <si>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</si>
  <si>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</si>
  <si>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</si>
  <si>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</si>
  <si>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</si>
  <si>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</si>
  <si>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</si>
  <si>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</si>
  <si>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</si>
  <si>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</si>
  <si>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</si>
  <si>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</si>
  <si>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</si>
  <si>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</si>
  <si>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</si>
  <si>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</si>
  <si>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</si>
  <si>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</si>
  <si>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</si>
  <si>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</si>
  <si>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</si>
  <si>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</si>
  <si>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</si>
  <si>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</si>
  <si>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</si>
  <si>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</si>
  <si>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</si>
  <si>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</si>
  <si>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</si>
  <si>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</si>
  <si>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</si>
  <si>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</si>
  <si>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</si>
  <si>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</si>
  <si>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</si>
  <si>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</si>
  <si>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</si>
  <si>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</si>
  <si>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</si>
  <si>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</si>
  <si>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</si>
  <si>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</si>
  <si>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</si>
  <si>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</si>
  <si>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</si>
  <si>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</si>
  <si>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</si>
  <si>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</si>
  <si>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</si>
  <si>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</si>
  <si>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</si>
  <si>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</si>
  <si>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</si>
  <si>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</si>
  <si>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</si>
  <si>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</si>
  <si>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</si>
  <si>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</si>
  <si>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</si>
  <si>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</si>
  <si>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</si>
  <si>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</si>
  <si>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</si>
  <si>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</si>
  <si>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</si>
  <si>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</si>
  <si>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</si>
  <si>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</si>
  <si>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</si>
  <si>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</si>
  <si>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</si>
  <si>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</si>
  <si>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</si>
  <si>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</si>
  <si>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</si>
  <si>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</si>
  <si>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</si>
  <si>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</si>
  <si>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</si>
  <si>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</si>
  <si>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</si>
  <si>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</si>
  <si>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</si>
  <si>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</si>
  <si>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</si>
  <si>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</si>
  <si>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</si>
  <si>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</si>
  <si>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</si>
  <si>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</si>
  <si>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</si>
  <si>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</si>
  <si>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</si>
  <si>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</si>
  <si>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</si>
  <si>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</si>
  <si>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</si>
  <si>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</si>
  <si>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</si>
  <si>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</si>
  <si>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</si>
  <si>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</si>
  <si>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</si>
  <si>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</si>
  <si>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</si>
  <si>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</si>
  <si>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</si>
  <si>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</si>
  <si>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</si>
  <si>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</si>
  <si>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</si>
  <si>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</si>
  <si>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</si>
  <si>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</si>
  <si>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</si>
  <si>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</si>
  <si>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</si>
  <si>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</si>
  <si>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</si>
  <si>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</si>
  <si>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</si>
  <si>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</si>
  <si>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</si>
  <si>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</si>
  <si>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</si>
  <si>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</si>
  <si>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</si>
  <si>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</si>
  <si>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</si>
  <si>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</si>
  <si>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</si>
  <si>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</si>
  <si>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</si>
  <si>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</si>
  <si>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</si>
  <si>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</si>
  <si>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</si>
  <si>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</si>
  <si>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</si>
  <si>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</si>
  <si>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</si>
  <si>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</si>
  <si>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</si>
  <si>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</si>
  <si>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</si>
  <si>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</si>
  <si>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</si>
  <si>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</si>
  <si>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</si>
  <si>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</si>
  <si>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</si>
  <si>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</si>
  <si>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</si>
  <si>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</si>
  <si>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</si>
  <si>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</si>
  <si>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</si>
  <si>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</si>
  <si>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</si>
  <si>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</si>
  <si>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</si>
  <si>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</si>
  <si>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</si>
  <si>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</si>
  <si>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</si>
  <si>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</si>
  <si>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</si>
  <si>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</si>
  <si>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</si>
  <si>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</si>
  <si>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</si>
  <si>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</si>
  <si>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</si>
  <si>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</si>
  <si>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</si>
  <si>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</si>
  <si>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</si>
  <si>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</si>
  <si>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</si>
  <si>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</si>
  <si>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</si>
  <si>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</si>
  <si>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</si>
  <si>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</si>
  <si>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</si>
  <si>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</si>
  <si>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</si>
  <si>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</si>
  <si>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</si>
  <si>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</si>
  <si>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</si>
  <si>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</si>
  <si>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</si>
  <si>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</si>
  <si>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</si>
  <si>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</si>
  <si>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</si>
  <si>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</si>
  <si>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</si>
  <si>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</si>
  <si>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</si>
  <si>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</si>
  <si>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</si>
  <si>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</si>
  <si>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</si>
  <si>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</si>
  <si>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</si>
  <si>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</si>
  <si>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</si>
  <si>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</si>
  <si>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</si>
  <si>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</si>
  <si>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</si>
  <si>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</si>
  <si>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</si>
  <si>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</si>
  <si>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</si>
  <si>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</si>
  <si>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</si>
  <si>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</si>
  <si>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</si>
  <si>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</si>
  <si>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</si>
  <si>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</si>
  <si>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</si>
  <si>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</si>
  <si>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</si>
  <si>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</si>
  <si>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</si>
  <si>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</si>
  <si>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</si>
  <si>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</si>
  <si>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</si>
  <si>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</si>
  <si>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</si>
  <si>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</si>
  <si>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</si>
  <si>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</si>
  <si>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</si>
  <si>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</si>
  <si>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</si>
  <si>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</si>
  <si>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</si>
  <si>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</si>
  <si>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</si>
  <si>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</si>
  <si>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</si>
  <si>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</si>
  <si>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</si>
  <si>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</si>
  <si>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</si>
  <si>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</si>
  <si>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</si>
  <si>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</si>
  <si>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</si>
  <si>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</si>
  <si>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</si>
  <si>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</si>
  <si>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</si>
  <si>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</si>
  <si>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</si>
  <si>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</si>
  <si>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</si>
  <si>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</si>
  <si>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</si>
  <si>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</si>
  <si>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</si>
  <si>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</si>
  <si>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</si>
  <si>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</si>
  <si>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</si>
  <si>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</si>
  <si>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</si>
  <si>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</si>
  <si>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</si>
  <si>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</si>
  <si>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</si>
  <si>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</si>
  <si>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</si>
  <si>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</si>
  <si>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</si>
  <si>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</si>
  <si>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</si>
  <si>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</si>
  <si>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</si>
  <si>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</si>
  <si>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</si>
  <si>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</si>
  <si>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</si>
  <si>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</si>
  <si>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</si>
  <si>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</si>
  <si>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</si>
  <si>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</si>
  <si>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</si>
  <si>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</si>
  <si>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</si>
  <si>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</si>
  <si>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</si>
  <si>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</si>
  <si>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</si>
  <si>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</si>
  <si>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</si>
  <si>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</si>
  <si>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</si>
  <si>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</si>
  <si>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</si>
  <si>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</si>
  <si>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</si>
  <si>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</si>
  <si>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</si>
  <si>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</si>
  <si>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</si>
  <si>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</si>
  <si>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</si>
  <si>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</si>
  <si>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</si>
  <si>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</si>
  <si>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</si>
  <si>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</si>
  <si>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</si>
  <si>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</si>
  <si>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</si>
  <si>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</si>
  <si>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</si>
  <si>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</si>
  <si>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</si>
  <si>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</si>
  <si>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</si>
  <si>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</si>
  <si>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</si>
  <si>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</si>
  <si>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</si>
  <si>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</si>
  <si>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</si>
  <si>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</si>
  <si>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</si>
  <si>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</si>
  <si>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</si>
  <si>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</si>
  <si>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</si>
  <si>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</si>
  <si>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</si>
  <si>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</si>
  <si>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</si>
  <si>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</si>
  <si>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</si>
  <si>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</si>
  <si>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</si>
  <si>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</si>
  <si>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</si>
  <si>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</si>
  <si>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</si>
  <si>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</si>
  <si>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</si>
  <si>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</si>
  <si>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</si>
  <si>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</si>
  <si>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</si>
  <si>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</si>
  <si>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</si>
  <si>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</si>
  <si>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</si>
  <si>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</si>
  <si>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</si>
  <si>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</si>
  <si>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</si>
  <si>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</si>
  <si>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</si>
  <si>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</si>
  <si>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</si>
  <si>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</si>
  <si>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</si>
  <si>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</si>
  <si>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</si>
  <si>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</si>
  <si>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</si>
  <si>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</si>
  <si>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</si>
  <si>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</si>
  <si>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</si>
  <si>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</si>
  <si>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</si>
  <si>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</si>
  <si>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</si>
  <si>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</si>
  <si>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</si>
  <si>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</si>
  <si>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</si>
  <si>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</si>
  <si>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</si>
  <si>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</si>
  <si>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</si>
  <si>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</si>
  <si>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</si>
  <si>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</si>
  <si>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</si>
  <si>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</si>
  <si>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</si>
  <si>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</si>
  <si>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</si>
  <si>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</si>
  <si>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</si>
  <si>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</si>
  <si>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</si>
  <si>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</si>
  <si>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</si>
  <si>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</si>
  <si>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</si>
  <si>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</si>
  <si>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</si>
  <si>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</si>
  <si>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</si>
  <si>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</si>
  <si>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</si>
  <si>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</si>
  <si>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</si>
  <si>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</si>
  <si>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</si>
  <si>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</si>
  <si>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</si>
  <si>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</si>
  <si>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</si>
  <si>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</si>
  <si>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</si>
  <si>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</si>
  <si>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</si>
  <si>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</si>
  <si>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</si>
  <si>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</si>
  <si>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</si>
  <si>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</si>
  <si>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</si>
  <si>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</si>
  <si>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</si>
  <si>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</si>
  <si>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</si>
  <si>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</si>
  <si>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</si>
  <si>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</si>
  <si>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</si>
  <si>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</si>
  <si>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</si>
  <si>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</si>
  <si>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</si>
  <si>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</si>
  <si>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</si>
  <si>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</si>
  <si>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</si>
  <si>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</si>
  <si>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</si>
  <si>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</si>
  <si>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</si>
  <si>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</si>
  <si>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</si>
  <si>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</si>
  <si>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</si>
  <si>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</si>
  <si>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</si>
  <si>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</si>
  <si>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</si>
  <si>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</si>
  <si>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</si>
  <si>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</si>
  <si>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</si>
  <si>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</si>
  <si>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</si>
  <si>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</si>
  <si>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</si>
  <si>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</si>
  <si>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</si>
  <si>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</si>
  <si>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</si>
  <si>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</si>
  <si>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</si>
  <si>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</si>
  <si>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</si>
  <si>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</si>
  <si>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</si>
  <si>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</si>
  <si>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</si>
  <si>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</si>
  <si>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</si>
  <si>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</si>
  <si>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</si>
  <si>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</si>
  <si>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</si>
  <si>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</si>
  <si>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</si>
  <si>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</si>
  <si>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</si>
  <si>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</si>
  <si>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</si>
  <si>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</si>
  <si>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</si>
  <si>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</si>
  <si>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</si>
  <si>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</si>
  <si>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</si>
  <si>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</si>
  <si>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</si>
  <si>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</si>
  <si>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</si>
  <si>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</si>
  <si>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</si>
  <si>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</si>
  <si>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</si>
  <si>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</si>
  <si>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</si>
  <si>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</si>
  <si>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</si>
  <si>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</si>
  <si>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</si>
  <si>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</si>
  <si>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</si>
  <si>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</si>
  <si>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</si>
  <si>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</si>
  <si>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</si>
  <si>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</si>
  <si>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</si>
  <si>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</si>
  <si>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</si>
  <si>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</si>
  <si>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</si>
  <si>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</si>
  <si>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</si>
  <si>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</si>
  <si>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</si>
  <si>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</si>
  <si>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</si>
  <si>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</si>
  <si>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</si>
  <si>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</si>
  <si>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</si>
  <si>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</si>
  <si>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</si>
  <si>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</si>
  <si>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</si>
  <si>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</si>
  <si>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</si>
  <si>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</si>
  <si>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</si>
  <si>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</si>
  <si>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</si>
  <si>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</si>
  <si>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</si>
  <si>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</si>
  <si>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</si>
  <si>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</si>
  <si>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</si>
  <si>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</si>
  <si>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</si>
  <si>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</si>
  <si>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</si>
  <si>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</si>
  <si>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</si>
  <si>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</si>
  <si>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</si>
  <si>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</si>
  <si>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</si>
  <si>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</si>
  <si>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</si>
  <si>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</si>
  <si>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</si>
  <si>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</si>
  <si>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</si>
  <si>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</si>
  <si>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</si>
  <si>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</si>
  <si>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</si>
  <si>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</si>
  <si>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</si>
  <si>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</si>
  <si>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</si>
  <si>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</si>
  <si>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</si>
  <si>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</si>
  <si>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</si>
  <si>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</si>
  <si>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</si>
  <si>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</si>
  <si>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</si>
  <si>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</si>
  <si>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</si>
  <si>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</si>
  <si>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</si>
  <si>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</si>
  <si>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</si>
  <si>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</si>
  <si>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</si>
  <si>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</si>
  <si>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</si>
  <si>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</si>
  <si>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</si>
  <si>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</si>
  <si>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</si>
  <si>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</si>
  <si>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</si>
  <si>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</si>
  <si>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</si>
  <si>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</si>
  <si>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</si>
  <si>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</si>
  <si>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</si>
  <si>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</si>
  <si>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</si>
  <si>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</si>
  <si>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</si>
  <si>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</si>
  <si>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</si>
  <si>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</si>
  <si>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</si>
  <si>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</si>
  <si>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</si>
  <si>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</si>
  <si>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</si>
  <si>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</si>
  <si>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</si>
  <si>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</si>
  <si>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</si>
  <si>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</si>
  <si>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</si>
  <si>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</si>
  <si>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</si>
  <si>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</si>
  <si>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</si>
  <si>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</si>
  <si>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</si>
  <si>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</si>
  <si>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</si>
  <si>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</si>
  <si>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</si>
  <si>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</si>
  <si>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</si>
  <si>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</si>
  <si>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</si>
  <si>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</si>
  <si>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</si>
  <si>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</si>
  <si>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</si>
  <si>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</si>
  <si>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</si>
  <si>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</si>
  <si>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</si>
  <si>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</si>
  <si>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</si>
  <si>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</si>
  <si>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</si>
  <si>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</si>
  <si>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</si>
  <si>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</si>
  <si>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</si>
  <si>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</si>
  <si>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</si>
  <si>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</si>
  <si>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</si>
  <si>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</si>
  <si>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</si>
  <si>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</si>
  <si>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</si>
  <si>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</si>
  <si>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</si>
  <si>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</si>
  <si>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</si>
  <si>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</si>
  <si>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</si>
  <si>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</si>
  <si>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</si>
  <si>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</si>
  <si>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</si>
  <si>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</si>
  <si>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</si>
  <si>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</si>
  <si>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</si>
  <si>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</si>
  <si>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</si>
  <si>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</si>
  <si>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</si>
  <si>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</si>
  <si>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</si>
  <si>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</si>
  <si>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</si>
  <si>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</si>
  <si>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</si>
  <si>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</si>
  <si>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</si>
  <si>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</si>
  <si>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</si>
  <si>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</si>
  <si>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</si>
  <si>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</si>
  <si>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</si>
  <si>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</si>
  <si>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</si>
  <si>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</si>
  <si>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</si>
  <si>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</si>
  <si>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</si>
  <si>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</si>
  <si>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</si>
  <si>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</si>
  <si>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</si>
  <si>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</si>
  <si>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</si>
  <si>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</si>
  <si>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</si>
  <si>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</si>
  <si>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</si>
  <si>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</si>
  <si>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</si>
  <si>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</si>
  <si>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</si>
  <si>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</si>
  <si>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</si>
  <si>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</si>
  <si>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</si>
  <si>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</si>
  <si>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</si>
  <si>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</si>
  <si>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</si>
  <si>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</si>
  <si>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</si>
  <si>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</si>
  <si>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</si>
  <si>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</si>
  <si>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</si>
  <si>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</si>
  <si>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</si>
  <si>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</si>
  <si>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</si>
  <si>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</si>
  <si>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</si>
  <si>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</si>
  <si>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</si>
  <si>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</si>
  <si>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</si>
  <si>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</si>
  <si>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</si>
  <si>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</si>
  <si>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</si>
  <si>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</si>
  <si>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</si>
  <si>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</si>
  <si>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</si>
  <si>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</si>
  <si>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</si>
  <si>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</si>
  <si>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</si>
  <si>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</si>
  <si>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</si>
  <si>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</si>
  <si>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</si>
  <si>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</si>
  <si>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</si>
  <si>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</si>
  <si>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</si>
  <si>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</si>
  <si>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</si>
  <si>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</si>
  <si>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</si>
  <si>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</si>
  <si>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</si>
  <si>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</si>
  <si>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</si>
  <si>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</si>
  <si>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</si>
  <si>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</si>
  <si>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</si>
  <si>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</si>
  <si>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</si>
  <si>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</si>
  <si>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</si>
  <si>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</si>
  <si>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</si>
  <si>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</si>
  <si>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</si>
  <si>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</si>
  <si>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</si>
  <si>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</si>
  <si>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</si>
  <si>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</si>
  <si>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</si>
  <si>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</si>
  <si>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</si>
  <si>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</si>
  <si>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</si>
  <si>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</si>
  <si>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</si>
  <si>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</si>
  <si>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</si>
  <si>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</si>
  <si>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</si>
  <si>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</si>
  <si>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</si>
  <si>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</si>
  <si>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</si>
  <si>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</si>
  <si>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</si>
  <si>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</si>
  <si>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</si>
  <si>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</si>
  <si>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</si>
  <si>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</si>
  <si>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</si>
  <si>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</si>
  <si>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</si>
  <si>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</si>
  <si>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</si>
  <si>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</si>
  <si>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</si>
  <si>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</si>
  <si>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</si>
  <si>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</si>
  <si>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</si>
  <si>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</si>
  <si>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</si>
  <si>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</si>
  <si>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</si>
  <si>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</si>
  <si>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</si>
  <si>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</si>
  <si>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</si>
  <si>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</si>
  <si>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</si>
  <si>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</si>
  <si>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</si>
  <si>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</si>
  <si>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</si>
  <si>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</si>
  <si>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</si>
  <si>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</si>
  <si>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</si>
  <si>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</si>
  <si>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</si>
  <si>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</si>
  <si>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</si>
  <si>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</si>
  <si>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</si>
  <si>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</si>
  <si>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</si>
  <si>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</si>
  <si>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</si>
  <si>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</si>
  <si>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</si>
  <si>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</si>
  <si>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</si>
  <si>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</si>
  <si>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</si>
  <si>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</si>
  <si>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</si>
  <si>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</si>
  <si>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</si>
  <si>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</si>
  <si>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</si>
  <si>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</si>
  <si>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</si>
  <si>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</si>
  <si>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</si>
  <si>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</si>
  <si>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</si>
  <si>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</si>
  <si>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</si>
  <si>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</si>
  <si>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</si>
  <si>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</si>
  <si>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</si>
  <si>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</si>
  <si>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</si>
  <si>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</si>
  <si>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</si>
  <si>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</si>
  <si>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</si>
  <si>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</si>
  <si>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</si>
  <si>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</si>
  <si>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</si>
  <si>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</si>
  <si>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</si>
  <si>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</si>
  <si>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</si>
  <si>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</si>
  <si>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</si>
  <si>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</si>
  <si>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</si>
  <si>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</si>
  <si>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</si>
  <si>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</si>
  <si>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</si>
  <si>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</si>
  <si>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</si>
  <si>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</si>
  <si>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</si>
  <si>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</si>
  <si>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</si>
  <si>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</si>
  <si>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</si>
  <si>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</si>
  <si>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</si>
  <si>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</si>
  <si>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</si>
  <si>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</si>
  <si>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</si>
  <si>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</si>
  <si>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</si>
  <si>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</si>
  <si>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</si>
  <si>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</si>
  <si>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</si>
  <si>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</si>
  <si>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</si>
  <si>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</si>
  <si>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</si>
  <si>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</si>
  <si>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</si>
  <si>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</si>
  <si>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</si>
  <si>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</si>
  <si>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</si>
  <si>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</si>
  <si>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</si>
  <si>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</si>
  <si>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</si>
  <si>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</si>
  <si>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</si>
  <si>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</si>
  <si>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</si>
  <si>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</si>
  <si>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</si>
  <si>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</si>
  <si>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</si>
  <si>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</si>
  <si>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</si>
  <si>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</si>
  <si>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</si>
  <si>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</si>
  <si>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</si>
  <si>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</si>
  <si>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</si>
  <si>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</si>
  <si>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</si>
  <si>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</si>
  <si>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</si>
  <si>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</si>
  <si>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</si>
  <si>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</si>
  <si>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</si>
  <si>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</si>
  <si>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</si>
  <si>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</si>
  <si>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</si>
  <si>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</si>
  <si>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</si>
  <si>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</si>
  <si>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</si>
  <si>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</si>
  <si>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</si>
  <si>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</si>
  <si>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</si>
  <si>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</si>
  <si>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</si>
  <si>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</si>
  <si>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</si>
  <si>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</si>
  <si>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</si>
  <si>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</si>
  <si>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</si>
  <si>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</si>
  <si>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</si>
  <si>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</si>
  <si>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</si>
  <si>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</si>
  <si>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</si>
  <si>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</si>
  <si>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</si>
  <si>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</si>
  <si>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</si>
  <si>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</si>
  <si>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</si>
  <si>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</si>
  <si>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</si>
  <si>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</si>
  <si>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</si>
  <si>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</si>
  <si>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</si>
  <si>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</si>
  <si>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</si>
  <si>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</si>
  <si>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</si>
  <si>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</si>
  <si>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</si>
  <si>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</si>
  <si>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</si>
  <si>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</si>
  <si>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</si>
  <si>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</si>
  <si>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</si>
  <si>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</si>
  <si>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</si>
  <si>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</si>
  <si>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</si>
  <si>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</si>
  <si>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</si>
  <si>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</si>
  <si>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</si>
  <si>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</si>
  <si>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</si>
  <si>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</si>
  <si>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</si>
  <si>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</si>
  <si>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</si>
  <si>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</si>
  <si>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</si>
  <si>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</si>
  <si>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</si>
  <si>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</si>
  <si>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</si>
  <si>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</si>
  <si>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</si>
  <si>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</si>
  <si>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</si>
  <si>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</si>
  <si>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</si>
  <si>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</si>
  <si>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</si>
  <si>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</si>
  <si>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</si>
  <si>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</si>
  <si>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</si>
  <si>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</si>
  <si>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</si>
  <si>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</si>
  <si>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</si>
  <si>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</si>
  <si>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</si>
  <si>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</si>
  <si>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</si>
  <si>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</si>
  <si>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</si>
  <si>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</si>
  <si>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</si>
  <si>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</si>
  <si>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</si>
  <si>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</si>
  <si>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</si>
  <si>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</si>
  <si>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</si>
  <si>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</si>
  <si>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</si>
  <si>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</si>
  <si>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</si>
  <si>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</si>
  <si>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</si>
  <si>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</si>
  <si>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</si>
  <si>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</si>
  <si>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</si>
  <si>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</si>
  <si>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</si>
  <si>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</si>
  <si>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</si>
  <si>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</si>
  <si>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</si>
  <si>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</si>
  <si>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</si>
  <si>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</si>
  <si>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</si>
  <si>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</si>
  <si>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</si>
  <si>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</si>
  <si>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</si>
  <si>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</si>
  <si>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</si>
  <si>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</si>
  <si>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</si>
  <si>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</si>
  <si>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</si>
  <si>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</si>
  <si>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</si>
  <si>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</si>
  <si>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</si>
  <si>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</si>
  <si>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</si>
  <si>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</si>
  <si>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</si>
  <si>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</si>
  <si>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</si>
  <si>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</si>
  <si>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</si>
  <si>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</si>
  <si>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</si>
  <si>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</si>
  <si>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</si>
  <si>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</si>
  <si>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</si>
  <si>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</si>
  <si>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</si>
  <si>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</si>
  <si>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</si>
  <si>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</si>
  <si>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</si>
  <si>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</si>
  <si>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</si>
  <si>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</si>
  <si>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</si>
  <si>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</si>
  <si>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</si>
  <si>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</si>
  <si>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</si>
  <si>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</si>
  <si>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</si>
  <si>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</si>
  <si>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</si>
  <si>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</si>
  <si>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</si>
  <si>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</si>
  <si>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</si>
  <si>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</si>
  <si>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</si>
  <si>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</si>
  <si>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</si>
  <si>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</si>
  <si>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</si>
  <si>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</si>
  <si>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</si>
  <si>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</si>
  <si>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</si>
  <si>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</si>
  <si>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</si>
  <si>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</si>
  <si>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</si>
  <si>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</si>
  <si>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</si>
  <si>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</si>
  <si>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</si>
  <si>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</si>
  <si>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</si>
  <si>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</si>
  <si>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</si>
  <si>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</si>
  <si>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</si>
  <si>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</si>
  <si>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</si>
  <si>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</si>
  <si>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</si>
  <si>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</si>
  <si>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</si>
  <si>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</si>
  <si>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</si>
  <si>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</si>
  <si>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</si>
  <si>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</si>
  <si>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</si>
  <si>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</si>
  <si>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</si>
  <si>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</si>
  <si>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</si>
  <si>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</si>
  <si>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</si>
  <si>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</si>
  <si>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</si>
  <si>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</si>
  <si>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</si>
  <si>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</si>
  <si>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</si>
  <si>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</si>
  <si>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</si>
  <si>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</si>
  <si>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</si>
  <si>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</si>
  <si>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</si>
  <si>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</si>
  <si>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</si>
  <si>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</si>
  <si>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</si>
  <si>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</si>
  <si>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</si>
  <si>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</si>
  <si>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</si>
  <si>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</si>
  <si>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</si>
  <si>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</si>
  <si>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</si>
  <si>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</si>
  <si>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</si>
  <si>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</si>
  <si>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</si>
  <si>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</si>
  <si>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</si>
  <si>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</si>
  <si>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</si>
  <si>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</si>
  <si>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</si>
  <si>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</si>
  <si>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</si>
  <si>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</si>
  <si>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</si>
  <si>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</si>
  <si>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</si>
  <si>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</si>
  <si>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</si>
  <si>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</si>
  <si>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</si>
  <si>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</si>
  <si>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</si>
  <si>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</si>
  <si>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</si>
  <si>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</si>
  <si>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</si>
  <si>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</si>
  <si>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</si>
  <si>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</si>
  <si>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</si>
  <si>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</si>
  <si>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</si>
  <si>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</si>
  <si>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</si>
  <si>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</si>
  <si>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</si>
  <si>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</si>
  <si>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</si>
  <si>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</si>
  <si>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</si>
  <si>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</si>
  <si>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</si>
  <si>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</si>
  <si>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</si>
  <si>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</si>
  <si>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</si>
  <si>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</si>
  <si>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</si>
  <si>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</si>
  <si>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</si>
  <si>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</si>
  <si>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</si>
  <si>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</si>
  <si>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</si>
  <si>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</si>
  <si>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</si>
  <si>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</si>
  <si>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</si>
  <si>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</si>
  <si>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</si>
  <si>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</si>
  <si>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</si>
  <si>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</si>
  <si>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</si>
  <si>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</si>
  <si>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</si>
  <si>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</si>
  <si>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</si>
  <si>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</si>
  <si>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</si>
  <si>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</si>
  <si>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</si>
  <si>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</si>
  <si>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</si>
  <si>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</si>
  <si>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</si>
  <si>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</si>
  <si>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</si>
  <si>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</si>
  <si>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</si>
  <si>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</si>
  <si>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</si>
  <si>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</si>
  <si>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</si>
  <si>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</si>
  <si>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</si>
  <si>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</si>
  <si>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</si>
  <si>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</si>
  <si>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</si>
  <si>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</si>
  <si>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</si>
  <si>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</si>
  <si>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</si>
  <si>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</si>
  <si>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</si>
  <si>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</si>
  <si>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</si>
  <si>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</si>
  <si>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</si>
  <si>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</si>
  <si>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</si>
  <si>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</si>
  <si>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</si>
  <si>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</si>
  <si>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</si>
  <si>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</si>
  <si>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</si>
  <si>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</si>
  <si>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</si>
  <si>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</si>
  <si>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</si>
  <si>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</si>
  <si>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</si>
  <si>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</si>
  <si>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</si>
  <si>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</si>
  <si>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</si>
  <si>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</si>
  <si>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</si>
  <si>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</si>
  <si>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</si>
  <si>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</si>
  <si>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</si>
  <si>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</si>
  <si>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</si>
  <si>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</si>
  <si>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</si>
  <si>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</si>
  <si>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</si>
  <si>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</si>
  <si>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</si>
  <si>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</si>
  <si>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</si>
  <si>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</si>
  <si>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</si>
  <si>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</si>
  <si>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</si>
  <si>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</si>
  <si>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</si>
  <si>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</si>
  <si>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</si>
  <si>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</si>
  <si>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</si>
  <si>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</si>
  <si>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</si>
  <si>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</si>
  <si>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</si>
  <si>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</si>
  <si>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</si>
  <si>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</si>
  <si>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</si>
  <si>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</si>
  <si>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</si>
  <si>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</si>
  <si>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</si>
  <si>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</si>
  <si>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</si>
  <si>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</si>
  <si>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</si>
  <si>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</si>
  <si>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</si>
  <si>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</si>
  <si>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</si>
  <si>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</si>
  <si>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</si>
  <si>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</si>
  <si>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</si>
  <si>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</si>
  <si>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</si>
  <si>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</si>
  <si>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</si>
  <si>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</si>
  <si>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</si>
  <si>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</si>
  <si>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</si>
  <si>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</si>
  <si>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</si>
  <si>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</si>
  <si>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</si>
  <si>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</si>
  <si>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</si>
  <si>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</si>
  <si>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</si>
  <si>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</si>
  <si>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</si>
  <si>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</si>
  <si>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</si>
  <si>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</si>
  <si>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</si>
  <si>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</si>
  <si>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</si>
  <si>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</si>
  <si>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</si>
  <si>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</si>
  <si>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</si>
  <si>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</si>
  <si>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</si>
  <si>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</si>
  <si>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</si>
  <si>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</si>
  <si>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</si>
  <si>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</si>
  <si>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</si>
  <si>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</si>
  <si>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</si>
  <si>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</si>
  <si>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</si>
  <si>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</si>
  <si>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</si>
  <si>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</si>
  <si>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</si>
  <si>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</si>
  <si>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</si>
  <si>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</si>
  <si>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</si>
  <si>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</si>
  <si>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</si>
  <si>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</si>
  <si>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</si>
  <si>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</si>
  <si>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</si>
  <si>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</si>
  <si>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</si>
  <si>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</si>
  <si>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</si>
  <si>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</si>
  <si>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</si>
  <si>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</si>
  <si>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</si>
  <si>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</si>
  <si>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</si>
  <si>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</si>
  <si>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</si>
  <si>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</si>
  <si>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</si>
  <si>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</si>
  <si>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</si>
  <si>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</si>
  <si>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</si>
  <si>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</si>
  <si>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</si>
  <si>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</si>
  <si>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</si>
  <si>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</si>
  <si>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</si>
  <si>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</si>
  <si>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</si>
  <si>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</si>
  <si>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</si>
  <si>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</si>
  <si>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</si>
  <si>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</si>
  <si>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</si>
  <si>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</si>
  <si>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</si>
  <si>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</si>
  <si>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</si>
  <si>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</si>
  <si>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</si>
  <si>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</si>
  <si>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</si>
  <si>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</si>
  <si>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</si>
  <si>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</si>
  <si>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</si>
  <si>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</si>
  <si>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</si>
  <si>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</si>
  <si>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</si>
  <si>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</si>
  <si>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</si>
  <si>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</si>
  <si>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</si>
  <si>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</si>
  <si>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</si>
  <si>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</si>
  <si>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</si>
  <si>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</si>
  <si>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</si>
  <si>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</si>
  <si>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</si>
  <si>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</si>
  <si>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</si>
  <si>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</si>
  <si>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</si>
  <si>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</si>
  <si>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</si>
  <si>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</si>
  <si>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</si>
  <si>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</si>
  <si>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</si>
  <si>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</si>
  <si>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</si>
  <si>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</si>
  <si>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</si>
  <si>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</si>
  <si>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</si>
  <si>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</si>
  <si>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</si>
  <si>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</si>
  <si>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</si>
  <si>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</si>
  <si>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</si>
  <si>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</si>
  <si>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</si>
  <si>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</si>
  <si>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</si>
  <si>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</si>
  <si>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</si>
  <si>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</si>
  <si>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</si>
  <si>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</si>
  <si>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</si>
  <si>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</si>
  <si>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</si>
  <si>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</si>
  <si>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</si>
  <si>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</si>
  <si>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</si>
  <si>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</si>
  <si>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</si>
  <si>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</si>
  <si>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</si>
  <si>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</si>
  <si>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</si>
  <si>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</si>
  <si>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</si>
  <si>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</si>
  <si>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</si>
  <si>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</si>
  <si>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</si>
  <si>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</si>
  <si>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</si>
  <si>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</si>
  <si>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</si>
  <si>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</si>
  <si>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</si>
  <si>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</si>
  <si>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</si>
  <si>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</si>
  <si>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</si>
  <si>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</si>
  <si>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</si>
  <si>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Kemper CPA Group LLP</t>
  </si>
  <si>
    <t>Krista McLaren</t>
  </si>
  <si>
    <t>Wayne</t>
  </si>
  <si>
    <t>North Wayne CUSD 200</t>
  </si>
  <si>
    <t>P.O. Box 235</t>
  </si>
  <si>
    <t>Cisne</t>
  </si>
  <si>
    <t>Lucas Schroeder</t>
  </si>
  <si>
    <t>703 W. Main St</t>
  </si>
  <si>
    <t>Olney</t>
  </si>
  <si>
    <t>IL</t>
  </si>
  <si>
    <t>618-395-2105</t>
  </si>
  <si>
    <t>618-395-7079</t>
  </si>
  <si>
    <t>kmclaren@kempercpa.com</t>
  </si>
  <si>
    <t>618-673-2151</t>
  </si>
  <si>
    <t>618-673-2152</t>
  </si>
  <si>
    <t>lschroeder@northwayne.net</t>
  </si>
  <si>
    <t>Part C, Number 23:  The Auditor's Report contains a qualified opinion because the financial statements do not include disclosures regarding postemployment health insurance benefits required by the financial reporting provisions of the ISBE.</t>
  </si>
  <si>
    <t>Outsourced services to Wabash &amp; Ohio Valley Special</t>
  </si>
  <si>
    <t>Outsourced services to Clay, Jasper, Richland, North Wayne</t>
  </si>
  <si>
    <t>Continuation of Special Education Cooperatives - Education District and Carmi CUSD 5</t>
  </si>
  <si>
    <t>Continuation of Vocational Education Cooperatives - Regional Vocational System</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</si>
  <si>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</si>
  <si>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expertise to draft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</si>
  <si>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</si>
  <si>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</si>
  <si>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</si>
  <si>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of contract with an independent contractor with the knowledge to properly prepare the financial statements.</t>
  </si>
  <si>
    <t>The District does not intent to correct the finding in the next fiscal year.</t>
  </si>
  <si>
    <t>2018-001</t>
  </si>
  <si>
    <t>Repeated as 2019-001</t>
  </si>
  <si>
    <t>The District does not currently employ an</t>
  </si>
  <si>
    <t>individual with the necessary knowledge and</t>
  </si>
  <si>
    <t>statements.</t>
  </si>
  <si>
    <t xml:space="preserve"> expertise to draft the footnotes to the financial</t>
  </si>
  <si>
    <t>Page 9, Line 74: Other Food Service - Adult-a-la-carte - $1,030</t>
  </si>
  <si>
    <t>Page 12, Line 168: Other Restricted Revenue from State Sources - Other State Revenue - $684</t>
  </si>
  <si>
    <t>Page 11, Line 140: CTE - Other - Elementary Career Grant - $241</t>
  </si>
  <si>
    <t>Page 14, Line 272: Other Restricted Revenue from Federal Sources - Reap Grant - $31,287</t>
  </si>
  <si>
    <t>Page 15, Line 41: Other Support Services - Pupil - Other Support Salaries - $6,068, Other Support Subs - $153</t>
  </si>
  <si>
    <t>Page 11, Line 107: Other Local Revenues - Other Revenue - $2,582</t>
  </si>
  <si>
    <t>Page 11, Line 107: Other Local Revenues - Other Revenues - $6,470</t>
  </si>
  <si>
    <t>Municpal Retirement/Social Security Fund</t>
  </si>
  <si>
    <t>Page 11, Line 107: Other Local Revenues - Other Revenue - $19,540</t>
  </si>
  <si>
    <t>Page 15, Line 237: Other Support Services - Pupils - Other Support IMRF - $291, Other Support FICA - $386, Other Support FICA/Medicare - $90</t>
  </si>
  <si>
    <t>Not applicable</t>
  </si>
  <si>
    <t>District did not spend more than $750,000 of Federal Awards</t>
  </si>
  <si>
    <t>N/A</t>
  </si>
  <si>
    <t>Common Goal Systems</t>
  </si>
  <si>
    <t>Bushue Human Resources</t>
  </si>
  <si>
    <t>Tort - Risk Management &amp; Claims Services</t>
  </si>
  <si>
    <t>Education - Guidance</t>
  </si>
  <si>
    <t>Aramark</t>
  </si>
  <si>
    <t>AAA Disposal Service</t>
  </si>
  <si>
    <t>Security Alarm</t>
  </si>
  <si>
    <t>Terminix</t>
  </si>
  <si>
    <t>FESSI</t>
  </si>
  <si>
    <t>Johnston Sanitation</t>
  </si>
  <si>
    <t>Miller, Tracy, Braun, Funk, Miller</t>
  </si>
  <si>
    <t>Sonitrol</t>
  </si>
  <si>
    <t>Kemper CPA Group</t>
  </si>
  <si>
    <t>Education - Board of Education Services</t>
  </si>
  <si>
    <t>Building - Operation &amp; Maintenance of Plant Services</t>
  </si>
  <si>
    <t>Education  - Food Services</t>
  </si>
  <si>
    <t>Tort - Legal Services</t>
  </si>
  <si>
    <t>10-2100-300</t>
  </si>
  <si>
    <t>80-2300-300</t>
  </si>
  <si>
    <t>10-2560-300</t>
  </si>
  <si>
    <t>20-2540-300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</si>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</sst>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66" fillId="0" borderId="78" xfId="0" applyFont="1" applyBorder="1" applyAlignment="1">
      <alignment horizontal="center"/>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2</xdr:row>
          <xdr:rowOff>104775</xdr:rowOff>
        </xdr:from>
        <xdr:to>
          <xdr:col>1</xdr:col>
          <xdr:colOff>1123950</xdr:colOff>
          <xdr:row>6</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2</xdr:row>
          <xdr:rowOff>114300</xdr:rowOff>
        </xdr:from>
        <xdr:to>
          <xdr:col>1</xdr:col>
          <xdr:colOff>2324100</xdr:colOff>
          <xdr:row>6</xdr:row>
          <xdr:rowOff>152400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2571750</xdr:colOff>
          <xdr:row>2</xdr:row>
          <xdr:rowOff>104775</xdr:rowOff>
        </xdr:from>
        <xdr:to>
          <xdr:col>1</xdr:col>
          <xdr:colOff>3486150</xdr:colOff>
          <xdr:row>6</xdr:row>
          <xdr:rowOff>142875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3714750</xdr:colOff>
          <xdr:row>2</xdr:row>
          <xdr:rowOff>123825</xdr:rowOff>
        </xdr:from>
        <xdr:to>
          <xdr:col>3</xdr:col>
          <xdr:colOff>38100</xdr:colOff>
          <xdr:row>6</xdr:row>
          <xdr:rowOff>161925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20096200026</v>
      </c>
      <c r="B13" s="2019"/>
      <c r="C13" s="2019"/>
      <c r="D13" s="2019"/>
      <c r="E13" s="2019"/>
      <c r="F13" s="2019"/>
      <c r="G13" s="2019"/>
      <c r="H13" s="2020"/>
      <c r="I13" s="31"/>
      <c r="J13" s="30"/>
      <c r="K13" s="28"/>
      <c r="L13" s="30"/>
      <c r="M13" s="30"/>
      <c r="N13" s="30"/>
      <c r="O13" s="30"/>
      <c r="P13" s="30"/>
      <c r="Q13" s="30"/>
      <c r="R13" s="30"/>
      <c r="S13" s="30"/>
      <c r="T13" s="2023" t="s">
        <v>2065</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2067</v>
      </c>
      <c r="B15" s="2021"/>
      <c r="C15" s="2021"/>
      <c r="D15" s="2021"/>
      <c r="E15" s="2021"/>
      <c r="F15" s="2021"/>
      <c r="G15" s="2021"/>
      <c r="H15" s="2022"/>
      <c r="T15" s="2027" t="s">
        <v>2066</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2068</v>
      </c>
      <c r="B17" s="1978"/>
      <c r="C17" s="1978"/>
      <c r="D17" s="1978"/>
      <c r="E17" s="1978"/>
      <c r="F17" s="1978"/>
      <c r="G17" s="1978"/>
      <c r="H17" s="2003"/>
      <c r="T17" s="2034" t="s">
        <v>2072</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2069</v>
      </c>
      <c r="B19" s="1963"/>
      <c r="C19" s="1963"/>
      <c r="D19" s="1963"/>
      <c r="E19" s="1963"/>
      <c r="F19" s="1963"/>
      <c r="G19" s="1963"/>
      <c r="H19" s="1943"/>
      <c r="I19" s="30"/>
      <c r="J19" s="99"/>
      <c r="K19" s="40"/>
      <c r="L19" s="38"/>
      <c r="M19" s="112" t="s">
        <v>315</v>
      </c>
      <c r="P19" s="27"/>
      <c r="Q19" s="27"/>
      <c r="R19" s="27"/>
      <c r="S19" s="31"/>
      <c r="T19" s="2017" t="s">
        <v>2073</v>
      </c>
      <c r="U19" s="1942"/>
      <c r="V19" s="1942"/>
      <c r="W19" s="1943"/>
      <c r="X19" s="2032" t="s">
        <v>2074</v>
      </c>
      <c r="Y19" s="2033"/>
      <c r="Z19" s="2030">
        <v>62450</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2070</v>
      </c>
      <c r="B21" s="1942"/>
      <c r="C21" s="1942"/>
      <c r="D21" s="1942"/>
      <c r="E21" s="1942"/>
      <c r="F21" s="1942"/>
      <c r="G21" s="1942"/>
      <c r="H21" s="1943"/>
      <c r="I21" s="1997" t="s">
        <v>678</v>
      </c>
      <c r="J21" s="1992"/>
      <c r="K21" s="1992"/>
      <c r="L21" s="1992"/>
      <c r="M21" s="1992"/>
      <c r="N21" s="1992"/>
      <c r="O21" s="1992"/>
      <c r="P21" s="1992"/>
      <c r="Q21" s="1992"/>
      <c r="R21" s="1992"/>
      <c r="S21" s="1998"/>
      <c r="T21" s="2041" t="s">
        <v>2075</v>
      </c>
      <c r="U21" s="2042"/>
      <c r="V21" s="2042"/>
      <c r="W21" s="2042"/>
      <c r="X21" s="2047" t="s">
        <v>2076</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v>65.032562999999996</v>
      </c>
      <c r="U23" s="2040"/>
      <c r="V23" s="2040"/>
      <c r="W23" s="2040"/>
      <c r="X23" s="2044">
        <v>44469</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62823</v>
      </c>
      <c r="B25" s="1942"/>
      <c r="C25" s="1942"/>
      <c r="D25" s="1942"/>
      <c r="E25" s="1942"/>
      <c r="F25" s="1942"/>
      <c r="G25" s="1942"/>
      <c r="H25" s="1943"/>
      <c r="I25" s="113"/>
      <c r="J25" s="1966"/>
      <c r="K25" s="1966"/>
      <c r="L25" s="1966"/>
      <c r="M25" s="1966"/>
      <c r="N25" s="1966"/>
      <c r="O25" s="1966"/>
      <c r="P25" s="1966"/>
      <c r="Q25" s="1966"/>
      <c r="R25" s="1966"/>
      <c r="S25" s="1967"/>
      <c r="T25" s="2037" t="s">
        <v>2077</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2071</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2080</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2078</v>
      </c>
      <c r="B42" s="1961"/>
      <c r="C42" s="1962"/>
      <c r="D42" s="1960" t="s">
        <v>2079</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J22" sqref="J2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1219493</v>
      </c>
      <c r="C4" s="1524"/>
      <c r="D4" s="1752">
        <f>B4-C4</f>
        <v>1219493</v>
      </c>
      <c r="E4" s="1524">
        <v>1311617</v>
      </c>
      <c r="F4" s="1752">
        <f>E4-C4</f>
        <v>1311617</v>
      </c>
    </row>
    <row r="5" spans="1:6" ht="13.7" customHeight="1" x14ac:dyDescent="0.2">
      <c r="A5" s="715" t="s">
        <v>870</v>
      </c>
      <c r="B5" s="1750">
        <f>'Revenues 9-14'!D5</f>
        <v>168438</v>
      </c>
      <c r="C5" s="585"/>
      <c r="D5" s="1753">
        <f t="shared" ref="D5:D18" si="0">B5-C5</f>
        <v>168438</v>
      </c>
      <c r="E5" s="585">
        <v>181165</v>
      </c>
      <c r="F5" s="1753">
        <f>E5-C5</f>
        <v>181165</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67375</v>
      </c>
      <c r="C7" s="585"/>
      <c r="D7" s="1753">
        <f t="shared" si="0"/>
        <v>67375</v>
      </c>
      <c r="E7" s="585">
        <v>72467</v>
      </c>
      <c r="F7" s="1753">
        <f t="shared" si="1"/>
        <v>72467</v>
      </c>
    </row>
    <row r="8" spans="1:6" ht="13.7" customHeight="1" x14ac:dyDescent="0.2">
      <c r="A8" s="715" t="s">
        <v>1179</v>
      </c>
      <c r="B8" s="1750">
        <f>'Revenues 9-14'!G5</f>
        <v>39967</v>
      </c>
      <c r="C8" s="585"/>
      <c r="D8" s="1753">
        <f t="shared" si="0"/>
        <v>39967</v>
      </c>
      <c r="E8" s="585">
        <v>30001</v>
      </c>
      <c r="F8" s="1753">
        <f t="shared" si="1"/>
        <v>30001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16844</v>
      </c>
      <c r="C10" s="585"/>
      <c r="D10" s="1753">
        <f t="shared" si="0"/>
        <v>16844</v>
      </c>
      <c r="E10" s="585">
        <v>18118</v>
      </c>
      <c r="F10" s="1753">
        <f t="shared" si="1"/>
        <v>18118</v>
      </c>
    </row>
    <row r="11" spans="1:6" x14ac:dyDescent="0.2">
      <c r="A11" s="715" t="s">
        <v>409</v>
      </c>
      <c r="B11" s="1750">
        <f>'Revenues 9-14'!J5</f>
        <v>129969</v>
      </c>
      <c r="C11" s="585"/>
      <c r="D11" s="1753">
        <f t="shared" si="0"/>
        <v>129969</v>
      </c>
      <c r="E11" s="585">
        <v>114999</v>
      </c>
      <c r="F11" s="1753">
        <f t="shared" si="1"/>
        <v>114999</v>
      </c>
    </row>
    <row r="12" spans="1:6" ht="13.7" customHeight="1" x14ac:dyDescent="0.2">
      <c r="A12" s="715" t="s">
        <v>157</v>
      </c>
      <c r="B12" s="1750">
        <f>'Revenues 9-14'!K5</f>
        <v>16844</v>
      </c>
      <c r="C12" s="585"/>
      <c r="D12" s="1753">
        <f t="shared" si="0"/>
        <v>16844</v>
      </c>
      <c r="E12" s="585">
        <v>18118</v>
      </c>
      <c r="F12" s="1753">
        <f t="shared" si="1"/>
        <v>18118</v>
      </c>
    </row>
    <row r="13" spans="1:6" ht="13.7" customHeight="1" x14ac:dyDescent="0.2">
      <c r="A13" s="715" t="s">
        <v>936</v>
      </c>
      <c r="B13" s="1750">
        <f>SUM('Revenues 9-14'!C6:D6)</f>
        <v>16844</v>
      </c>
      <c r="C13" s="585"/>
      <c r="D13" s="1753">
        <f t="shared" si="0"/>
        <v>16844</v>
      </c>
      <c r="E13" s="585">
        <v>18118</v>
      </c>
      <c r="F13" s="1753">
        <f t="shared" si="1"/>
        <v>18118</v>
      </c>
    </row>
    <row r="14" spans="1:6" ht="13.7" customHeight="1" x14ac:dyDescent="0.2">
      <c r="A14" s="715" t="s">
        <v>410</v>
      </c>
      <c r="B14" s="1750">
        <f>SUM('Revenues 9-14'!C7:D7,'Revenues 9-14'!F7:H7)</f>
        <v>13475</v>
      </c>
      <c r="C14" s="585"/>
      <c r="D14" s="1753">
        <f t="shared" si="0"/>
        <v>13475</v>
      </c>
      <c r="E14" s="585">
        <v>14493</v>
      </c>
      <c r="F14" s="1753">
        <f t="shared" si="1"/>
        <v>14493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84987</v>
      </c>
      <c r="C16" s="585"/>
      <c r="D16" s="1753">
        <f t="shared" si="0"/>
        <v>84987</v>
      </c>
      <c r="E16" s="585">
        <v>83999</v>
      </c>
      <c r="F16" s="1753">
        <f t="shared" si="1"/>
        <v>83999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1774236</v>
      </c>
      <c r="C19" s="1751">
        <f>SUM(C4:C18)</f>
        <v>0</v>
      </c>
      <c r="D19" s="1751">
        <f>SUM(D4:D18)</f>
        <v>1774236</v>
      </c>
      <c r="E19" s="1751">
        <f>SUM(E4:E18)</f>
        <v>1863095</v>
      </c>
      <c r="F19" s="1751">
        <f>SUM(F4:F18)</f>
        <v>1863095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D18" sqref="D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13475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1200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6837</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13475</v>
      </c>
      <c r="I12" s="1758">
        <f>SUM(I5:I11)</f>
        <v>0</v>
      </c>
      <c r="J12" s="1758">
        <f>SUM(J5:J11)</f>
        <v>0</v>
      </c>
      <c r="K12" s="1758">
        <f>SUM(K5:K11)</f>
        <v>8037</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13475</v>
      </c>
      <c r="I14" s="771"/>
      <c r="J14" s="773"/>
      <c r="K14" s="765">
        <v>8037</v>
      </c>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13475</v>
      </c>
      <c r="I23" s="1758">
        <f>SUM(I14:I16,I21,I22)</f>
        <v>0</v>
      </c>
      <c r="J23" s="1758">
        <f>SUM(J14:J16,J21,J22)</f>
        <v>0</v>
      </c>
      <c r="K23" s="1758">
        <f>SUM(K14:K16,K21,K22)</f>
        <v>8037</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23" sqref="K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37050</v>
      </c>
      <c r="D5" s="841"/>
      <c r="E5" s="841"/>
      <c r="F5" s="1760">
        <f>(C5+D5)-E5</f>
        <v>37050</v>
      </c>
      <c r="G5" s="837"/>
      <c r="H5" s="842"/>
      <c r="I5" s="842"/>
      <c r="J5" s="842"/>
      <c r="K5" s="793"/>
      <c r="L5" s="1769">
        <f>F5-K5</f>
        <v>37050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2251991</v>
      </c>
      <c r="D8" s="844">
        <v>132285</v>
      </c>
      <c r="E8" s="844"/>
      <c r="F8" s="1760">
        <f>(C8+D8)-E8</f>
        <v>2384276</v>
      </c>
      <c r="G8" s="843">
        <v>50</v>
      </c>
      <c r="H8" s="765">
        <v>1698845</v>
      </c>
      <c r="I8" s="765">
        <v>46363</v>
      </c>
      <c r="J8" s="765"/>
      <c r="K8" s="1769">
        <f>(H8+I8)-J8</f>
        <v>1745208</v>
      </c>
      <c r="L8" s="1769">
        <f>F8-K8</f>
        <v>639068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1630571</v>
      </c>
      <c r="D10" s="846"/>
      <c r="E10" s="846"/>
      <c r="F10" s="1764">
        <f>(C10+D10)-E10</f>
        <v>1630571</v>
      </c>
      <c r="G10" s="843">
        <v>20</v>
      </c>
      <c r="H10" s="847">
        <v>1066371</v>
      </c>
      <c r="I10" s="847">
        <v>81529</v>
      </c>
      <c r="J10" s="847"/>
      <c r="K10" s="1769">
        <f>(H10+I10)-J10</f>
        <v>1147900</v>
      </c>
      <c r="L10" s="1769">
        <f>F10-K10</f>
        <v>482671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525410</v>
      </c>
      <c r="D12" s="844">
        <v>139015</v>
      </c>
      <c r="E12" s="844">
        <v>57571</v>
      </c>
      <c r="F12" s="1760">
        <f>(C12+D12)-E12</f>
        <v>606854</v>
      </c>
      <c r="G12" s="843">
        <v>10</v>
      </c>
      <c r="H12" s="765">
        <v>244320</v>
      </c>
      <c r="I12" s="765">
        <v>66443</v>
      </c>
      <c r="J12" s="765">
        <v>57571</v>
      </c>
      <c r="K12" s="1769">
        <f>(H12+I12)-J12</f>
        <v>253192</v>
      </c>
      <c r="L12" s="1769">
        <f>F12-K12</f>
        <v>353662</v>
      </c>
    </row>
    <row r="13" spans="1:14" ht="14.25" thickTop="1" thickBot="1" x14ac:dyDescent="0.25">
      <c r="A13" s="848" t="s">
        <v>1122</v>
      </c>
      <c r="B13" s="840">
        <v>252</v>
      </c>
      <c r="C13" s="844">
        <v>686972</v>
      </c>
      <c r="D13" s="844">
        <v>232692</v>
      </c>
      <c r="E13" s="844"/>
      <c r="F13" s="1760">
        <f>(C13+D13)-E13</f>
        <v>919664</v>
      </c>
      <c r="G13" s="843">
        <v>5</v>
      </c>
      <c r="H13" s="765">
        <v>648695</v>
      </c>
      <c r="I13" s="765">
        <v>53692</v>
      </c>
      <c r="J13" s="765"/>
      <c r="K13" s="1769">
        <f>(H13+I13)-J13</f>
        <v>702387</v>
      </c>
      <c r="L13" s="1769">
        <f>F13-K13</f>
        <v>217277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12066</v>
      </c>
      <c r="D15" s="844"/>
      <c r="E15" s="844">
        <v>12066</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5144060</v>
      </c>
      <c r="D16" s="1760">
        <f>SUM(D3,D5:D6,D8:D10,D12:D15)</f>
        <v>503992</v>
      </c>
      <c r="E16" s="1760">
        <f>SUM(E3,E5:E6,E8:E10,E12:E15)</f>
        <v>69637</v>
      </c>
      <c r="F16" s="1760">
        <f>SUM(F3,F5:F6,F8:F10,F12:F15)</f>
        <v>5578415</v>
      </c>
      <c r="G16" s="843"/>
      <c r="H16" s="1760">
        <f>SUM(H3,H6,H8:H10,H12:H14,)</f>
        <v>3658231</v>
      </c>
      <c r="I16" s="1760">
        <f>SUM(I3,I6,I8:I10,I12:I14,)</f>
        <v>248027</v>
      </c>
      <c r="J16" s="1760">
        <f>SUM(J3,J6,J8:J10,J12:J14,)</f>
        <v>57571</v>
      </c>
      <c r="K16" s="1760">
        <f>(H16+I16)-J16</f>
        <v>3848687</v>
      </c>
      <c r="L16" s="1760">
        <f>F16-K16</f>
        <v>1729728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248027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0" activePane="bottomLeft" state="frozen"/>
      <selection activeCell="D18" sqref="D18"/>
      <selection pane="bottomLeft" activeCell="F125" sqref="F12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3370061</v>
      </c>
      <c r="G8" s="865"/>
    </row>
    <row r="9" spans="1:7" x14ac:dyDescent="0.2">
      <c r="A9" s="869" t="s">
        <v>460</v>
      </c>
      <c r="B9" s="870" t="s">
        <v>1877</v>
      </c>
      <c r="C9" s="871"/>
      <c r="D9" s="869" t="s">
        <v>501</v>
      </c>
      <c r="E9" s="868"/>
      <c r="F9" s="1909">
        <f>'Expenditures 15-22'!K151</f>
        <v>561059</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511190</v>
      </c>
      <c r="G11" s="872"/>
    </row>
    <row r="12" spans="1:7" x14ac:dyDescent="0.2">
      <c r="A12" s="869" t="s">
        <v>462</v>
      </c>
      <c r="B12" s="870" t="s">
        <v>1880</v>
      </c>
      <c r="C12" s="871"/>
      <c r="D12" s="869" t="s">
        <v>501</v>
      </c>
      <c r="E12" s="868"/>
      <c r="F12" s="1909">
        <f>'Expenditures 15-22'!K295</f>
        <v>129744</v>
      </c>
      <c r="G12" s="872"/>
    </row>
    <row r="13" spans="1:7" x14ac:dyDescent="0.2">
      <c r="A13" s="869" t="s">
        <v>106</v>
      </c>
      <c r="B13" s="870" t="s">
        <v>1881</v>
      </c>
      <c r="C13" s="871"/>
      <c r="D13" s="869" t="s">
        <v>501</v>
      </c>
      <c r="E13" s="868"/>
      <c r="F13" s="1909">
        <f>'Expenditures 15-22'!K342</f>
        <v>101357</v>
      </c>
      <c r="G13" s="873"/>
    </row>
    <row r="14" spans="1:7" ht="12" customHeight="1" thickBot="1" x14ac:dyDescent="0.25">
      <c r="A14" s="1770"/>
      <c r="B14" s="1771"/>
      <c r="C14" s="1772"/>
      <c r="D14" s="1773" t="s">
        <v>501</v>
      </c>
      <c r="E14" s="1774" t="s">
        <v>958</v>
      </c>
      <c r="F14" s="1775">
        <f>SUM(F8:F13)</f>
        <v>4673411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83277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69321</v>
      </c>
      <c r="G53" s="865"/>
    </row>
    <row r="54" spans="1:7" x14ac:dyDescent="0.2">
      <c r="A54" s="869" t="s">
        <v>459</v>
      </c>
      <c r="B54" s="869" t="s">
        <v>1476</v>
      </c>
      <c r="C54" s="889" t="s">
        <v>982</v>
      </c>
      <c r="D54" s="885" t="s">
        <v>1095</v>
      </c>
      <c r="E54" s="868"/>
      <c r="F54" s="1913">
        <f>'Expenditures 15-22'!G114</f>
        <v>73354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179866</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232692</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3277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641787</v>
      </c>
      <c r="G76" s="865"/>
    </row>
    <row r="77" spans="1:8" s="893" customFormat="1" ht="12" customHeight="1" thickTop="1" thickBot="1" x14ac:dyDescent="0.25">
      <c r="A77" s="1779"/>
      <c r="B77" s="1776"/>
      <c r="C77" s="1772"/>
      <c r="D77" s="1777" t="s">
        <v>1900</v>
      </c>
      <c r="E77" s="1774"/>
      <c r="F77" s="1780">
        <f>(F14-F76)</f>
        <v>4031624</v>
      </c>
      <c r="G77" s="869"/>
    </row>
    <row r="78" spans="1:8" s="893" customFormat="1" ht="12" customHeight="1" thickTop="1" x14ac:dyDescent="0.2">
      <c r="A78" s="1781"/>
      <c r="B78" s="1776"/>
      <c r="C78" s="1772"/>
      <c r="D78" s="1777" t="s">
        <v>2062</v>
      </c>
      <c r="E78" s="1774"/>
      <c r="F78" s="898">
        <v>351.1</v>
      </c>
      <c r="G78" s="899"/>
      <c r="H78" s="869"/>
    </row>
    <row r="79" spans="1:8" s="893" customFormat="1" ht="12" customHeight="1" thickBot="1" x14ac:dyDescent="0.25">
      <c r="A79" s="1782"/>
      <c r="B79" s="1776"/>
      <c r="C79" s="1772"/>
      <c r="D79" s="1777" t="s">
        <v>1901</v>
      </c>
      <c r="E79" s="1774" t="s">
        <v>958</v>
      </c>
      <c r="F79" s="1783">
        <f>IF(F78&gt;0,F77/F78," Complete Line 78")</f>
        <v>11482.836798632867</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69900</v>
      </c>
      <c r="G94" s="912"/>
    </row>
    <row r="95" spans="1:7" x14ac:dyDescent="0.2">
      <c r="A95" s="908" t="s">
        <v>140</v>
      </c>
      <c r="B95" s="908" t="s">
        <v>175</v>
      </c>
      <c r="C95" s="910">
        <v>1700</v>
      </c>
      <c r="D95" s="918" t="str">
        <f>'Revenues 9-14'!A82</f>
        <v>Total District/School Activity Income</v>
      </c>
      <c r="E95" s="906"/>
      <c r="F95" s="1789">
        <f>SUM('Revenues 9-14'!C82,'Revenues 9-14'!D82)</f>
        <v>22075</v>
      </c>
      <c r="G95" s="912"/>
    </row>
    <row r="96" spans="1:7" x14ac:dyDescent="0.2">
      <c r="A96" s="908" t="s">
        <v>459</v>
      </c>
      <c r="B96" s="908" t="s">
        <v>176</v>
      </c>
      <c r="C96" s="910">
        <f>'Revenues 9-14'!B84</f>
        <v>1811</v>
      </c>
      <c r="D96" s="911" t="str">
        <f>'Revenues 9-14'!A84</f>
        <v>Rentals - Regular Textbooks</v>
      </c>
      <c r="E96" s="906"/>
      <c r="F96" s="1789">
        <f>'Revenues 9-14'!C84</f>
        <v>14165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3800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33244</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1621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6837</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153315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684</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94386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115963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4393</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16975</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3243</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136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31287</v>
      </c>
      <c r="G170" s="927"/>
    </row>
    <row r="171" spans="1:7" x14ac:dyDescent="0.2">
      <c r="A171" s="1918" t="s">
        <v>5</v>
      </c>
      <c r="B171" s="1919" t="s">
        <v>1920</v>
      </c>
      <c r="C171" s="1920">
        <v>3100</v>
      </c>
      <c r="D171" s="1921" t="s">
        <v>1922</v>
      </c>
      <c r="E171" s="906"/>
      <c r="F171" s="1906">
        <v>138528</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710552</v>
      </c>
    </row>
    <row r="175" spans="1:7" ht="12" customHeight="1" x14ac:dyDescent="0.2">
      <c r="A175" s="1770"/>
      <c r="B175" s="1784"/>
      <c r="C175" s="1785"/>
      <c r="D175" s="1786" t="s">
        <v>2057</v>
      </c>
      <c r="E175" s="1787"/>
      <c r="F175" s="1789">
        <f>'PCTC-OEPP 27-28'!F77-F174</f>
        <v>3321072</v>
      </c>
    </row>
    <row r="176" spans="1:7" ht="12" customHeight="1" x14ac:dyDescent="0.2">
      <c r="A176" s="1770"/>
      <c r="B176" s="1784"/>
      <c r="C176" s="1785"/>
      <c r="D176" s="1786" t="s">
        <v>1817</v>
      </c>
      <c r="E176" s="1787"/>
      <c r="F176" s="1789">
        <f>'Cap Outlay Deprec 26'!I18</f>
        <v>248027</v>
      </c>
    </row>
    <row r="177" spans="1:7" ht="12" customHeight="1" x14ac:dyDescent="0.2">
      <c r="A177" s="1770"/>
      <c r="B177" s="1784"/>
      <c r="C177" s="1785"/>
      <c r="D177" s="1786" t="s">
        <v>2058</v>
      </c>
      <c r="E177" s="1787"/>
      <c r="F177" s="1789">
        <f>F175+F176</f>
        <v>3569099</v>
      </c>
    </row>
    <row r="178" spans="1:7" ht="12" customHeight="1" x14ac:dyDescent="0.2">
      <c r="A178" s="1770"/>
      <c r="B178" s="1790"/>
      <c r="C178" s="1785"/>
      <c r="D178" s="1786" t="str">
        <f>D78</f>
        <v>9 Month ADA from District Average Daily Attendance/Prior General State Aid Inquiry 2018-2019</v>
      </c>
      <c r="E178" s="1787"/>
      <c r="F178" s="1791">
        <f>'PCTC-OEPP 27-28'!F78</f>
        <v>351.1</v>
      </c>
      <c r="G178" s="930"/>
    </row>
    <row r="179" spans="1:7" ht="12" customHeight="1" thickBot="1" x14ac:dyDescent="0.25">
      <c r="A179" s="1770"/>
      <c r="B179" s="1790"/>
      <c r="C179" s="1785"/>
      <c r="D179" s="1786" t="s">
        <v>2059</v>
      </c>
      <c r="E179" s="1787" t="s">
        <v>1545</v>
      </c>
      <c r="F179" s="1792">
        <f>F177/F178</f>
        <v>10165.477072059242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 zoomScaleNormal="100" workbookViewId="0">
      <selection activeCell="B29" sqref="B2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2115</v>
      </c>
      <c r="B17" s="1940" t="s">
        <v>2129</v>
      </c>
      <c r="C17" s="1939" t="s">
        <v>2112</v>
      </c>
      <c r="D17" s="1844">
        <v>4497</v>
      </c>
      <c r="E17" s="1540">
        <f t="shared" ref="E17:E141" si="0">IF(D17&lt;=25000,D17,IF(D17&gt;25000,25000,0))</f>
        <v>4497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4497</v>
      </c>
      <c r="G17" s="1793">
        <f>IF(F17=0,0,D17-F17)</f>
        <v>0</v>
      </c>
      <c r="H17" s="1647"/>
    </row>
    <row r="18" spans="1:8" x14ac:dyDescent="0.25">
      <c r="A18" s="1938" t="s">
        <v>2114</v>
      </c>
      <c r="B18" s="1940" t="s">
        <v>2130</v>
      </c>
      <c r="C18" s="1939" t="s">
        <v>2113</v>
      </c>
      <c r="D18" s="1844">
        <v>6480</v>
      </c>
      <c r="E18" s="1540">
        <f t="shared" ref="E18:E140" si="2">IF(D18&lt;=25000,D18,IF(D18&gt;25000,25000,0))</f>
        <v>6480</v>
      </c>
      <c r="F18" s="1932">
        <f t="shared" si="1"/>
        <v>6480</v>
      </c>
      <c r="G18" s="1793">
        <f t="shared" ref="G18:G140" si="3">IF(F18=0,0,D18-F18)</f>
        <v>0</v>
      </c>
    </row>
    <row r="19" spans="1:8" x14ac:dyDescent="0.25">
      <c r="A19" s="1938" t="s">
        <v>2127</v>
      </c>
      <c r="B19" s="1940" t="s">
        <v>2131</v>
      </c>
      <c r="C19" s="1939" t="s">
        <v>2116</v>
      </c>
      <c r="D19" s="1844">
        <v>2275</v>
      </c>
      <c r="E19" s="1540">
        <f t="shared" si="2"/>
        <v>2275</v>
      </c>
      <c r="F19" s="1932">
        <f t="shared" si="1"/>
        <v>2275</v>
      </c>
      <c r="G19" s="1793">
        <f t="shared" si="3"/>
        <v>0</v>
      </c>
    </row>
    <row r="20" spans="1:8" x14ac:dyDescent="0.25">
      <c r="A20" s="1938" t="s">
        <v>2126</v>
      </c>
      <c r="B20" s="1940" t="s">
        <v>2132</v>
      </c>
      <c r="C20" s="1939" t="s">
        <v>2116</v>
      </c>
      <c r="D20" s="1844">
        <v>1216</v>
      </c>
      <c r="E20" s="1540">
        <f t="shared" si="2"/>
        <v>1216</v>
      </c>
      <c r="F20" s="1932">
        <f t="shared" si="1"/>
        <v>1216</v>
      </c>
      <c r="G20" s="1793">
        <f t="shared" si="3"/>
        <v>0</v>
      </c>
    </row>
    <row r="21" spans="1:8" x14ac:dyDescent="0.25">
      <c r="A21" s="1938" t="s">
        <v>2126</v>
      </c>
      <c r="B21" s="1940" t="s">
        <v>2132</v>
      </c>
      <c r="C21" s="1939" t="s">
        <v>2117</v>
      </c>
      <c r="D21" s="1844">
        <v>4890</v>
      </c>
      <c r="E21" s="1540">
        <f t="shared" si="2"/>
        <v>4890</v>
      </c>
      <c r="F21" s="1932">
        <f t="shared" si="1"/>
        <v>4890</v>
      </c>
      <c r="G21" s="1793">
        <f t="shared" si="3"/>
        <v>0</v>
      </c>
    </row>
    <row r="22" spans="1:8" x14ac:dyDescent="0.25">
      <c r="A22" s="1938" t="s">
        <v>2126</v>
      </c>
      <c r="B22" s="1940" t="s">
        <v>2132</v>
      </c>
      <c r="C22" s="1939" t="s">
        <v>2118</v>
      </c>
      <c r="D22" s="1844">
        <v>2240</v>
      </c>
      <c r="E22" s="1540">
        <f t="shared" si="2"/>
        <v>2240</v>
      </c>
      <c r="F22" s="1932">
        <f t="shared" si="1"/>
        <v>2240</v>
      </c>
      <c r="G22" s="1793">
        <f t="shared" si="3"/>
        <v>0</v>
      </c>
    </row>
    <row r="23" spans="1:8" x14ac:dyDescent="0.25">
      <c r="A23" s="1938" t="s">
        <v>2126</v>
      </c>
      <c r="B23" s="1940" t="s">
        <v>2132</v>
      </c>
      <c r="C23" s="1939" t="s">
        <v>2119</v>
      </c>
      <c r="D23" s="1844">
        <v>4076</v>
      </c>
      <c r="E23" s="1540">
        <f t="shared" si="2"/>
        <v>4076</v>
      </c>
      <c r="F23" s="1932">
        <f t="shared" si="1"/>
        <v>4076</v>
      </c>
      <c r="G23" s="1793">
        <f t="shared" si="3"/>
        <v>0</v>
      </c>
    </row>
    <row r="24" spans="1:8" x14ac:dyDescent="0.25">
      <c r="A24" s="1938" t="s">
        <v>2126</v>
      </c>
      <c r="B24" s="1940" t="s">
        <v>2132</v>
      </c>
      <c r="C24" s="1939" t="s">
        <v>2120</v>
      </c>
      <c r="D24" s="1844">
        <v>3272</v>
      </c>
      <c r="E24" s="1540">
        <f t="shared" si="2"/>
        <v>3272</v>
      </c>
      <c r="F24" s="1932">
        <f t="shared" si="1"/>
        <v>3272</v>
      </c>
      <c r="G24" s="1793">
        <f t="shared" si="3"/>
        <v>0</v>
      </c>
    </row>
    <row r="25" spans="1:8" x14ac:dyDescent="0.25">
      <c r="A25" s="1938" t="s">
        <v>2126</v>
      </c>
      <c r="B25" s="1940" t="s">
        <v>2132</v>
      </c>
      <c r="C25" s="1939" t="s">
        <v>2121</v>
      </c>
      <c r="D25" s="1844">
        <v>1800</v>
      </c>
      <c r="E25" s="1540">
        <f t="shared" si="2"/>
        <v>1800</v>
      </c>
      <c r="F25" s="1932">
        <f t="shared" si="1"/>
        <v>1800</v>
      </c>
      <c r="G25" s="1793">
        <f t="shared" si="3"/>
        <v>0</v>
      </c>
    </row>
    <row r="26" spans="1:8" x14ac:dyDescent="0.25">
      <c r="A26" s="1938" t="s">
        <v>2128</v>
      </c>
      <c r="B26" s="1940" t="s">
        <v>2130</v>
      </c>
      <c r="C26" s="1939" t="s">
        <v>2122</v>
      </c>
      <c r="D26" s="1844">
        <v>1965</v>
      </c>
      <c r="E26" s="1540">
        <f t="shared" si="2"/>
        <v>1965</v>
      </c>
      <c r="F26" s="1932">
        <f t="shared" si="1"/>
        <v>1965</v>
      </c>
      <c r="G26" s="1793">
        <f t="shared" si="3"/>
        <v>0</v>
      </c>
    </row>
    <row r="27" spans="1:8" x14ac:dyDescent="0.25">
      <c r="A27" s="1938" t="s">
        <v>2126</v>
      </c>
      <c r="B27" s="1940" t="s">
        <v>2132</v>
      </c>
      <c r="C27" s="1939" t="s">
        <v>2123</v>
      </c>
      <c r="D27" s="1844">
        <v>51161</v>
      </c>
      <c r="E27" s="1540">
        <f t="shared" si="2"/>
        <v>25000</v>
      </c>
      <c r="F27" s="1932">
        <f t="shared" si="1"/>
        <v>25000</v>
      </c>
      <c r="G27" s="1793">
        <f t="shared" si="3"/>
        <v>26161</v>
      </c>
    </row>
    <row r="28" spans="1:8" x14ac:dyDescent="0.25">
      <c r="A28" s="1938" t="s">
        <v>2126</v>
      </c>
      <c r="B28" s="1940" t="s">
        <v>2132</v>
      </c>
      <c r="C28" s="1939" t="s">
        <v>2123</v>
      </c>
      <c r="D28" s="1844">
        <v>12439</v>
      </c>
      <c r="E28" s="1540">
        <f t="shared" si="2"/>
        <v>12439</v>
      </c>
      <c r="F28" s="1932">
        <f t="shared" si="1"/>
        <v>12439</v>
      </c>
      <c r="G28" s="1793">
        <f t="shared" si="3"/>
        <v>0</v>
      </c>
    </row>
    <row r="29" spans="1:8" x14ac:dyDescent="0.25">
      <c r="A29" s="1938" t="s">
        <v>2125</v>
      </c>
      <c r="B29" s="2487" t="s">
        <v>2133</v>
      </c>
      <c r="C29" s="1939" t="s">
        <v>2124</v>
      </c>
      <c r="D29" s="1844">
        <v>6300</v>
      </c>
      <c r="E29" s="1540">
        <f t="shared" si="2"/>
        <v>6300</v>
      </c>
      <c r="F29" s="1932">
        <f t="shared" si="1"/>
        <v>6300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102611</v>
      </c>
      <c r="E141" s="1541">
        <f t="shared" si="0"/>
        <v>25000</v>
      </c>
      <c r="F141" s="1933">
        <f>SUM(F17:F140)</f>
        <v>76450</v>
      </c>
      <c r="G141" s="1795">
        <f>SUM(G17:G140)</f>
        <v>26161</v>
      </c>
    </row>
  </sheetData>
  <sheetProtection algorithmName="SHA-512" hashValue="4adHgWcg8abTT948JCHe8lpPkBeRPbeVWeXfw8HTde+dfDvxGwhHJOBMdKa6gyVqCPa1VT1jsowY/08zmLu63g==" saltValue="YbsikU6LPfYSMZd+RuWT1Q=="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M11" sqref="M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94386</v>
      </c>
      <c r="F10" s="974"/>
      <c r="G10" s="975"/>
      <c r="H10" s="162"/>
      <c r="I10" s="162"/>
    </row>
    <row r="11" spans="1:9" s="668" customFormat="1" ht="22.5" customHeight="1" x14ac:dyDescent="0.2">
      <c r="A11" s="2287" t="s">
        <v>1977</v>
      </c>
      <c r="B11" s="2288"/>
      <c r="C11" s="2288"/>
      <c r="D11" s="2289"/>
      <c r="E11" s="977">
        <v>14146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2460563</v>
      </c>
      <c r="F19" s="1799"/>
      <c r="G19" s="1801">
        <f>'Expenditures 15-22'!K33-SUM('Expenditures 15-22'!G33,'Expenditures 15-22'!I33)+'Expenditures 15-22'!D229</f>
        <v>2460563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168003</v>
      </c>
      <c r="F21" s="1802"/>
      <c r="G21" s="1805">
        <f>'Expenditures 15-22'!K42-SUM('Expenditures 15-22'!G42,'Expenditures 15-22'!I42)+'Expenditures 15-22'!K120-SUM('Expenditures 15-22'!G120,'Expenditures 15-22'!I120)+'Expenditures 15-22'!K180-SUM('Expenditures 15-22'!G180,'Expenditures 15-22'!I180)+'Expenditures 15-22'!D238</f>
        <v>168003</v>
      </c>
      <c r="H21" s="987"/>
      <c r="I21" s="162"/>
    </row>
    <row r="22" spans="1:9" s="668" customFormat="1" ht="12" customHeight="1" x14ac:dyDescent="0.2">
      <c r="A22" s="994" t="s">
        <v>564</v>
      </c>
      <c r="B22" s="995"/>
      <c r="C22" s="993">
        <v>2200</v>
      </c>
      <c r="D22" s="1802"/>
      <c r="E22" s="1804">
        <f>'Expenditures 15-22'!K47-SUM('Expenditures 15-22'!G47,'Expenditures 15-22'!I47)+'Expenditures 15-22'!D243</f>
        <v>5962</v>
      </c>
      <c r="F22" s="1802"/>
      <c r="G22" s="1805">
        <f>'Expenditures 15-22'!K47-SUM('Expenditures 15-22'!G47,'Expenditures 15-22'!I47)+'Expenditures 15-22'!D243</f>
        <v>5962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161002</v>
      </c>
      <c r="F23" s="1802"/>
      <c r="G23" s="1804">
        <f>'Expenditures 15-22'!K53-SUM('Expenditures 15-22'!G53,'Expenditures 15-22'!I53)+'Expenditures 15-22'!D257+'Expenditures 15-22'!K330-SUM('Expenditures 15-22'!G330,'Expenditures 15-22'!I330)</f>
        <v>161002</v>
      </c>
      <c r="H23" s="987"/>
      <c r="I23" s="162"/>
    </row>
    <row r="24" spans="1:9" s="668" customFormat="1" ht="12" customHeight="1" x14ac:dyDescent="0.2">
      <c r="A24" s="994" t="s">
        <v>566</v>
      </c>
      <c r="B24" s="995"/>
      <c r="C24" s="993">
        <v>2400</v>
      </c>
      <c r="D24" s="1802"/>
      <c r="E24" s="1804">
        <f>'Expenditures 15-22'!K57-SUM('Expenditures 15-22'!G57,'Expenditures 15-22'!I57)+'Expenditures 15-22'!D261</f>
        <v>357418</v>
      </c>
      <c r="F24" s="1802"/>
      <c r="G24" s="1805">
        <f>'Expenditures 15-22'!K57-SUM('Expenditures 15-22'!G57,'Expenditures 15-22'!I57)+'Expenditures 15-22'!D261</f>
        <v>357418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66764</v>
      </c>
      <c r="E27" s="1804">
        <f>E8</f>
        <v>0</v>
      </c>
      <c r="F27" s="1804">
        <f>'Expenditures 15-22'!K60-SUM('Expenditures 15-22'!G60,'Expenditures 15-22'!I60)+'Expenditures 15-22'!D264-E8</f>
        <v>66764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399505</v>
      </c>
      <c r="F28" s="1806">
        <f>'Expenditures 15-22'!K61-SUM('Expenditures 15-22'!G61,'Expenditures 15-22'!I61)+'Expenditures 15-22'!K124-SUM('Expenditures 15-22'!G124,'Expenditures 15-22'!I124)+'Expenditures 15-22'!D266-E9</f>
        <v>399505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300392</v>
      </c>
      <c r="F29" s="1802"/>
      <c r="G29" s="1805">
        <f>'Expenditures 15-22'!K62-SUM('Expenditures 15-22'!G62,'Expenditures 15-22'!I62)+'Expenditures 15-22'!K125-SUM('Expenditures 15-22'!G125,'Expenditures 15-22'!I125)+'Expenditures 15-22'!K182-SUM('Expenditures 15-22'!G182,'Expenditures 15-22'!I182)+'Expenditures 15-22'!D267</f>
        <v>300392</v>
      </c>
      <c r="H29" s="985"/>
    </row>
    <row r="30" spans="1:9" ht="12" customHeight="1" x14ac:dyDescent="0.2">
      <c r="A30" s="994" t="s">
        <v>100</v>
      </c>
      <c r="B30" s="997"/>
      <c r="C30" s="993">
        <v>2560</v>
      </c>
      <c r="D30" s="1802"/>
      <c r="E30" s="1804">
        <f>'Expenditures 15-22'!K63-SUM('Expenditures 15-22'!G63,'Expenditures 15-22'!I63)+'Expenditures 15-22'!D268-E10</f>
        <v>104183</v>
      </c>
      <c r="F30" s="1802"/>
      <c r="G30" s="1804">
        <f>'Expenditures 15-22'!K63-SUM('Expenditures 15-22'!G63,'Expenditures 15-22'!I63)+'Expenditures 15-22'!D268-E10</f>
        <v>104183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-26161</v>
      </c>
      <c r="F40" s="1802"/>
      <c r="G40" s="1806">
        <f>-'Contracts Paid in CY 29'!G141</f>
        <v>-26161</v>
      </c>
    </row>
    <row r="41" spans="1:7" ht="12" customHeight="1" x14ac:dyDescent="0.2">
      <c r="A41" s="998" t="s">
        <v>156</v>
      </c>
      <c r="B41" s="999"/>
      <c r="C41" s="1000"/>
      <c r="D41" s="1806">
        <f>SUM(D19:D39)</f>
        <v>66764</v>
      </c>
      <c r="E41" s="1806">
        <f>SUM(E19:E40)</f>
        <v>3930867</v>
      </c>
      <c r="F41" s="1806">
        <f>SUM(F19:F39)</f>
        <v>466269</v>
      </c>
      <c r="G41" s="1806">
        <f>SUM(G19:G40)</f>
        <v>3531362</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66764</v>
      </c>
      <c r="F43" s="1807" t="s">
        <v>473</v>
      </c>
      <c r="G43" s="1808">
        <f>F41</f>
        <v>466269</v>
      </c>
    </row>
    <row r="44" spans="1:7" ht="12" customHeight="1" x14ac:dyDescent="0.2">
      <c r="A44" s="987"/>
      <c r="B44" s="162"/>
      <c r="C44" s="1001"/>
      <c r="D44" s="1807" t="s">
        <v>474</v>
      </c>
      <c r="E44" s="1808">
        <f>E41</f>
        <v>3930867</v>
      </c>
      <c r="F44" s="1807" t="s">
        <v>474</v>
      </c>
      <c r="G44" s="1808">
        <f>G41</f>
        <v>3531362</v>
      </c>
    </row>
    <row r="45" spans="1:7" ht="12" customHeight="1" x14ac:dyDescent="0.2">
      <c r="A45" s="987"/>
      <c r="B45" s="162"/>
      <c r="C45" s="162"/>
      <c r="D45" s="1809" t="s">
        <v>1006</v>
      </c>
      <c r="E45" s="1810">
        <f>(E43/E44)</f>
        <v>1.6984548192548871E-2</v>
      </c>
      <c r="F45" s="1809" t="s">
        <v>1006</v>
      </c>
      <c r="G45" s="1810">
        <f>(G43/G44)</f>
        <v>0.13203659098104356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0" activePane="bottomLeft" state="frozen"/>
      <selection activeCell="D18" sqref="D18"/>
      <selection pane="bottomLeft" activeCell="D18" sqref="D1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North Wayne CUSD 200</v>
      </c>
      <c r="D6" s="2308"/>
      <c r="E6" s="2308"/>
      <c r="F6" s="1852"/>
    </row>
    <row r="7" spans="1:10" ht="11.25" customHeight="1" thickBot="1" x14ac:dyDescent="0.3">
      <c r="A7" s="1850"/>
      <c r="B7" s="1851"/>
      <c r="C7" s="2309">
        <f>COVER!A13</f>
        <v>20096200026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2083</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t="s">
        <v>2084</v>
      </c>
      <c r="B41" s="2302"/>
      <c r="C41" s="2302"/>
      <c r="D41" s="2302"/>
      <c r="E41" s="2302"/>
      <c r="F41" s="2303"/>
      <c r="H41" s="1879"/>
      <c r="I41" s="1879"/>
      <c r="J41" s="1879"/>
      <c r="K41" s="1879"/>
    </row>
    <row r="42" spans="1:11" s="1870" customFormat="1" ht="12" customHeight="1" x14ac:dyDescent="0.25">
      <c r="A42" s="2301" t="s">
        <v>2085</v>
      </c>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B18" sqref="B18:D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North Wayne CUSD 200</v>
      </c>
      <c r="J6" s="2318"/>
      <c r="Q6" s="1664"/>
    </row>
    <row r="7" spans="1:17" x14ac:dyDescent="0.2">
      <c r="A7" s="2319" t="s">
        <v>869</v>
      </c>
      <c r="B7" s="2320"/>
      <c r="C7" s="2320"/>
      <c r="D7" s="2320"/>
      <c r="E7" s="2321"/>
      <c r="F7" s="1017"/>
      <c r="G7" s="1009"/>
      <c r="H7" s="1016" t="s">
        <v>372</v>
      </c>
      <c r="I7" s="2322">
        <f>COVER!A13</f>
        <v>20096200026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38760</v>
      </c>
      <c r="F12" s="1039"/>
      <c r="G12" s="1811">
        <f t="shared" ref="G12:G18" si="0">SUM(E12:F12)</f>
        <v>38760</v>
      </c>
      <c r="H12" s="1040">
        <v>39953</v>
      </c>
      <c r="I12" s="1039"/>
      <c r="J12" s="1811">
        <f t="shared" ref="J12:J18" si="1">SUM(H12:I12)</f>
        <v>39953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38760</v>
      </c>
      <c r="F19" s="1813">
        <f t="shared" si="2"/>
        <v>0</v>
      </c>
      <c r="G19" s="1813">
        <f t="shared" si="2"/>
        <v>38760</v>
      </c>
      <c r="H19" s="1813">
        <f t="shared" si="2"/>
        <v>39953</v>
      </c>
      <c r="I19" s="1813">
        <f t="shared" si="2"/>
        <v>0</v>
      </c>
      <c r="J19" s="1813">
        <f t="shared" si="2"/>
        <v>39953</v>
      </c>
    </row>
    <row r="20" spans="1:10" ht="13.5" thickTop="1" x14ac:dyDescent="0.2">
      <c r="A20" s="1035">
        <v>9</v>
      </c>
      <c r="B20" s="2329" t="s">
        <v>1981</v>
      </c>
      <c r="C20" s="2329"/>
      <c r="D20" s="2330"/>
      <c r="E20" s="1046"/>
      <c r="F20" s="1046"/>
      <c r="G20" s="1046"/>
      <c r="H20" s="1046"/>
      <c r="I20" s="1046"/>
      <c r="J20" s="1814">
        <f>IF(AND(G19&gt;0,J19&gt;0),(((J19-G19)/G19)),"Enter Budget Data")</f>
        <v>3.0779153766769866E-2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t="s">
        <v>2071</v>
      </c>
      <c r="D28" s="2333"/>
      <c r="E28" s="1054"/>
      <c r="F28" s="2333" t="s">
        <v>2079</v>
      </c>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6"/>
  <sheetViews>
    <sheetView showGridLines="0" zoomScale="110" zoomScaleNormal="110" workbookViewId="0">
      <selection activeCell="D18" sqref="D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B5" s="1937" t="s">
        <v>1155</v>
      </c>
    </row>
    <row r="6" spans="1:2" x14ac:dyDescent="0.2">
      <c r="A6" s="1068">
        <v>1</v>
      </c>
      <c r="B6" s="329" t="s">
        <v>2099</v>
      </c>
    </row>
    <row r="7" spans="1:2" x14ac:dyDescent="0.2">
      <c r="A7" s="1068">
        <v>2</v>
      </c>
      <c r="B7" s="329" t="s">
        <v>2107</v>
      </c>
    </row>
    <row r="8" spans="1:2" x14ac:dyDescent="0.2">
      <c r="A8" s="1068">
        <v>3</v>
      </c>
      <c r="B8" s="329" t="s">
        <v>2101</v>
      </c>
    </row>
    <row r="9" spans="1:2" x14ac:dyDescent="0.2">
      <c r="A9" s="1068">
        <v>4</v>
      </c>
      <c r="B9" s="329" t="s">
        <v>2100</v>
      </c>
    </row>
    <row r="10" spans="1:2" x14ac:dyDescent="0.2">
      <c r="A10" s="1069">
        <v>5</v>
      </c>
      <c r="B10" s="329" t="s">
        <v>2102</v>
      </c>
    </row>
    <row r="11" spans="1:2" x14ac:dyDescent="0.2">
      <c r="A11" s="1069">
        <v>6</v>
      </c>
      <c r="B11" s="329" t="s">
        <v>2103</v>
      </c>
    </row>
    <row r="12" spans="1:2" x14ac:dyDescent="0.2">
      <c r="A12" s="1069"/>
    </row>
    <row r="13" spans="1:2" x14ac:dyDescent="0.2">
      <c r="A13" s="1069"/>
      <c r="B13" s="1937" t="s">
        <v>870</v>
      </c>
    </row>
    <row r="14" spans="1:2" x14ac:dyDescent="0.2">
      <c r="A14" s="1069">
        <v>1</v>
      </c>
      <c r="B14" s="329" t="s">
        <v>2104</v>
      </c>
    </row>
    <row r="15" spans="1:2" x14ac:dyDescent="0.2">
      <c r="A15" s="1069"/>
    </row>
    <row r="16" spans="1:2" x14ac:dyDescent="0.2">
      <c r="A16" s="1069"/>
      <c r="B16" s="1937" t="s">
        <v>155</v>
      </c>
    </row>
    <row r="17" spans="1:2" x14ac:dyDescent="0.2">
      <c r="A17" s="1069">
        <v>1</v>
      </c>
      <c r="B17" s="329" t="s">
        <v>2105</v>
      </c>
    </row>
    <row r="18" spans="1:2" x14ac:dyDescent="0.2">
      <c r="A18" s="1069"/>
    </row>
    <row r="19" spans="1:2" x14ac:dyDescent="0.2">
      <c r="A19" s="1069"/>
      <c r="B19" s="1937" t="s">
        <v>2106</v>
      </c>
    </row>
    <row r="20" spans="1:2" x14ac:dyDescent="0.2">
      <c r="A20" s="1069">
        <v>1</v>
      </c>
      <c r="B20" s="329" t="s">
        <v>2108</v>
      </c>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North Wayne CUSD 200</v>
      </c>
    </row>
    <row r="66" spans="1:2" x14ac:dyDescent="0.2">
      <c r="B66" s="1070">
        <f>COVER!A13</f>
        <v>20096200026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64" zoomScale="110" zoomScaleNormal="110" workbookViewId="0">
      <selection activeCell="D18" sqref="D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D18" sqref="D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219075</xdr:colOff>
                <xdr:row>2</xdr:row>
                <xdr:rowOff>104775</xdr:rowOff>
              </from>
              <to>
                <xdr:col>1</xdr:col>
                <xdr:colOff>1123950</xdr:colOff>
                <xdr:row>6</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1409700</xdr:colOff>
                <xdr:row>2</xdr:row>
                <xdr:rowOff>114300</xdr:rowOff>
              </from>
              <to>
                <xdr:col>1</xdr:col>
                <xdr:colOff>2324100</xdr:colOff>
                <xdr:row>6</xdr:row>
                <xdr:rowOff>152400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2571750</xdr:colOff>
                <xdr:row>2</xdr:row>
                <xdr:rowOff>104775</xdr:rowOff>
              </from>
              <to>
                <xdr:col>1</xdr:col>
                <xdr:colOff>3486150</xdr:colOff>
                <xdr:row>6</xdr:row>
                <xdr:rowOff>142875</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3714750</xdr:colOff>
                <xdr:row>2</xdr:row>
                <xdr:rowOff>123825</xdr:rowOff>
              </from>
              <to>
                <xdr:col>3</xdr:col>
                <xdr:colOff>38100</xdr:colOff>
                <xdr:row>6</xdr:row>
                <xdr:rowOff>161925</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8" sqref="D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3553307</v>
      </c>
      <c r="C8" s="1815">
        <f>'Acct Summary 7-8'!D8</f>
        <v>466389</v>
      </c>
      <c r="D8" s="1815">
        <f>'Acct Summary 7-8'!F8</f>
        <v>334073</v>
      </c>
      <c r="E8" s="1815">
        <f>'Acct Summary 7-8'!I8</f>
        <v>24372</v>
      </c>
      <c r="F8" s="1815">
        <f>SUM(B8:E8)</f>
        <v>4378141</v>
      </c>
    </row>
    <row r="9" spans="1:8" s="1079" customFormat="1" ht="14.25" customHeight="1" thickBot="1" x14ac:dyDescent="0.25">
      <c r="A9" s="1078" t="s">
        <v>1369</v>
      </c>
      <c r="B9" s="1816">
        <f>'Acct Summary 7-8'!C17</f>
        <v>3370061</v>
      </c>
      <c r="C9" s="1816">
        <f>'Acct Summary 7-8'!D17</f>
        <v>561059</v>
      </c>
      <c r="D9" s="1816">
        <f>'Acct Summary 7-8'!F17</f>
        <v>511190</v>
      </c>
      <c r="E9" s="1815"/>
      <c r="F9" s="1815">
        <f>SUM(B9:E9)</f>
        <v>4442310</v>
      </c>
    </row>
    <row r="10" spans="1:8" s="1079" customFormat="1" ht="14.25" thickTop="1" thickBot="1" x14ac:dyDescent="0.25">
      <c r="A10" s="1080" t="s">
        <v>1370</v>
      </c>
      <c r="B10" s="1817">
        <f>(B8-B9)</f>
        <v>183246</v>
      </c>
      <c r="C10" s="1817">
        <f>(C8-C9)</f>
        <v>-94670</v>
      </c>
      <c r="D10" s="1817">
        <f>(D8-D9)</f>
        <v>-177117</v>
      </c>
      <c r="E10" s="1816">
        <f>(E8-E9)</f>
        <v>24372</v>
      </c>
      <c r="F10" s="1818">
        <f>SUM(F8-F9)</f>
        <v>-64169</v>
      </c>
    </row>
    <row r="11" spans="1:8" s="1079" customFormat="1" ht="14.25" thickTop="1" thickBot="1" x14ac:dyDescent="0.25">
      <c r="A11" s="1081" t="s">
        <v>1985</v>
      </c>
      <c r="B11" s="1819">
        <f>'Acct Summary 7-8'!C81</f>
        <v>1862120</v>
      </c>
      <c r="C11" s="1819">
        <f>'Acct Summary 7-8'!D81</f>
        <v>1121655</v>
      </c>
      <c r="D11" s="1819">
        <f>'Acct Summary 7-8'!F81</f>
        <v>380234</v>
      </c>
      <c r="E11" s="1819">
        <f>'Acct Summary 7-8'!I81</f>
        <v>362444</v>
      </c>
      <c r="F11" s="1820">
        <f>SUM(B11:E11)</f>
        <v>3726453</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E43" sqref="E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20096200026</v>
      </c>
    </row>
    <row r="3" spans="1:2" x14ac:dyDescent="0.2">
      <c r="A3" t="s">
        <v>956</v>
      </c>
      <c r="B3" s="138" t="str">
        <f>COVER!A15</f>
        <v>Wayne</v>
      </c>
    </row>
    <row r="4" spans="1:2" x14ac:dyDescent="0.2">
      <c r="A4" t="s">
        <v>1007</v>
      </c>
      <c r="B4" s="138" t="str">
        <f>COVER!A17</f>
        <v>North Wayne CUSD 200</v>
      </c>
    </row>
    <row r="5" spans="1:2" x14ac:dyDescent="0.2">
      <c r="A5" t="s">
        <v>704</v>
      </c>
      <c r="B5" s="138" t="str">
        <f>COVER!A38</f>
        <v>Lucas Schroeder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65.032562999999996</v>
      </c>
    </row>
    <row r="16" spans="1:2" x14ac:dyDescent="0.2">
      <c r="A16" t="s">
        <v>422</v>
      </c>
      <c r="B16" s="138" t="str">
        <f>COVER!T13</f>
        <v>Kemper CPA Group LLP</v>
      </c>
    </row>
    <row r="17" spans="1:2" x14ac:dyDescent="0.2">
      <c r="A17" t="s">
        <v>884</v>
      </c>
      <c r="B17" s="138" t="str">
        <f>COVER!T15</f>
        <v>Krista McLaren</v>
      </c>
    </row>
    <row r="18" spans="1:2" x14ac:dyDescent="0.2">
      <c r="A18" t="s">
        <v>1150</v>
      </c>
      <c r="B18" s="138" t="str">
        <f>COVER!T17</f>
        <v>703 W. Main St</v>
      </c>
    </row>
    <row r="19" spans="1:2" x14ac:dyDescent="0.2">
      <c r="A19" t="s">
        <v>886</v>
      </c>
      <c r="B19" s="138" t="str">
        <f>COVER!T25</f>
        <v>kmclaren@kempercpa.com</v>
      </c>
    </row>
    <row r="20" spans="1:2" x14ac:dyDescent="0.2">
      <c r="A20" t="s">
        <v>887</v>
      </c>
      <c r="B20" s="138" t="str">
        <f>COVER!T19</f>
        <v>Olney</v>
      </c>
    </row>
    <row r="21" spans="1:2" x14ac:dyDescent="0.2">
      <c r="A21" t="s">
        <v>479</v>
      </c>
      <c r="B21" s="138" t="str">
        <f>COVER!X19</f>
        <v>IL</v>
      </c>
    </row>
    <row r="22" spans="1:2" x14ac:dyDescent="0.2">
      <c r="A22" t="s">
        <v>888</v>
      </c>
      <c r="B22" s="138">
        <f>COVER!Z19</f>
        <v>62450</v>
      </c>
    </row>
    <row r="23" spans="1:2" x14ac:dyDescent="0.2">
      <c r="A23" t="s">
        <v>1152</v>
      </c>
      <c r="B23" s="138" t="str">
        <f>COVER!T21</f>
        <v>618-395-2105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1862120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1862120</v>
      </c>
      <c r="D92" s="2" t="str">
        <f t="shared" si="0"/>
        <v>Error?</v>
      </c>
    </row>
    <row r="93" spans="1:4" x14ac:dyDescent="0.2">
      <c r="A93" s="5">
        <v>32</v>
      </c>
      <c r="B93" s="138">
        <f>'Assets-Liab 5-6'!C41</f>
        <v>1862120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1121655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1083722</v>
      </c>
      <c r="D123" s="2" t="str">
        <f t="shared" si="0"/>
        <v>Error?</v>
      </c>
    </row>
    <row r="124" spans="1:4" x14ac:dyDescent="0.2">
      <c r="A124" s="5">
        <v>63</v>
      </c>
      <c r="B124" s="138">
        <f>'Assets-Liab 5-6'!D41</f>
        <v>1121655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380234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380234</v>
      </c>
      <c r="D170" s="2" t="str">
        <f t="shared" si="1"/>
        <v>Error?</v>
      </c>
    </row>
    <row r="171" spans="1:4" x14ac:dyDescent="0.2">
      <c r="A171" s="5">
        <v>110</v>
      </c>
      <c r="B171" s="138">
        <f>'Assets-Liab 5-6'!F41</f>
        <v>380234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187798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120412</v>
      </c>
      <c r="D189" s="2" t="str">
        <f t="shared" si="1"/>
        <v>Error?</v>
      </c>
    </row>
    <row r="190" spans="1:4" x14ac:dyDescent="0.2">
      <c r="A190" s="5">
        <v>129</v>
      </c>
      <c r="B190" s="138">
        <f>'Assets-Liab 5-6'!G41</f>
        <v>187798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37050</v>
      </c>
      <c r="D273" s="2" t="str">
        <f t="shared" si="3"/>
        <v>Error?</v>
      </c>
    </row>
    <row r="274" spans="1:4" x14ac:dyDescent="0.2">
      <c r="A274" s="5">
        <v>213</v>
      </c>
      <c r="B274" s="138">
        <f>'Assets-Liab 5-6'!M17</f>
        <v>2384276</v>
      </c>
      <c r="D274" s="2" t="str">
        <f t="shared" si="3"/>
        <v>Error?</v>
      </c>
    </row>
    <row r="275" spans="1:4" x14ac:dyDescent="0.2">
      <c r="A275" s="5">
        <v>214</v>
      </c>
      <c r="B275" s="138">
        <f>'Assets-Liab 5-6'!M18</f>
        <v>1630571</v>
      </c>
      <c r="D275" s="2" t="str">
        <f t="shared" si="3"/>
        <v>Error?</v>
      </c>
    </row>
    <row r="276" spans="1:4" x14ac:dyDescent="0.2">
      <c r="A276" s="5">
        <v>215</v>
      </c>
      <c r="B276" s="138">
        <f>'Assets-Liab 5-6'!M19</f>
        <v>1526518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5578415</v>
      </c>
      <c r="C279" s="2" t="s">
        <v>573</v>
      </c>
      <c r="D279" s="2" t="str">
        <f t="shared" si="3"/>
        <v>Error?</v>
      </c>
    </row>
    <row r="280" spans="1:4" x14ac:dyDescent="0.2">
      <c r="A280" s="5">
        <v>219</v>
      </c>
      <c r="B280" s="138">
        <f>'Assets-Liab 5-6'!M40</f>
        <v>5578415</v>
      </c>
      <c r="D280" s="2" t="str">
        <f t="shared" si="3"/>
        <v>Error?</v>
      </c>
    </row>
    <row r="281" spans="1:4" x14ac:dyDescent="0.2">
      <c r="A281" s="5">
        <v>220</v>
      </c>
      <c r="B281" s="138">
        <f>'Assets-Liab 5-6'!M41</f>
        <v>5578415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1424295</v>
      </c>
      <c r="D705" s="2" t="str">
        <f t="shared" si="10"/>
        <v>Error?</v>
      </c>
    </row>
    <row r="706" spans="1:4" x14ac:dyDescent="0.2">
      <c r="A706" s="5">
        <v>645</v>
      </c>
      <c r="B706" s="138">
        <f>'Expenditures 15-22'!C16</f>
        <v>1600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219089</v>
      </c>
      <c r="D717" s="2" t="str">
        <f t="shared" si="10"/>
        <v>Error?</v>
      </c>
    </row>
    <row r="718" spans="1:4" x14ac:dyDescent="0.2">
      <c r="A718" s="5">
        <v>657</v>
      </c>
      <c r="B718" s="138">
        <f>'Expenditures 15-22'!C14</f>
        <v>50583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2130519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63604</v>
      </c>
      <c r="D722" s="2" t="str">
        <f t="shared" si="10"/>
        <v>Error?</v>
      </c>
    </row>
    <row r="723" spans="1:4" x14ac:dyDescent="0.2">
      <c r="A723" s="5">
        <v>662</v>
      </c>
      <c r="B723" s="138">
        <f>'Expenditures 15-22'!C38</f>
        <v>23823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40427</v>
      </c>
      <c r="D725" s="2" t="str">
        <f t="shared" si="10"/>
        <v>Error?</v>
      </c>
    </row>
    <row r="726" spans="1:4" x14ac:dyDescent="0.2">
      <c r="A726" s="5">
        <v>665</v>
      </c>
      <c r="B726" s="138">
        <f>'Expenditures 15-22'!C41</f>
        <v>6221</v>
      </c>
      <c r="D726" s="2" t="str">
        <f t="shared" si="10"/>
        <v>Error?</v>
      </c>
    </row>
    <row r="727" spans="1:4" x14ac:dyDescent="0.2">
      <c r="A727" s="5">
        <v>666</v>
      </c>
      <c r="B727" s="138">
        <f>'Expenditures 15-22'!C42</f>
        <v>134075</v>
      </c>
      <c r="C727" s="2" t="s">
        <v>573</v>
      </c>
      <c r="D727" s="2" t="str">
        <f t="shared" si="10"/>
        <v>Error?</v>
      </c>
    </row>
    <row r="728" spans="1:4" x14ac:dyDescent="0.2">
      <c r="A728" s="5">
        <v>667</v>
      </c>
      <c r="B728" s="138">
        <f>'Expenditures 15-22'!C44</f>
        <v>2288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2288</v>
      </c>
      <c r="C731" s="2" t="s">
        <v>573</v>
      </c>
      <c r="D731" s="2" t="str">
        <f t="shared" si="10"/>
        <v>Error?</v>
      </c>
    </row>
    <row r="732" spans="1:4" x14ac:dyDescent="0.2">
      <c r="A732" s="5">
        <v>671</v>
      </c>
      <c r="B732" s="138">
        <f>'Expenditures 15-22'!C49</f>
        <v>3157</v>
      </c>
      <c r="D732" s="2" t="str">
        <f t="shared" si="10"/>
        <v>Error?</v>
      </c>
    </row>
    <row r="733" spans="1:4" x14ac:dyDescent="0.2">
      <c r="A733" s="5">
        <v>672</v>
      </c>
      <c r="B733" s="138">
        <f>'Expenditures 15-22'!C50</f>
        <v>35000</v>
      </c>
      <c r="D733" s="2" t="str">
        <f t="shared" si="10"/>
        <v>Error?</v>
      </c>
    </row>
    <row r="734" spans="1:4" x14ac:dyDescent="0.2">
      <c r="A734" s="5">
        <v>673</v>
      </c>
      <c r="B734" s="138">
        <f>'Expenditures 15-22'!C53</f>
        <v>38157</v>
      </c>
      <c r="C734" s="2" t="s">
        <v>573</v>
      </c>
      <c r="D734" s="2" t="str">
        <f t="shared" si="10"/>
        <v>Error?</v>
      </c>
    </row>
    <row r="735" spans="1:4" x14ac:dyDescent="0.2">
      <c r="A735" s="5">
        <v>674</v>
      </c>
      <c r="B735" s="138">
        <f>'Expenditures 15-22'!C55</f>
        <v>291082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291082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45614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86441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132055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597657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2728176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85506</v>
      </c>
      <c r="D763" s="2" t="str">
        <f t="shared" si="10"/>
        <v>Error?</v>
      </c>
    </row>
    <row r="764" spans="1:4" x14ac:dyDescent="0.2">
      <c r="A764" s="5">
        <v>703</v>
      </c>
      <c r="B764" s="138">
        <f>'Expenditures 15-22'!D16</f>
        <v>24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18611</v>
      </c>
      <c r="D775" s="2" t="str">
        <f t="shared" si="11"/>
        <v>Error?</v>
      </c>
    </row>
    <row r="776" spans="1:4" x14ac:dyDescent="0.2">
      <c r="A776" s="5">
        <v>715</v>
      </c>
      <c r="B776" s="138">
        <f>'Expenditures 15-22'!D14</f>
        <v>500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132802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11088</v>
      </c>
      <c r="D780" s="2" t="str">
        <f t="shared" si="11"/>
        <v>Error?</v>
      </c>
    </row>
    <row r="781" spans="1:4" x14ac:dyDescent="0.2">
      <c r="A781" s="5">
        <v>720</v>
      </c>
      <c r="B781" s="138">
        <f>'Expenditures 15-22'!D38</f>
        <v>3880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15949</v>
      </c>
      <c r="C785" s="2" t="s">
        <v>573</v>
      </c>
      <c r="D785" s="2" t="str">
        <f t="shared" si="11"/>
        <v>Error?</v>
      </c>
    </row>
    <row r="786" spans="1:4" x14ac:dyDescent="0.2">
      <c r="A786" s="5">
        <v>725</v>
      </c>
      <c r="B786" s="138">
        <f>'Expenditures 15-22'!D44</f>
        <v>260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2886</v>
      </c>
      <c r="D791" s="2" t="str">
        <f t="shared" si="11"/>
        <v>Error?</v>
      </c>
    </row>
    <row r="792" spans="1:4" x14ac:dyDescent="0.2">
      <c r="A792" s="5">
        <v>731</v>
      </c>
      <c r="B792" s="138">
        <f>'Expenditures 15-22'!D53</f>
        <v>2886</v>
      </c>
      <c r="C792" s="2" t="s">
        <v>573</v>
      </c>
      <c r="D792" s="2" t="str">
        <f t="shared" si="11"/>
        <v>Error?</v>
      </c>
    </row>
    <row r="793" spans="1:4" x14ac:dyDescent="0.2">
      <c r="A793" s="5">
        <v>732</v>
      </c>
      <c r="B793" s="138">
        <f>'Expenditures 15-22'!D55</f>
        <v>24583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24583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44461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177263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10639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7450</v>
      </c>
      <c r="D833" s="2" t="str">
        <f t="shared" si="12"/>
        <v>Error?</v>
      </c>
    </row>
    <row r="834" spans="1:4" x14ac:dyDescent="0.2">
      <c r="A834" s="5">
        <v>773</v>
      </c>
      <c r="B834" s="138">
        <f>'Expenditures 15-22'!E14</f>
        <v>12592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33216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4631</v>
      </c>
      <c r="D838" s="2" t="str">
        <f t="shared" si="12"/>
        <v>Error?</v>
      </c>
    </row>
    <row r="839" spans="1:4" x14ac:dyDescent="0.2">
      <c r="A839" s="5">
        <v>778</v>
      </c>
      <c r="B839" s="138">
        <f>'Expenditures 15-22'!E38</f>
        <v>973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892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6496</v>
      </c>
      <c r="C843" s="2" t="s">
        <v>573</v>
      </c>
      <c r="D843" s="2" t="str">
        <f t="shared" si="12"/>
        <v>Error?</v>
      </c>
    </row>
    <row r="844" spans="1:4" x14ac:dyDescent="0.2">
      <c r="A844" s="5">
        <v>783</v>
      </c>
      <c r="B844" s="138">
        <f>'Expenditures 15-22'!E44</f>
        <v>400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400</v>
      </c>
      <c r="C847" s="2" t="s">
        <v>573</v>
      </c>
      <c r="D847" s="2" t="str">
        <f t="shared" si="12"/>
        <v>Error?</v>
      </c>
    </row>
    <row r="848" spans="1:4" x14ac:dyDescent="0.2">
      <c r="A848" s="5">
        <v>787</v>
      </c>
      <c r="B848" s="138">
        <f>'Expenditures 15-22'!E49</f>
        <v>14993</v>
      </c>
      <c r="D848" s="2" t="str">
        <f t="shared" si="12"/>
        <v>Error?</v>
      </c>
    </row>
    <row r="849" spans="1:4" x14ac:dyDescent="0.2">
      <c r="A849" s="5">
        <v>788</v>
      </c>
      <c r="B849" s="138">
        <f>'Expenditures 15-22'!E50</f>
        <v>848</v>
      </c>
      <c r="D849" s="2" t="str">
        <f t="shared" si="12"/>
        <v>Error?</v>
      </c>
    </row>
    <row r="850" spans="1:4" x14ac:dyDescent="0.2">
      <c r="A850" s="5">
        <v>789</v>
      </c>
      <c r="B850" s="138">
        <f>'Expenditures 15-22'!E53</f>
        <v>15841</v>
      </c>
      <c r="C850" s="2" t="s">
        <v>573</v>
      </c>
      <c r="D850" s="2" t="str">
        <f t="shared" si="12"/>
        <v>Error?</v>
      </c>
    </row>
    <row r="851" spans="1:4" x14ac:dyDescent="0.2">
      <c r="A851" s="5">
        <v>790</v>
      </c>
      <c r="B851" s="138">
        <f>'Expenditures 15-22'!E55</f>
        <v>4606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4606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12506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15872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43215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87512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68007</v>
      </c>
      <c r="D879" s="2" t="str">
        <f t="shared" si="12"/>
        <v>Error?</v>
      </c>
    </row>
    <row r="880" spans="1:4" x14ac:dyDescent="0.2">
      <c r="A880" s="5">
        <v>819</v>
      </c>
      <c r="B880" s="138">
        <f>'Expenditures 15-22'!F16</f>
        <v>56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21872</v>
      </c>
      <c r="D891" s="2" t="str">
        <f t="shared" si="12"/>
        <v>Error?</v>
      </c>
    </row>
    <row r="892" spans="1:4" x14ac:dyDescent="0.2">
      <c r="A892" s="5">
        <v>831</v>
      </c>
      <c r="B892" s="138">
        <f>'Expenditures 15-22'!F14</f>
        <v>10368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113011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875</v>
      </c>
      <c r="D896" s="2" t="str">
        <f t="shared" si="13"/>
        <v>Error?</v>
      </c>
    </row>
    <row r="897" spans="1:4" x14ac:dyDescent="0.2">
      <c r="A897" s="5">
        <v>836</v>
      </c>
      <c r="B897" s="138">
        <f>'Expenditures 15-22'!F38</f>
        <v>3859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465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5199</v>
      </c>
      <c r="C901" s="2" t="s">
        <v>573</v>
      </c>
      <c r="D901" s="2" t="str">
        <f t="shared" si="13"/>
        <v>Error?</v>
      </c>
    </row>
    <row r="902" spans="1:4" x14ac:dyDescent="0.2">
      <c r="A902" s="5">
        <v>841</v>
      </c>
      <c r="B902" s="138">
        <f>'Expenditures 15-22'!F44</f>
        <v>842</v>
      </c>
      <c r="D902" s="2" t="str">
        <f t="shared" si="13"/>
        <v>Error?</v>
      </c>
    </row>
    <row r="903" spans="1:4" x14ac:dyDescent="0.2">
      <c r="A903" s="5">
        <v>842</v>
      </c>
      <c r="B903" s="138">
        <f>'Expenditures 15-22'!F45</f>
        <v>2139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2981</v>
      </c>
      <c r="C905" s="2" t="s">
        <v>573</v>
      </c>
      <c r="D905" s="2" t="str">
        <f t="shared" si="13"/>
        <v>Error?</v>
      </c>
    </row>
    <row r="906" spans="1:4" x14ac:dyDescent="0.2">
      <c r="A906" s="5">
        <v>845</v>
      </c>
      <c r="B906" s="138">
        <f>'Expenditures 15-22'!F49</f>
        <v>1887</v>
      </c>
      <c r="D906" s="2" t="str">
        <f t="shared" si="13"/>
        <v>Error?</v>
      </c>
    </row>
    <row r="907" spans="1:4" x14ac:dyDescent="0.2">
      <c r="A907" s="5">
        <v>846</v>
      </c>
      <c r="B907" s="138">
        <f>'Expenditures 15-22'!F50</f>
        <v>26</v>
      </c>
      <c r="D907" s="2" t="str">
        <f t="shared" si="13"/>
        <v>Error?</v>
      </c>
    </row>
    <row r="908" spans="1:4" x14ac:dyDescent="0.2">
      <c r="A908" s="5">
        <v>847</v>
      </c>
      <c r="B908" s="138">
        <f>'Expenditures 15-22'!F53</f>
        <v>1913</v>
      </c>
      <c r="C908" s="2" t="s">
        <v>573</v>
      </c>
      <c r="D908" s="2" t="str">
        <f t="shared" si="13"/>
        <v>Error?</v>
      </c>
    </row>
    <row r="909" spans="1:4" x14ac:dyDescent="0.2">
      <c r="A909" s="5">
        <v>848</v>
      </c>
      <c r="B909" s="138">
        <f>'Expenditures 15-22'!F55</f>
        <v>21516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21516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98205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100896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132505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245516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16781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6588</v>
      </c>
      <c r="D949" s="2" t="str">
        <f t="shared" si="13"/>
        <v>Error?</v>
      </c>
    </row>
    <row r="950" spans="1:4" x14ac:dyDescent="0.2">
      <c r="A950" s="5">
        <v>889</v>
      </c>
      <c r="B950" s="138">
        <f>'Expenditures 15-22'!G14</f>
        <v>1500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64966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8388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8388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8388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73354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58240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58240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1605228</v>
      </c>
      <c r="C1093" s="2" t="s">
        <v>573</v>
      </c>
      <c r="D1093" s="2" t="str">
        <f t="shared" si="16"/>
        <v>Error?</v>
      </c>
    </row>
    <row r="1094" spans="1:4" x14ac:dyDescent="0.2">
      <c r="A1094" s="5">
        <v>1033</v>
      </c>
      <c r="B1094" s="138">
        <f>'Expenditures 15-22'!K16</f>
        <v>1680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273610</v>
      </c>
      <c r="C1105" s="2" t="s">
        <v>573</v>
      </c>
      <c r="D1105" s="2" t="str">
        <f t="shared" si="16"/>
        <v>Error?</v>
      </c>
    </row>
    <row r="1106" spans="1:4" x14ac:dyDescent="0.2">
      <c r="A1106" s="5">
        <v>1045</v>
      </c>
      <c r="B1106" s="138">
        <f>'Expenditures 15-22'!K14</f>
        <v>75543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2474514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80198</v>
      </c>
      <c r="C1110" s="2" t="s">
        <v>573</v>
      </c>
      <c r="D1110" s="2" t="str">
        <f t="shared" si="16"/>
        <v>Error?</v>
      </c>
    </row>
    <row r="1111" spans="1:4" x14ac:dyDescent="0.2">
      <c r="A1111" s="5">
        <v>1050</v>
      </c>
      <c r="B1111" s="138">
        <f>'Expenditures 15-22'!K38</f>
        <v>32535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42765</v>
      </c>
      <c r="C1113" s="2" t="s">
        <v>573</v>
      </c>
      <c r="D1113" s="2" t="str">
        <f t="shared" si="16"/>
        <v>Error?</v>
      </c>
    </row>
    <row r="1114" spans="1:4" x14ac:dyDescent="0.2">
      <c r="A1114" s="5">
        <v>1053</v>
      </c>
      <c r="B1114" s="138">
        <f>'Expenditures 15-22'!K41</f>
        <v>6221</v>
      </c>
      <c r="C1114" s="2" t="s">
        <v>573</v>
      </c>
      <c r="D1114" s="2" t="str">
        <f t="shared" si="16"/>
        <v>Error?</v>
      </c>
    </row>
    <row r="1115" spans="1:4" x14ac:dyDescent="0.2">
      <c r="A1115" s="5">
        <v>1054</v>
      </c>
      <c r="B1115" s="138">
        <f>'Expenditures 15-22'!K42</f>
        <v>161719</v>
      </c>
      <c r="C1115" s="2" t="s">
        <v>573</v>
      </c>
      <c r="D1115" s="2" t="str">
        <f t="shared" si="16"/>
        <v>Error?</v>
      </c>
    </row>
    <row r="1116" spans="1:4" x14ac:dyDescent="0.2">
      <c r="A1116" s="5">
        <v>1055</v>
      </c>
      <c r="B1116" s="138">
        <f>'Expenditures 15-22'!K44</f>
        <v>3790</v>
      </c>
      <c r="C1116" s="2" t="s">
        <v>573</v>
      </c>
      <c r="D1116" s="2" t="str">
        <f t="shared" si="16"/>
        <v>Error?</v>
      </c>
    </row>
    <row r="1117" spans="1:4" x14ac:dyDescent="0.2">
      <c r="A1117" s="5">
        <v>1056</v>
      </c>
      <c r="B1117" s="138">
        <f>'Expenditures 15-22'!K45</f>
        <v>2139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5929</v>
      </c>
      <c r="C1119" s="2" t="s">
        <v>573</v>
      </c>
      <c r="D1119" s="2" t="str">
        <f t="shared" si="16"/>
        <v>Error?</v>
      </c>
    </row>
    <row r="1120" spans="1:4" x14ac:dyDescent="0.2">
      <c r="A1120" s="5">
        <v>1059</v>
      </c>
      <c r="B1120" s="138">
        <f>'Expenditures 15-22'!K49</f>
        <v>20037</v>
      </c>
      <c r="C1120" s="2" t="s">
        <v>573</v>
      </c>
      <c r="D1120" s="2" t="str">
        <f t="shared" si="16"/>
        <v>Error?</v>
      </c>
    </row>
    <row r="1121" spans="1:4" x14ac:dyDescent="0.2">
      <c r="A1121" s="5">
        <v>1060</v>
      </c>
      <c r="B1121" s="138">
        <f>'Expenditures 15-22'!K50</f>
        <v>38760</v>
      </c>
      <c r="C1121" s="2" t="s">
        <v>573</v>
      </c>
      <c r="D1121" s="2" t="str">
        <f t="shared" si="16"/>
        <v>Error?</v>
      </c>
    </row>
    <row r="1122" spans="1:4" x14ac:dyDescent="0.2">
      <c r="A1122" s="5">
        <v>1061</v>
      </c>
      <c r="B1122" s="138">
        <f>'Expenditures 15-22'!K53</f>
        <v>58797</v>
      </c>
      <c r="C1122" s="2" t="s">
        <v>573</v>
      </c>
      <c r="D1122" s="2" t="str">
        <f t="shared" si="16"/>
        <v>Error?</v>
      </c>
    </row>
    <row r="1123" spans="1:4" x14ac:dyDescent="0.2">
      <c r="A1123" s="5">
        <v>1062</v>
      </c>
      <c r="B1123" s="138">
        <f>'Expenditures 15-22'!K55</f>
        <v>341787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341787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60823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197171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257994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826226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69321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3370061</v>
      </c>
      <c r="C1152" s="2" t="s">
        <v>573</v>
      </c>
      <c r="D1152" s="2" t="str">
        <f t="shared" si="17"/>
        <v>Error?</v>
      </c>
    </row>
    <row r="1153" spans="1:4" x14ac:dyDescent="0.2">
      <c r="A1153" s="5">
        <v>1092</v>
      </c>
      <c r="B1153" s="138">
        <f>'Expenditures 15-22'!K115</f>
        <v>183246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160296</v>
      </c>
      <c r="D1221" s="2" t="str">
        <f t="shared" si="18"/>
        <v>Error?</v>
      </c>
    </row>
    <row r="1222" spans="1:4" x14ac:dyDescent="0.2">
      <c r="A1222" s="10">
        <v>1161</v>
      </c>
      <c r="D1222" s="2" t="str">
        <f t="shared" si="18"/>
        <v>OK</v>
      </c>
    </row>
    <row r="1223" spans="1:4" x14ac:dyDescent="0.2">
      <c r="A1223" s="5">
        <v>1162</v>
      </c>
      <c r="B1223" s="138">
        <f>'Expenditures 15-22'!C127</f>
        <v>160296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160296</v>
      </c>
      <c r="C1225" s="2" t="s">
        <v>573</v>
      </c>
      <c r="D1225" s="2" t="str">
        <f t="shared" si="18"/>
        <v>Error?</v>
      </c>
    </row>
    <row r="1226" spans="1:4" x14ac:dyDescent="0.2">
      <c r="A1226" s="5">
        <v>1165</v>
      </c>
      <c r="B1226" s="138">
        <f>'Expenditures 15-22'!C151</f>
        <v>160296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15481</v>
      </c>
      <c r="D1229" s="2" t="str">
        <f t="shared" si="18"/>
        <v>Error?</v>
      </c>
    </row>
    <row r="1230" spans="1:4" x14ac:dyDescent="0.2">
      <c r="A1230" s="10">
        <v>1169</v>
      </c>
      <c r="D1230" s="2" t="str">
        <f t="shared" si="18"/>
        <v>OK</v>
      </c>
    </row>
    <row r="1231" spans="1:4" x14ac:dyDescent="0.2">
      <c r="A1231" s="5">
        <v>1170</v>
      </c>
      <c r="B1231" s="138">
        <f>'Expenditures 15-22'!D127</f>
        <v>15481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15481</v>
      </c>
      <c r="C1233" s="2" t="s">
        <v>573</v>
      </c>
      <c r="D1233" s="2" t="str">
        <f t="shared" si="18"/>
        <v>Error?</v>
      </c>
    </row>
    <row r="1234" spans="1:4" x14ac:dyDescent="0.2">
      <c r="A1234" s="5">
        <v>1173</v>
      </c>
      <c r="B1234" s="138">
        <f>'Expenditures 15-22'!D151</f>
        <v>15481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80060</v>
      </c>
      <c r="D1237" s="2" t="str">
        <f t="shared" si="18"/>
        <v>Error?</v>
      </c>
    </row>
    <row r="1238" spans="1:4" x14ac:dyDescent="0.2">
      <c r="A1238" s="10">
        <v>1177</v>
      </c>
      <c r="D1238" s="2" t="str">
        <f t="shared" si="18"/>
        <v>OK</v>
      </c>
    </row>
    <row r="1239" spans="1:4" x14ac:dyDescent="0.2">
      <c r="A1239" s="5">
        <v>1178</v>
      </c>
      <c r="B1239" s="138">
        <f>'Expenditures 15-22'!E127</f>
        <v>80060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80060</v>
      </c>
      <c r="C1241" s="2" t="s">
        <v>573</v>
      </c>
      <c r="D1241" s="2" t="str">
        <f t="shared" si="18"/>
        <v>Error?</v>
      </c>
    </row>
    <row r="1242" spans="1:4" x14ac:dyDescent="0.2">
      <c r="A1242" s="5">
        <v>1181</v>
      </c>
      <c r="B1242" s="138">
        <f>'Expenditures 15-22'!E151</f>
        <v>80060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125356</v>
      </c>
      <c r="D1245" s="2" t="str">
        <f t="shared" si="18"/>
        <v>Error?</v>
      </c>
    </row>
    <row r="1246" spans="1:4" x14ac:dyDescent="0.2">
      <c r="A1246" s="10">
        <v>1185</v>
      </c>
      <c r="D1246" s="2" t="str">
        <f t="shared" si="18"/>
        <v>OK</v>
      </c>
    </row>
    <row r="1247" spans="1:4" x14ac:dyDescent="0.2">
      <c r="A1247" s="5">
        <v>1186</v>
      </c>
      <c r="B1247" s="138">
        <f>'Expenditures 15-22'!F127</f>
        <v>125356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125356</v>
      </c>
      <c r="C1249" s="2" t="s">
        <v>573</v>
      </c>
      <c r="D1249" s="2" t="str">
        <f t="shared" si="18"/>
        <v>Error?</v>
      </c>
    </row>
    <row r="1250" spans="1:4" x14ac:dyDescent="0.2">
      <c r="A1250" s="5">
        <v>1189</v>
      </c>
      <c r="B1250" s="138">
        <f>'Expenditures 15-22'!F151</f>
        <v>125356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114206</v>
      </c>
      <c r="D1252" s="2" t="str">
        <f t="shared" si="18"/>
        <v>Error?</v>
      </c>
    </row>
    <row r="1253" spans="1:4" x14ac:dyDescent="0.2">
      <c r="A1253" s="5">
        <v>1192</v>
      </c>
      <c r="B1253" s="138">
        <f>'Expenditures 15-22'!G124</f>
        <v>65660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179866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179866</v>
      </c>
      <c r="C1258" s="2" t="s">
        <v>573</v>
      </c>
      <c r="D1258" s="2" t="str">
        <f t="shared" si="18"/>
        <v>Error?</v>
      </c>
    </row>
    <row r="1259" spans="1:4" x14ac:dyDescent="0.2">
      <c r="A1259" s="5">
        <v>1198</v>
      </c>
      <c r="B1259" s="138">
        <f>'Expenditures 15-22'!G151</f>
        <v>179866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114206</v>
      </c>
      <c r="C1275" s="2" t="s">
        <v>573</v>
      </c>
      <c r="D1275" s="2" t="str">
        <f t="shared" si="18"/>
        <v>Error?</v>
      </c>
    </row>
    <row r="1276" spans="1:4" x14ac:dyDescent="0.2">
      <c r="A1276" s="5">
        <v>1215</v>
      </c>
      <c r="B1276" s="138">
        <f>'Expenditures 15-22'!K124</f>
        <v>446853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561059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561059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561059</v>
      </c>
      <c r="C1288" s="2" t="s">
        <v>573</v>
      </c>
      <c r="D1288" s="2" t="str">
        <f t="shared" si="19"/>
        <v>Error?</v>
      </c>
    </row>
    <row r="1289" spans="1:4" x14ac:dyDescent="0.2">
      <c r="A1289" s="5">
        <v>1228</v>
      </c>
      <c r="B1289" s="138">
        <f>'Expenditures 15-22'!K152</f>
        <v>-94670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182675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182675</v>
      </c>
      <c r="C1339" s="2" t="s">
        <v>573</v>
      </c>
      <c r="D1339" s="2" t="str">
        <f t="shared" si="19"/>
        <v>Error?</v>
      </c>
    </row>
    <row r="1340" spans="1:4" x14ac:dyDescent="0.2">
      <c r="A1340" s="5">
        <v>1279</v>
      </c>
      <c r="B1340" s="138">
        <f>'Expenditures 15-22'!C210</f>
        <v>182675</v>
      </c>
      <c r="C1340" s="2" t="s">
        <v>573</v>
      </c>
      <c r="D1340" s="2" t="str">
        <f t="shared" si="19"/>
        <v>Error?</v>
      </c>
    </row>
    <row r="1341" spans="1:4" x14ac:dyDescent="0.2">
      <c r="A1341" s="5">
        <v>1280</v>
      </c>
      <c r="B1341" s="138">
        <f>'Expenditures 15-22'!D182</f>
        <v>15667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15667</v>
      </c>
      <c r="C1345" s="2" t="s">
        <v>573</v>
      </c>
      <c r="D1345" s="2" t="str">
        <f t="shared" si="20"/>
        <v>Error?</v>
      </c>
    </row>
    <row r="1346" spans="1:4" x14ac:dyDescent="0.2">
      <c r="A1346" s="5">
        <v>1285</v>
      </c>
      <c r="B1346" s="138">
        <f>'Expenditures 15-22'!D210</f>
        <v>15667</v>
      </c>
      <c r="C1346" s="2" t="s">
        <v>573</v>
      </c>
      <c r="D1346" s="2" t="str">
        <f t="shared" si="20"/>
        <v>Error?</v>
      </c>
    </row>
    <row r="1347" spans="1:4" x14ac:dyDescent="0.2">
      <c r="A1347" s="5">
        <v>1286</v>
      </c>
      <c r="B1347" s="138">
        <f>'Expenditures 15-22'!E182</f>
        <v>14459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14459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14459</v>
      </c>
      <c r="C1353" s="2" t="s">
        <v>573</v>
      </c>
      <c r="D1353" s="2" t="str">
        <f t="shared" si="20"/>
        <v>Error?</v>
      </c>
    </row>
    <row r="1354" spans="1:4" x14ac:dyDescent="0.2">
      <c r="A1354" s="5">
        <v>1293</v>
      </c>
      <c r="B1354" s="138">
        <f>'Expenditures 15-22'!F182</f>
        <v>65697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65697</v>
      </c>
      <c r="C1358" s="2" t="s">
        <v>573</v>
      </c>
      <c r="D1358" s="2" t="str">
        <f t="shared" si="20"/>
        <v>Error?</v>
      </c>
    </row>
    <row r="1359" spans="1:4" x14ac:dyDescent="0.2">
      <c r="A1359" s="5">
        <v>1298</v>
      </c>
      <c r="B1359" s="138">
        <f>'Expenditures 15-22'!F210</f>
        <v>65697</v>
      </c>
      <c r="C1359" s="2" t="s">
        <v>573</v>
      </c>
      <c r="D1359" s="2" t="str">
        <f t="shared" si="20"/>
        <v>Error?</v>
      </c>
    </row>
    <row r="1360" spans="1:4" x14ac:dyDescent="0.2">
      <c r="A1360" s="5">
        <v>1299</v>
      </c>
      <c r="B1360" s="138">
        <f>'Expenditures 15-22'!G182</f>
        <v>232692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232692</v>
      </c>
      <c r="C1364" s="2" t="s">
        <v>573</v>
      </c>
      <c r="D1364" s="2" t="str">
        <f t="shared" si="20"/>
        <v>Error?</v>
      </c>
    </row>
    <row r="1365" spans="1:4" x14ac:dyDescent="0.2">
      <c r="A1365" s="5">
        <v>1304</v>
      </c>
      <c r="B1365" s="138">
        <f>'Expenditures 15-22'!G210</f>
        <v>232692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511190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511190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511190</v>
      </c>
      <c r="C1388" s="2" t="s">
        <v>573</v>
      </c>
      <c r="D1388" s="2" t="str">
        <f t="shared" si="20"/>
        <v>Error?</v>
      </c>
    </row>
    <row r="1389" spans="1:4" x14ac:dyDescent="0.2">
      <c r="A1389" s="5">
        <v>1328</v>
      </c>
      <c r="B1389" s="138">
        <f>'Expenditures 15-22'!K211</f>
        <v>-177117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2859</v>
      </c>
      <c r="D1407" s="2" t="str">
        <f t="shared" ref="D1407:D1470" si="21">IF(ISBLANK(B1407),"OK",IF(A1407-B1407=0,"OK","Error?"))</f>
        <v>Error?</v>
      </c>
    </row>
    <row r="1408" spans="1:4" x14ac:dyDescent="0.2">
      <c r="A1408" s="5">
        <v>1347</v>
      </c>
      <c r="B1408" s="138">
        <f>'Expenditures 15-22'!D223</f>
        <v>2001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51015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3074</v>
      </c>
      <c r="D1412" s="2" t="str">
        <f t="shared" si="21"/>
        <v>Error?</v>
      </c>
    </row>
    <row r="1413" spans="1:4" x14ac:dyDescent="0.2">
      <c r="A1413" s="5">
        <v>1352</v>
      </c>
      <c r="B1413" s="138">
        <f>'Expenditures 15-22'!D234</f>
        <v>1866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577</v>
      </c>
      <c r="D1415" s="2" t="str">
        <f t="shared" si="21"/>
        <v>Error?</v>
      </c>
    </row>
    <row r="1416" spans="1:4" x14ac:dyDescent="0.2">
      <c r="A1416" s="5">
        <v>1355</v>
      </c>
      <c r="B1416" s="138">
        <f>'Expenditures 15-22'!D237</f>
        <v>767</v>
      </c>
      <c r="D1416" s="2" t="str">
        <f t="shared" si="21"/>
        <v>Error?</v>
      </c>
    </row>
    <row r="1417" spans="1:4" x14ac:dyDescent="0.2">
      <c r="A1417" s="5">
        <v>1356</v>
      </c>
      <c r="B1417" s="138">
        <f>'Expenditures 15-22'!D238</f>
        <v>6284</v>
      </c>
      <c r="C1417" s="2" t="s">
        <v>573</v>
      </c>
      <c r="D1417" s="2" t="str">
        <f t="shared" si="21"/>
        <v>Error?</v>
      </c>
    </row>
    <row r="1418" spans="1:4" x14ac:dyDescent="0.2">
      <c r="A1418" s="5">
        <v>1357</v>
      </c>
      <c r="B1418" s="138">
        <f>'Expenditures 15-22'!D240</f>
        <v>33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v>
      </c>
      <c r="C1421" s="2" t="s">
        <v>573</v>
      </c>
      <c r="D1421" s="2" t="str">
        <f t="shared" si="21"/>
        <v>Error?</v>
      </c>
    </row>
    <row r="1422" spans="1:4" x14ac:dyDescent="0.2">
      <c r="A1422" s="5">
        <v>1361</v>
      </c>
      <c r="B1422" s="138">
        <f>'Expenditures 15-22'!D245</f>
        <v>241</v>
      </c>
      <c r="D1422" s="2" t="str">
        <f t="shared" si="21"/>
        <v>Error?</v>
      </c>
    </row>
    <row r="1423" spans="1:4" x14ac:dyDescent="0.2">
      <c r="A1423" s="5">
        <v>1362</v>
      </c>
      <c r="B1423" s="138">
        <f>'Expenditures 15-22'!D246</f>
        <v>607</v>
      </c>
      <c r="D1423" s="2" t="str">
        <f t="shared" si="21"/>
        <v>Error?</v>
      </c>
    </row>
    <row r="1424" spans="1:4" x14ac:dyDescent="0.2">
      <c r="A1424" s="5">
        <v>1363</v>
      </c>
      <c r="B1424" s="138">
        <f>'Expenditures 15-22'!D257</f>
        <v>848</v>
      </c>
      <c r="C1424" s="2" t="s">
        <v>573</v>
      </c>
      <c r="D1424" s="2" t="str">
        <f t="shared" si="21"/>
        <v>Error?</v>
      </c>
    </row>
    <row r="1425" spans="1:4" x14ac:dyDescent="0.2">
      <c r="A1425" s="5">
        <v>1364</v>
      </c>
      <c r="B1425" s="138">
        <f>'Expenditures 15-22'!D259</f>
        <v>15631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15631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5941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18312</v>
      </c>
      <c r="D1431" s="2" t="str">
        <f t="shared" si="21"/>
        <v>Error?</v>
      </c>
    </row>
    <row r="1432" spans="1:4" x14ac:dyDescent="0.2">
      <c r="A1432" s="5">
        <v>1371</v>
      </c>
      <c r="B1432" s="138">
        <f>'Expenditures 15-22'!D267</f>
        <v>21894</v>
      </c>
      <c r="D1432" s="2" t="str">
        <f t="shared" si="21"/>
        <v>Error?</v>
      </c>
    </row>
    <row r="1433" spans="1:4" x14ac:dyDescent="0.2">
      <c r="A1433" s="5">
        <v>1372</v>
      </c>
      <c r="B1433" s="138">
        <f>'Expenditures 15-22'!D268</f>
        <v>9786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55933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78729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129744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2859</v>
      </c>
      <c r="C1471" s="2" t="s">
        <v>573</v>
      </c>
      <c r="D1471" s="2" t="str">
        <f t="shared" ref="D1471:D1534" si="22">IF(ISBLANK(B1471),"OK",IF(A1471-B1471=0,"OK","Error?"))</f>
        <v>Error?</v>
      </c>
    </row>
    <row r="1472" spans="1:4" x14ac:dyDescent="0.2">
      <c r="A1472" s="5">
        <v>1411</v>
      </c>
      <c r="B1472" s="138">
        <f>'Expenditures 15-22'!K223</f>
        <v>2001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51015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3074</v>
      </c>
      <c r="C1476" s="2" t="s">
        <v>573</v>
      </c>
      <c r="D1476" s="2" t="str">
        <f t="shared" si="22"/>
        <v>Error?</v>
      </c>
    </row>
    <row r="1477" spans="1:4" x14ac:dyDescent="0.2">
      <c r="A1477" s="5">
        <v>1416</v>
      </c>
      <c r="B1477" s="138">
        <f>'Expenditures 15-22'!K234</f>
        <v>1866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577</v>
      </c>
      <c r="C1479" s="2" t="s">
        <v>573</v>
      </c>
      <c r="D1479" s="2" t="str">
        <f t="shared" si="22"/>
        <v>Error?</v>
      </c>
    </row>
    <row r="1480" spans="1:4" x14ac:dyDescent="0.2">
      <c r="A1480" s="5">
        <v>1419</v>
      </c>
      <c r="B1480" s="138">
        <f>'Expenditures 15-22'!K237</f>
        <v>767</v>
      </c>
      <c r="C1480" s="2" t="s">
        <v>573</v>
      </c>
      <c r="D1480" s="2" t="str">
        <f t="shared" si="22"/>
        <v>Error?</v>
      </c>
    </row>
    <row r="1481" spans="1:4" x14ac:dyDescent="0.2">
      <c r="A1481" s="5">
        <v>1420</v>
      </c>
      <c r="B1481" s="138">
        <f>'Expenditures 15-22'!K238</f>
        <v>6284</v>
      </c>
      <c r="C1481" s="2" t="s">
        <v>573</v>
      </c>
      <c r="D1481" s="2" t="str">
        <f t="shared" si="22"/>
        <v>Error?</v>
      </c>
    </row>
    <row r="1482" spans="1:4" x14ac:dyDescent="0.2">
      <c r="A1482" s="5">
        <v>1421</v>
      </c>
      <c r="B1482" s="138">
        <f>'Expenditures 15-22'!K240</f>
        <v>33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33</v>
      </c>
      <c r="C1485" s="2" t="s">
        <v>573</v>
      </c>
      <c r="D1485" s="2" t="str">
        <f t="shared" si="22"/>
        <v>Error?</v>
      </c>
    </row>
    <row r="1486" spans="1:4" x14ac:dyDescent="0.2">
      <c r="A1486" s="5">
        <v>1425</v>
      </c>
      <c r="B1486" s="138">
        <f>'Expenditures 15-22'!K245</f>
        <v>241</v>
      </c>
      <c r="C1486" s="2" t="s">
        <v>573</v>
      </c>
      <c r="D1486" s="2" t="str">
        <f t="shared" si="22"/>
        <v>Error?</v>
      </c>
    </row>
    <row r="1487" spans="1:4" x14ac:dyDescent="0.2">
      <c r="A1487" s="5">
        <v>1426</v>
      </c>
      <c r="B1487" s="138">
        <f>'Expenditures 15-22'!K246</f>
        <v>607</v>
      </c>
      <c r="C1487" s="2" t="s">
        <v>573</v>
      </c>
      <c r="D1487" s="2" t="str">
        <f t="shared" si="22"/>
        <v>Error?</v>
      </c>
    </row>
    <row r="1488" spans="1:4" x14ac:dyDescent="0.2">
      <c r="A1488" s="5">
        <v>1427</v>
      </c>
      <c r="B1488" s="138">
        <f>'Expenditures 15-22'!K257</f>
        <v>848</v>
      </c>
      <c r="C1488" s="2" t="s">
        <v>573</v>
      </c>
      <c r="D1488" s="2" t="str">
        <f t="shared" si="22"/>
        <v>Error?</v>
      </c>
    </row>
    <row r="1489" spans="1:4" x14ac:dyDescent="0.2">
      <c r="A1489" s="5">
        <v>1428</v>
      </c>
      <c r="B1489" s="138">
        <f>'Expenditures 15-22'!K259</f>
        <v>15631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15631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5941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18312</v>
      </c>
      <c r="C1495" s="2" t="s">
        <v>573</v>
      </c>
      <c r="D1495" s="2" t="str">
        <f t="shared" si="22"/>
        <v>Error?</v>
      </c>
    </row>
    <row r="1496" spans="1:4" x14ac:dyDescent="0.2">
      <c r="A1496" s="5">
        <v>1435</v>
      </c>
      <c r="B1496" s="138">
        <f>'Expenditures 15-22'!K267</f>
        <v>21894</v>
      </c>
      <c r="C1496" s="2" t="s">
        <v>573</v>
      </c>
      <c r="D1496" s="2" t="str">
        <f t="shared" si="22"/>
        <v>Error?</v>
      </c>
    </row>
    <row r="1497" spans="1:4" x14ac:dyDescent="0.2">
      <c r="A1497" s="5">
        <v>1436</v>
      </c>
      <c r="B1497" s="138">
        <f>'Expenditures 15-22'!K268</f>
        <v>9786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55933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78729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129744</v>
      </c>
      <c r="C1517" s="2" t="s">
        <v>573</v>
      </c>
      <c r="D1517" s="2" t="str">
        <f t="shared" si="22"/>
        <v>Error?</v>
      </c>
    </row>
    <row r="1518" spans="1:4" x14ac:dyDescent="0.2">
      <c r="A1518" s="5">
        <v>1457</v>
      </c>
      <c r="B1518" s="138">
        <f>'Expenditures 15-22'!K296</f>
        <v>18460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1678874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1862120</v>
      </c>
      <c r="C1630" s="2" t="s">
        <v>573</v>
      </c>
      <c r="D1630" s="2" t="str">
        <f t="shared" si="24"/>
        <v>Error?</v>
      </c>
    </row>
    <row r="1631" spans="1:4" x14ac:dyDescent="0.2">
      <c r="A1631" s="5">
        <v>1570</v>
      </c>
      <c r="B1631" s="138">
        <f>'Acct Summary 7-8'!D79</f>
        <v>1216325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1121655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556001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380234</v>
      </c>
      <c r="C1672" s="2" t="s">
        <v>573</v>
      </c>
      <c r="D1672" s="2" t="str">
        <f t="shared" si="25"/>
        <v>Error?</v>
      </c>
    </row>
    <row r="1673" spans="1:4" x14ac:dyDescent="0.2">
      <c r="A1673" s="5">
        <v>1612</v>
      </c>
      <c r="B1673" s="138">
        <f>'Acct Summary 7-8'!G79</f>
        <v>169338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187798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1219493</v>
      </c>
      <c r="C1744" s="2" t="s">
        <v>573</v>
      </c>
      <c r="D1744" s="2" t="str">
        <f t="shared" si="26"/>
        <v>Error?</v>
      </c>
    </row>
    <row r="1745" spans="1:5" x14ac:dyDescent="0.2">
      <c r="A1745" s="5">
        <v>1684</v>
      </c>
      <c r="B1745" s="138">
        <f>'Tax Sched 23'!B5</f>
        <v>168438</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67375</v>
      </c>
      <c r="C1747" s="2" t="s">
        <v>573</v>
      </c>
      <c r="D1747" s="2" t="str">
        <f t="shared" si="26"/>
        <v>Error?</v>
      </c>
    </row>
    <row r="1748" spans="1:5" x14ac:dyDescent="0.2">
      <c r="A1748" s="5">
        <v>1687</v>
      </c>
      <c r="B1748" s="138">
        <f>'Tax Sched 23'!B8</f>
        <v>39967</v>
      </c>
      <c r="C1748" s="2" t="s">
        <v>573</v>
      </c>
      <c r="D1748" s="2" t="str">
        <f t="shared" si="26"/>
        <v>Error?</v>
      </c>
    </row>
    <row r="1749" spans="1:5" x14ac:dyDescent="0.2">
      <c r="A1749" s="5">
        <v>1688</v>
      </c>
      <c r="B1749" s="138">
        <f>'Tax Sched 23'!B10</f>
        <v>16844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129969</v>
      </c>
      <c r="C1752" s="2" t="s">
        <v>573</v>
      </c>
      <c r="D1752" s="2" t="str">
        <f t="shared" si="26"/>
        <v>Error?</v>
      </c>
    </row>
    <row r="1753" spans="1:5" x14ac:dyDescent="0.2">
      <c r="A1753" s="5">
        <v>1692</v>
      </c>
      <c r="B1753" s="138">
        <f>'Tax Sched 23'!B12</f>
        <v>16844</v>
      </c>
      <c r="C1753" s="2" t="s">
        <v>573</v>
      </c>
      <c r="D1753" s="2" t="str">
        <f t="shared" si="26"/>
        <v>Error?</v>
      </c>
    </row>
    <row r="1754" spans="1:5" x14ac:dyDescent="0.2">
      <c r="A1754" s="5">
        <v>1693</v>
      </c>
      <c r="B1754" s="138">
        <f>'Tax Sched 23'!B14</f>
        <v>13475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1774236</v>
      </c>
      <c r="C1759" s="2" t="s">
        <v>573</v>
      </c>
      <c r="D1759" s="2" t="str">
        <f t="shared" si="26"/>
        <v>Error?</v>
      </c>
    </row>
    <row r="1760" spans="1:5" x14ac:dyDescent="0.2">
      <c r="A1760" s="5">
        <v>1699</v>
      </c>
      <c r="B1760" s="138">
        <f>'Tax Sched 23'!D4</f>
        <v>1219493</v>
      </c>
      <c r="C1760" s="2" t="s">
        <v>573</v>
      </c>
      <c r="D1760" s="2" t="str">
        <f t="shared" si="26"/>
        <v>Error?</v>
      </c>
    </row>
    <row r="1761" spans="1:5" x14ac:dyDescent="0.2">
      <c r="A1761" s="5">
        <v>1700</v>
      </c>
      <c r="B1761" s="138">
        <f>'Tax Sched 23'!D5</f>
        <v>168438</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67375</v>
      </c>
      <c r="C1763" s="2" t="s">
        <v>573</v>
      </c>
      <c r="D1763" s="2" t="str">
        <f t="shared" si="26"/>
        <v>Error?</v>
      </c>
    </row>
    <row r="1764" spans="1:5" x14ac:dyDescent="0.2">
      <c r="A1764" s="5">
        <v>1703</v>
      </c>
      <c r="B1764" s="138">
        <f>'Tax Sched 23'!D8</f>
        <v>39967</v>
      </c>
      <c r="C1764" s="2" t="s">
        <v>573</v>
      </c>
      <c r="D1764" s="2" t="str">
        <f t="shared" si="26"/>
        <v>Error?</v>
      </c>
    </row>
    <row r="1765" spans="1:5" x14ac:dyDescent="0.2">
      <c r="A1765" s="5">
        <v>1704</v>
      </c>
      <c r="B1765" s="138">
        <f>'Tax Sched 23'!D10</f>
        <v>16844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129969</v>
      </c>
      <c r="C1768" s="2" t="s">
        <v>573</v>
      </c>
      <c r="D1768" s="2" t="str">
        <f t="shared" si="26"/>
        <v>Error?</v>
      </c>
    </row>
    <row r="1769" spans="1:5" x14ac:dyDescent="0.2">
      <c r="A1769" s="5">
        <v>1708</v>
      </c>
      <c r="B1769" s="138">
        <f>'Tax Sched 23'!D12</f>
        <v>16844</v>
      </c>
      <c r="C1769" s="2" t="s">
        <v>573</v>
      </c>
      <c r="D1769" s="2" t="str">
        <f t="shared" si="26"/>
        <v>Error?</v>
      </c>
    </row>
    <row r="1770" spans="1:5" x14ac:dyDescent="0.2">
      <c r="A1770" s="5">
        <v>1709</v>
      </c>
      <c r="B1770" s="138">
        <f>'Tax Sched 23'!D14</f>
        <v>13475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1774236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1311617</v>
      </c>
      <c r="C1792" s="2" t="s">
        <v>573</v>
      </c>
      <c r="D1792" s="2" t="str">
        <f t="shared" si="27"/>
        <v>Error?</v>
      </c>
    </row>
    <row r="1793" spans="1:4" x14ac:dyDescent="0.2">
      <c r="A1793" s="5">
        <v>1732</v>
      </c>
      <c r="B1793" s="138">
        <f>'Tax Sched 23'!F5</f>
        <v>181165</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72467</v>
      </c>
      <c r="C1795" s="2" t="s">
        <v>573</v>
      </c>
      <c r="D1795" s="2" t="str">
        <f t="shared" si="27"/>
        <v>Error?</v>
      </c>
    </row>
    <row r="1796" spans="1:4" x14ac:dyDescent="0.2">
      <c r="A1796" s="5">
        <v>1735</v>
      </c>
      <c r="B1796" s="138">
        <f>'Tax Sched 23'!F8</f>
        <v>30001</v>
      </c>
      <c r="C1796" s="2" t="s">
        <v>573</v>
      </c>
      <c r="D1796" s="2" t="str">
        <f t="shared" si="27"/>
        <v>Error?</v>
      </c>
    </row>
    <row r="1797" spans="1:4" x14ac:dyDescent="0.2">
      <c r="A1797" s="5">
        <v>1736</v>
      </c>
      <c r="B1797" s="138">
        <f>'Tax Sched 23'!F10</f>
        <v>18118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114999</v>
      </c>
      <c r="C1800" s="2" t="s">
        <v>573</v>
      </c>
      <c r="D1800" s="2" t="str">
        <f t="shared" si="27"/>
        <v>Error?</v>
      </c>
    </row>
    <row r="1801" spans="1:4" x14ac:dyDescent="0.2">
      <c r="A1801" s="5">
        <v>1740</v>
      </c>
      <c r="B1801" s="138">
        <f>'Tax Sched 23'!F12</f>
        <v>18118</v>
      </c>
      <c r="C1801" s="2" t="s">
        <v>573</v>
      </c>
      <c r="D1801" s="2" t="str">
        <f t="shared" si="27"/>
        <v>Error?</v>
      </c>
    </row>
    <row r="1802" spans="1:4" x14ac:dyDescent="0.2">
      <c r="A1802" s="5">
        <v>1741</v>
      </c>
      <c r="B1802" s="138">
        <f>'Tax Sched 23'!F14</f>
        <v>14493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1863095</v>
      </c>
      <c r="C1807" s="2" t="s">
        <v>573</v>
      </c>
      <c r="D1807" s="2" t="str">
        <f t="shared" si="27"/>
        <v>Error?</v>
      </c>
    </row>
    <row r="1808" spans="1:4" x14ac:dyDescent="0.2">
      <c r="A1808" s="5">
        <v>1747</v>
      </c>
      <c r="B1808" s="138">
        <f>'Tax Sched 23'!E4</f>
        <v>1311617</v>
      </c>
      <c r="D1808" s="2" t="str">
        <f t="shared" si="27"/>
        <v>Error?</v>
      </c>
    </row>
    <row r="1809" spans="1:4" x14ac:dyDescent="0.2">
      <c r="A1809" s="5">
        <v>1748</v>
      </c>
      <c r="B1809" s="138">
        <f>'Tax Sched 23'!E5</f>
        <v>181165</v>
      </c>
      <c r="D1809" s="2" t="str">
        <f t="shared" si="27"/>
        <v>Error?</v>
      </c>
    </row>
    <row r="1810" spans="1:4" x14ac:dyDescent="0.2">
      <c r="A1810" s="5">
        <v>1749</v>
      </c>
      <c r="B1810" s="138">
        <f>'Tax Sched 23'!E6</f>
        <v>0</v>
      </c>
      <c r="D1810" s="2" t="str">
        <f t="shared" si="27"/>
        <v>Error?</v>
      </c>
    </row>
    <row r="1811" spans="1:4" x14ac:dyDescent="0.2">
      <c r="A1811" s="5">
        <v>1750</v>
      </c>
      <c r="B1811" s="138">
        <f>'Tax Sched 23'!E7</f>
        <v>72467</v>
      </c>
      <c r="D1811" s="2" t="str">
        <f t="shared" si="27"/>
        <v>Error?</v>
      </c>
    </row>
    <row r="1812" spans="1:4" x14ac:dyDescent="0.2">
      <c r="A1812" s="5">
        <v>1751</v>
      </c>
      <c r="B1812" s="138">
        <f>'Tax Sched 23'!E8</f>
        <v>30001</v>
      </c>
      <c r="D1812" s="2" t="str">
        <f t="shared" si="27"/>
        <v>Error?</v>
      </c>
    </row>
    <row r="1813" spans="1:4" x14ac:dyDescent="0.2">
      <c r="A1813" s="5">
        <v>1752</v>
      </c>
      <c r="B1813" s="138">
        <f>'Tax Sched 23'!E10</f>
        <v>18118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114999</v>
      </c>
      <c r="D1816" s="2" t="str">
        <f t="shared" si="27"/>
        <v>Error?</v>
      </c>
    </row>
    <row r="1817" spans="1:4" x14ac:dyDescent="0.2">
      <c r="A1817" s="5">
        <v>1756</v>
      </c>
      <c r="B1817" s="138">
        <f>'Tax Sched 23'!E12</f>
        <v>18118</v>
      </c>
      <c r="D1817" s="2" t="str">
        <f t="shared" si="27"/>
        <v>Error?</v>
      </c>
    </row>
    <row r="1818" spans="1:4" x14ac:dyDescent="0.2">
      <c r="A1818" s="5">
        <v>1757</v>
      </c>
      <c r="B1818" s="138">
        <f>'Tax Sched 23'!E14</f>
        <v>14493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1863095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13475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13475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13475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37050</v>
      </c>
      <c r="D2008" s="2" t="str">
        <f t="shared" si="30"/>
        <v>Error?</v>
      </c>
    </row>
    <row r="2009" spans="1:4" x14ac:dyDescent="0.2">
      <c r="A2009" s="5">
        <v>1948</v>
      </c>
      <c r="B2009" s="138">
        <f>'Cap Outlay Deprec 26'!C8</f>
        <v>2251991</v>
      </c>
      <c r="D2009" s="2" t="str">
        <f t="shared" si="30"/>
        <v>Error?</v>
      </c>
    </row>
    <row r="2010" spans="1:4" x14ac:dyDescent="0.2">
      <c r="A2010" s="5">
        <v>1949</v>
      </c>
      <c r="B2010" s="138">
        <f>'Cap Outlay Deprec 26'!C10</f>
        <v>1630571</v>
      </c>
      <c r="D2010" s="2" t="str">
        <f t="shared" si="30"/>
        <v>Error?</v>
      </c>
    </row>
    <row r="2011" spans="1:4" x14ac:dyDescent="0.2">
      <c r="A2011" s="5">
        <v>1950</v>
      </c>
      <c r="B2011" s="138">
        <f>'Cap Outlay Deprec 26'!C12</f>
        <v>525410</v>
      </c>
      <c r="D2011" s="2" t="str">
        <f t="shared" si="30"/>
        <v>Error?</v>
      </c>
    </row>
    <row r="2012" spans="1:4" x14ac:dyDescent="0.2">
      <c r="A2012" s="5">
        <v>1951</v>
      </c>
      <c r="B2012" s="138">
        <f>'Cap Outlay Deprec 26'!C13</f>
        <v>686972</v>
      </c>
      <c r="D2012" s="2" t="str">
        <f t="shared" si="30"/>
        <v>Error?</v>
      </c>
    </row>
    <row r="2013" spans="1:4" x14ac:dyDescent="0.2">
      <c r="A2013" s="5">
        <v>1952</v>
      </c>
      <c r="B2013" s="138">
        <f>'Cap Outlay Deprec 26'!C16</f>
        <v>5144060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132285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139015</v>
      </c>
      <c r="D2017" s="2" t="str">
        <f t="shared" si="30"/>
        <v>Error?</v>
      </c>
    </row>
    <row r="2018" spans="1:4" x14ac:dyDescent="0.2">
      <c r="A2018" s="5">
        <v>1957</v>
      </c>
      <c r="B2018" s="138">
        <f>'Cap Outlay Deprec 26'!D13</f>
        <v>232692</v>
      </c>
      <c r="D2018" s="2" t="str">
        <f t="shared" si="30"/>
        <v>Error?</v>
      </c>
    </row>
    <row r="2019" spans="1:4" x14ac:dyDescent="0.2">
      <c r="A2019" s="5">
        <v>1958</v>
      </c>
      <c r="B2019" s="138">
        <f>'Cap Outlay Deprec 26'!D16</f>
        <v>503992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57571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69637</v>
      </c>
      <c r="C2025" s="2" t="s">
        <v>573</v>
      </c>
      <c r="D2025" s="2" t="str">
        <f t="shared" si="30"/>
        <v>Error?</v>
      </c>
    </row>
    <row r="2026" spans="1:4" x14ac:dyDescent="0.2">
      <c r="A2026" s="5">
        <v>1965</v>
      </c>
      <c r="B2026" s="138">
        <f>'Cap Outlay Deprec 26'!F5</f>
        <v>37050</v>
      </c>
      <c r="C2026" s="2" t="s">
        <v>573</v>
      </c>
      <c r="D2026" s="2" t="str">
        <f t="shared" si="30"/>
        <v>Error?</v>
      </c>
    </row>
    <row r="2027" spans="1:4" x14ac:dyDescent="0.2">
      <c r="A2027" s="5">
        <v>1966</v>
      </c>
      <c r="B2027" s="138">
        <f>'Cap Outlay Deprec 26'!F8</f>
        <v>2384276</v>
      </c>
      <c r="C2027" s="2" t="s">
        <v>573</v>
      </c>
      <c r="D2027" s="2" t="str">
        <f t="shared" si="30"/>
        <v>Error?</v>
      </c>
    </row>
    <row r="2028" spans="1:4" x14ac:dyDescent="0.2">
      <c r="A2028" s="5">
        <v>1967</v>
      </c>
      <c r="B2028" s="138">
        <f>'Cap Outlay Deprec 26'!F10</f>
        <v>1630571</v>
      </c>
      <c r="C2028" s="2" t="s">
        <v>573</v>
      </c>
      <c r="D2028" s="2" t="str">
        <f t="shared" si="30"/>
        <v>Error?</v>
      </c>
    </row>
    <row r="2029" spans="1:4" x14ac:dyDescent="0.2">
      <c r="A2029" s="5">
        <v>1968</v>
      </c>
      <c r="B2029" s="138">
        <f>'Cap Outlay Deprec 26'!F12</f>
        <v>606854</v>
      </c>
      <c r="C2029" s="2" t="s">
        <v>573</v>
      </c>
      <c r="D2029" s="2" t="str">
        <f t="shared" si="30"/>
        <v>Error?</v>
      </c>
    </row>
    <row r="2030" spans="1:4" x14ac:dyDescent="0.2">
      <c r="A2030" s="5">
        <v>1969</v>
      </c>
      <c r="B2030" s="138">
        <f>'Cap Outlay Deprec 26'!F13</f>
        <v>919664</v>
      </c>
      <c r="C2030" s="2" t="s">
        <v>573</v>
      </c>
      <c r="D2030" s="2" t="str">
        <f t="shared" si="30"/>
        <v>Error?</v>
      </c>
    </row>
    <row r="2031" spans="1:4" x14ac:dyDescent="0.2">
      <c r="A2031" s="5">
        <v>1970</v>
      </c>
      <c r="B2031" s="138">
        <f>'Cap Outlay Deprec 26'!F16</f>
        <v>5578415</v>
      </c>
      <c r="C2031" s="2" t="s">
        <v>573</v>
      </c>
      <c r="D2031" s="2" t="str">
        <f t="shared" si="30"/>
        <v>Error?</v>
      </c>
    </row>
    <row r="2032" spans="1:4" x14ac:dyDescent="0.2">
      <c r="A2032" s="10">
        <v>1971</v>
      </c>
      <c r="D2032" s="2" t="str">
        <f t="shared" si="30"/>
        <v>OK</v>
      </c>
    </row>
    <row r="2033" spans="1:4" x14ac:dyDescent="0.2">
      <c r="A2033" s="5">
        <v>1972</v>
      </c>
      <c r="B2033" s="138">
        <f>'Cap Outlay Deprec 26'!H8</f>
        <v>1698845</v>
      </c>
      <c r="D2033" s="2" t="str">
        <f t="shared" si="30"/>
        <v>Error?</v>
      </c>
    </row>
    <row r="2034" spans="1:4" x14ac:dyDescent="0.2">
      <c r="A2034" s="5">
        <v>1973</v>
      </c>
      <c r="B2034" s="138">
        <f>'Cap Outlay Deprec 26'!H10</f>
        <v>1066371</v>
      </c>
      <c r="D2034" s="2" t="str">
        <f t="shared" si="30"/>
        <v>Error?</v>
      </c>
    </row>
    <row r="2035" spans="1:4" x14ac:dyDescent="0.2">
      <c r="A2035" s="5">
        <v>1974</v>
      </c>
      <c r="B2035" s="138">
        <f>'Cap Outlay Deprec 26'!H12</f>
        <v>244320</v>
      </c>
      <c r="D2035" s="2" t="str">
        <f t="shared" si="30"/>
        <v>Error?</v>
      </c>
    </row>
    <row r="2036" spans="1:4" x14ac:dyDescent="0.2">
      <c r="A2036" s="5">
        <v>1975</v>
      </c>
      <c r="B2036" s="138">
        <f>'Cap Outlay Deprec 26'!H13</f>
        <v>648695</v>
      </c>
      <c r="D2036" s="2" t="str">
        <f t="shared" si="30"/>
        <v>Error?</v>
      </c>
    </row>
    <row r="2037" spans="1:4" x14ac:dyDescent="0.2">
      <c r="A2037" s="5">
        <v>1976</v>
      </c>
      <c r="B2037" s="138">
        <f>'Cap Outlay Deprec 26'!H16</f>
        <v>3658231</v>
      </c>
      <c r="C2037" s="2" t="s">
        <v>573</v>
      </c>
      <c r="D2037" s="2" t="str">
        <f t="shared" si="30"/>
        <v>Error?</v>
      </c>
    </row>
    <row r="2038" spans="1:4" x14ac:dyDescent="0.2">
      <c r="A2038" s="10">
        <v>1977</v>
      </c>
      <c r="D2038" s="2" t="str">
        <f t="shared" si="30"/>
        <v>OK</v>
      </c>
    </row>
    <row r="2039" spans="1:4" x14ac:dyDescent="0.2">
      <c r="A2039" s="5">
        <v>1978</v>
      </c>
      <c r="B2039" s="138">
        <f>'Cap Outlay Deprec 26'!I8</f>
        <v>46363</v>
      </c>
      <c r="D2039" s="2" t="str">
        <f t="shared" si="30"/>
        <v>Error?</v>
      </c>
    </row>
    <row r="2040" spans="1:4" x14ac:dyDescent="0.2">
      <c r="A2040" s="5">
        <v>1979</v>
      </c>
      <c r="B2040" s="138">
        <f>'Cap Outlay Deprec 26'!I10</f>
        <v>81529</v>
      </c>
      <c r="D2040" s="2" t="str">
        <f t="shared" si="30"/>
        <v>Error?</v>
      </c>
    </row>
    <row r="2041" spans="1:4" x14ac:dyDescent="0.2">
      <c r="A2041" s="5">
        <v>1980</v>
      </c>
      <c r="B2041" s="138">
        <f>'Cap Outlay Deprec 26'!I12</f>
        <v>66443</v>
      </c>
      <c r="D2041" s="2" t="str">
        <f t="shared" si="30"/>
        <v>Error?</v>
      </c>
    </row>
    <row r="2042" spans="1:4" x14ac:dyDescent="0.2">
      <c r="A2042" s="5">
        <v>1981</v>
      </c>
      <c r="B2042" s="138">
        <f>'Cap Outlay Deprec 26'!I13</f>
        <v>53692</v>
      </c>
      <c r="D2042" s="2" t="str">
        <f t="shared" si="30"/>
        <v>Error?</v>
      </c>
    </row>
    <row r="2043" spans="1:4" x14ac:dyDescent="0.2">
      <c r="A2043" s="5">
        <v>1982</v>
      </c>
      <c r="B2043" s="138">
        <f>'Cap Outlay Deprec 26'!I16</f>
        <v>248027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57571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57571</v>
      </c>
      <c r="C2049" s="2" t="s">
        <v>573</v>
      </c>
      <c r="D2049" s="2" t="str">
        <f t="shared" si="31"/>
        <v>Error?</v>
      </c>
    </row>
    <row r="2050" spans="1:4" x14ac:dyDescent="0.2">
      <c r="A2050" s="10">
        <v>1989</v>
      </c>
      <c r="D2050" s="2" t="str">
        <f t="shared" si="31"/>
        <v>OK</v>
      </c>
    </row>
    <row r="2051" spans="1:4" x14ac:dyDescent="0.2">
      <c r="A2051" s="5">
        <v>1990</v>
      </c>
      <c r="B2051" s="138">
        <f>'Cap Outlay Deprec 26'!K8</f>
        <v>1745208</v>
      </c>
      <c r="C2051" s="2" t="s">
        <v>573</v>
      </c>
      <c r="D2051" s="2" t="str">
        <f t="shared" si="31"/>
        <v>Error?</v>
      </c>
    </row>
    <row r="2052" spans="1:4" x14ac:dyDescent="0.2">
      <c r="A2052" s="5">
        <v>1991</v>
      </c>
      <c r="B2052" s="138">
        <f>'Cap Outlay Deprec 26'!K10</f>
        <v>1147900</v>
      </c>
      <c r="C2052" s="2" t="s">
        <v>573</v>
      </c>
      <c r="D2052" s="2" t="str">
        <f t="shared" si="31"/>
        <v>Error?</v>
      </c>
    </row>
    <row r="2053" spans="1:4" x14ac:dyDescent="0.2">
      <c r="A2053" s="5">
        <v>1992</v>
      </c>
      <c r="B2053" s="138">
        <f>'Cap Outlay Deprec 26'!K12</f>
        <v>253192</v>
      </c>
      <c r="C2053" s="2" t="s">
        <v>573</v>
      </c>
      <c r="D2053" s="2" t="str">
        <f t="shared" si="31"/>
        <v>Error?</v>
      </c>
    </row>
    <row r="2054" spans="1:4" x14ac:dyDescent="0.2">
      <c r="A2054" s="5">
        <v>1993</v>
      </c>
      <c r="B2054" s="138">
        <f>'Cap Outlay Deprec 26'!K13</f>
        <v>702387</v>
      </c>
      <c r="C2054" s="2" t="s">
        <v>573</v>
      </c>
      <c r="D2054" s="2" t="str">
        <f t="shared" si="31"/>
        <v>Error?</v>
      </c>
    </row>
    <row r="2055" spans="1:4" x14ac:dyDescent="0.2">
      <c r="A2055" s="5">
        <v>1994</v>
      </c>
      <c r="B2055" s="138">
        <f>'Cap Outlay Deprec 26'!K16</f>
        <v>3848687</v>
      </c>
      <c r="C2055" s="2" t="s">
        <v>573</v>
      </c>
      <c r="D2055" s="2" t="str">
        <f t="shared" si="31"/>
        <v>Error?</v>
      </c>
    </row>
    <row r="2056" spans="1:4" x14ac:dyDescent="0.2">
      <c r="A2056" s="5">
        <v>1995</v>
      </c>
      <c r="B2056" s="138">
        <f>'Cap Outlay Deprec 26'!L5</f>
        <v>37050</v>
      </c>
      <c r="C2056" s="2" t="s">
        <v>573</v>
      </c>
      <c r="D2056" s="2" t="str">
        <f t="shared" si="31"/>
        <v>Error?</v>
      </c>
    </row>
    <row r="2057" spans="1:4" x14ac:dyDescent="0.2">
      <c r="A2057" s="5">
        <v>1996</v>
      </c>
      <c r="B2057" s="138">
        <f>'Cap Outlay Deprec 26'!L8</f>
        <v>639068</v>
      </c>
      <c r="C2057" s="2" t="s">
        <v>573</v>
      </c>
      <c r="D2057" s="2" t="str">
        <f t="shared" si="31"/>
        <v>Error?</v>
      </c>
    </row>
    <row r="2058" spans="1:4" x14ac:dyDescent="0.2">
      <c r="A2058" s="5">
        <v>1997</v>
      </c>
      <c r="B2058" s="138">
        <f>'Cap Outlay Deprec 26'!L10</f>
        <v>482671</v>
      </c>
      <c r="C2058" s="2" t="s">
        <v>573</v>
      </c>
      <c r="D2058" s="2" t="str">
        <f t="shared" si="31"/>
        <v>Error?</v>
      </c>
    </row>
    <row r="2059" spans="1:4" x14ac:dyDescent="0.2">
      <c r="A2059" s="5">
        <v>1998</v>
      </c>
      <c r="B2059" s="138">
        <f>'Cap Outlay Deprec 26'!L12</f>
        <v>353662</v>
      </c>
      <c r="C2059" s="2" t="s">
        <v>573</v>
      </c>
      <c r="D2059" s="2" t="str">
        <f t="shared" si="31"/>
        <v>Error?</v>
      </c>
    </row>
    <row r="2060" spans="1:4" x14ac:dyDescent="0.2">
      <c r="A2060" s="5">
        <v>1999</v>
      </c>
      <c r="B2060" s="138">
        <f>'Cap Outlay Deprec 26'!L13</f>
        <v>217277</v>
      </c>
      <c r="C2060" s="2" t="s">
        <v>573</v>
      </c>
      <c r="D2060" s="2" t="str">
        <f t="shared" si="31"/>
        <v>Error?</v>
      </c>
    </row>
    <row r="2061" spans="1:4" x14ac:dyDescent="0.2">
      <c r="A2061" s="5">
        <v>2000</v>
      </c>
      <c r="B2061" s="138">
        <f>'Cap Outlay Deprec 26'!L16</f>
        <v>1729728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58240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69321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37933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67386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1612820</v>
      </c>
      <c r="C2551" s="2" t="s">
        <v>573</v>
      </c>
      <c r="D2551" s="2" t="str">
        <f t="shared" si="38"/>
        <v>Error?</v>
      </c>
    </row>
    <row r="2552" spans="1:4" x14ac:dyDescent="0.2">
      <c r="A2552" s="10">
        <v>2491</v>
      </c>
      <c r="D2552" s="2" t="str">
        <f t="shared" si="38"/>
        <v>OK</v>
      </c>
    </row>
    <row r="2553" spans="1:4" x14ac:dyDescent="0.2">
      <c r="A2553" s="5">
        <v>2492</v>
      </c>
      <c r="B2553" s="138">
        <f>'Acct Summary 7-8'!C6</f>
        <v>1674104</v>
      </c>
      <c r="C2553" s="2" t="s">
        <v>573</v>
      </c>
      <c r="D2553" s="2" t="str">
        <f t="shared" si="38"/>
        <v>Error?</v>
      </c>
    </row>
    <row r="2554" spans="1:4" x14ac:dyDescent="0.2">
      <c r="A2554" s="5">
        <v>2493</v>
      </c>
      <c r="B2554" s="138">
        <f>'Acct Summary 7-8'!C7</f>
        <v>266383</v>
      </c>
      <c r="C2554" s="2" t="s">
        <v>573</v>
      </c>
      <c r="D2554" s="2" t="str">
        <f t="shared" si="38"/>
        <v>Error?</v>
      </c>
    </row>
    <row r="2555" spans="1:4" x14ac:dyDescent="0.2">
      <c r="A2555" s="5">
        <v>2494</v>
      </c>
      <c r="B2555" s="138">
        <f>'Acct Summary 7-8'!C8</f>
        <v>3553307</v>
      </c>
      <c r="C2555" s="2" t="s">
        <v>573</v>
      </c>
      <c r="D2555" s="2" t="str">
        <f t="shared" si="38"/>
        <v>Error?</v>
      </c>
    </row>
    <row r="2556" spans="1:4" x14ac:dyDescent="0.2">
      <c r="A2556" s="5">
        <v>2495</v>
      </c>
      <c r="B2556" s="138">
        <f>'Acct Summary 7-8'!C12</f>
        <v>2474514</v>
      </c>
      <c r="C2556" s="2" t="s">
        <v>573</v>
      </c>
      <c r="D2556" s="2" t="str">
        <f t="shared" si="38"/>
        <v>Error?</v>
      </c>
    </row>
    <row r="2557" spans="1:4" x14ac:dyDescent="0.2">
      <c r="A2557" s="5">
        <v>2496</v>
      </c>
      <c r="B2557" s="138">
        <f>'Acct Summary 7-8'!C13</f>
        <v>826226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69321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3370061</v>
      </c>
      <c r="C2561" s="2" t="s">
        <v>573</v>
      </c>
      <c r="D2561" s="2" t="str">
        <f t="shared" si="39"/>
        <v>Error?</v>
      </c>
    </row>
    <row r="2562" spans="1:4" x14ac:dyDescent="0.2">
      <c r="A2562" s="5">
        <v>2501</v>
      </c>
      <c r="B2562" s="138">
        <f>'Acct Summary 7-8'!C20</f>
        <v>183246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196389</v>
      </c>
      <c r="C2564" s="2" t="s">
        <v>573</v>
      </c>
      <c r="D2564" s="2" t="str">
        <f t="shared" si="39"/>
        <v>Error?</v>
      </c>
    </row>
    <row r="2565" spans="1:4" x14ac:dyDescent="0.2">
      <c r="A2565" s="10">
        <v>2504</v>
      </c>
      <c r="D2565" s="2" t="str">
        <f t="shared" si="39"/>
        <v>OK</v>
      </c>
    </row>
    <row r="2566" spans="1:4" x14ac:dyDescent="0.2">
      <c r="A2566" s="5">
        <v>2505</v>
      </c>
      <c r="B2566" s="138">
        <f>'Acct Summary 7-8'!D6</f>
        <v>270000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466389</v>
      </c>
      <c r="C2568" s="2" t="s">
        <v>573</v>
      </c>
      <c r="D2568" s="2" t="str">
        <f t="shared" si="39"/>
        <v>Error?</v>
      </c>
    </row>
    <row r="2569" spans="1:4" x14ac:dyDescent="0.2">
      <c r="A2569" s="5">
        <v>2508</v>
      </c>
      <c r="B2569" s="138">
        <f>'Acct Summary 7-8'!D13</f>
        <v>561059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561059</v>
      </c>
      <c r="C2573" s="2" t="s">
        <v>573</v>
      </c>
      <c r="D2573" s="2" t="str">
        <f t="shared" si="39"/>
        <v>Error?</v>
      </c>
    </row>
    <row r="2574" spans="1:4" x14ac:dyDescent="0.2">
      <c r="A2574" s="5">
        <v>2513</v>
      </c>
      <c r="B2574" s="138">
        <f>'Acct Summary 7-8'!D20</f>
        <v>-94670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80758</v>
      </c>
      <c r="C2591" s="2" t="s">
        <v>573</v>
      </c>
      <c r="D2591" s="2" t="str">
        <f t="shared" si="39"/>
        <v>Error?</v>
      </c>
    </row>
    <row r="2592" spans="1:4" x14ac:dyDescent="0.2">
      <c r="A2592" s="10">
        <v>2531</v>
      </c>
      <c r="D2592" s="2" t="str">
        <f t="shared" si="39"/>
        <v>OK</v>
      </c>
    </row>
    <row r="2593" spans="1:4" x14ac:dyDescent="0.2">
      <c r="A2593" s="5">
        <v>2532</v>
      </c>
      <c r="B2593" s="138">
        <f>'Acct Summary 7-8'!F6</f>
        <v>253315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334073</v>
      </c>
      <c r="C2595" s="2" t="s">
        <v>573</v>
      </c>
      <c r="D2595" s="2" t="str">
        <f t="shared" si="39"/>
        <v>Error?</v>
      </c>
    </row>
    <row r="2596" spans="1:4" x14ac:dyDescent="0.2">
      <c r="A2596" s="5">
        <v>2535</v>
      </c>
      <c r="B2596" s="138">
        <f>'Acct Summary 7-8'!F13</f>
        <v>511190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511190</v>
      </c>
      <c r="C2600" s="2" t="s">
        <v>573</v>
      </c>
      <c r="D2600" s="2" t="str">
        <f t="shared" si="39"/>
        <v>Error?</v>
      </c>
    </row>
    <row r="2601" spans="1:4" x14ac:dyDescent="0.2">
      <c r="A2601" s="5">
        <v>2540</v>
      </c>
      <c r="B2601" s="138">
        <f>'Acct Summary 7-8'!F20</f>
        <v>-177117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148204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148204</v>
      </c>
      <c r="C2606" s="2" t="s">
        <v>573</v>
      </c>
      <c r="D2606" s="2" t="str">
        <f t="shared" si="39"/>
        <v>Error?</v>
      </c>
    </row>
    <row r="2607" spans="1:4" x14ac:dyDescent="0.2">
      <c r="A2607" s="5">
        <v>2546</v>
      </c>
      <c r="B2607" s="138">
        <f>'Acct Summary 7-8'!G12</f>
        <v>51015</v>
      </c>
      <c r="C2607" s="2" t="s">
        <v>573</v>
      </c>
      <c r="D2607" s="2" t="str">
        <f t="shared" si="39"/>
        <v>Error?</v>
      </c>
    </row>
    <row r="2608" spans="1:4" x14ac:dyDescent="0.2">
      <c r="A2608" s="5">
        <v>2547</v>
      </c>
      <c r="B2608" s="138">
        <f>'Acct Summary 7-8'!G13</f>
        <v>78729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129744</v>
      </c>
      <c r="C2612" s="2" t="s">
        <v>573</v>
      </c>
      <c r="D2612" s="2" t="str">
        <f t="shared" si="39"/>
        <v>Error?</v>
      </c>
    </row>
    <row r="2613" spans="1:4" x14ac:dyDescent="0.2">
      <c r="A2613" s="5">
        <v>2552</v>
      </c>
      <c r="B2613" s="138">
        <f>'Acct Summary 7-8'!G20</f>
        <v>18460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11081</v>
      </c>
      <c r="C2789" s="2" t="s">
        <v>573</v>
      </c>
      <c r="D2789" s="2" t="str">
        <f t="shared" si="42"/>
        <v>Error?</v>
      </c>
    </row>
    <row r="2790" spans="1:4" x14ac:dyDescent="0.2">
      <c r="A2790" s="5">
        <v>2729</v>
      </c>
      <c r="B2790" s="138">
        <f>'Expenditures 15-22'!E102</f>
        <v>11081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362444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119743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362444</v>
      </c>
      <c r="D2912" s="2" t="str">
        <f t="shared" si="44"/>
        <v>Error?</v>
      </c>
    </row>
    <row r="2913" spans="1:4" x14ac:dyDescent="0.2">
      <c r="A2913" s="5">
        <v>2852</v>
      </c>
      <c r="B2913" s="138">
        <f>'Assets-Liab 5-6'!I41</f>
        <v>362444</v>
      </c>
      <c r="C2913" s="2" t="s">
        <v>573</v>
      </c>
      <c r="D2913" s="2" t="str">
        <f t="shared" si="44"/>
        <v>Error?</v>
      </c>
    </row>
    <row r="2914" spans="1:4" x14ac:dyDescent="0.2">
      <c r="A2914" s="5">
        <v>2853</v>
      </c>
      <c r="B2914" s="138">
        <f>'Assets-Liab 5-6'!L33</f>
        <v>119743</v>
      </c>
      <c r="D2914" s="2" t="str">
        <f t="shared" si="44"/>
        <v>Error?</v>
      </c>
    </row>
    <row r="2915" spans="1:4" x14ac:dyDescent="0.2">
      <c r="A2915" s="10">
        <v>2854</v>
      </c>
      <c r="D2915" s="2" t="str">
        <f t="shared" si="44"/>
        <v>OK</v>
      </c>
    </row>
    <row r="2916" spans="1:4" x14ac:dyDescent="0.2">
      <c r="A2916" s="5">
        <v>2855</v>
      </c>
      <c r="B2916" s="138">
        <f>'Assets-Liab 5-6'!L34</f>
        <v>119743</v>
      </c>
      <c r="C2916" s="2" t="s">
        <v>573</v>
      </c>
      <c r="D2916" s="2" t="str">
        <f t="shared" si="44"/>
        <v>Error?</v>
      </c>
    </row>
    <row r="2917" spans="1:4" x14ac:dyDescent="0.2">
      <c r="A2917" s="5">
        <v>2856</v>
      </c>
      <c r="B2917" s="138">
        <f>'Assets-Liab 5-6'!L41</f>
        <v>119743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11081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58240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69321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67627</v>
      </c>
      <c r="D3055" s="2" t="str">
        <f t="shared" si="46"/>
        <v>Error?</v>
      </c>
    </row>
    <row r="3056" spans="1:4" x14ac:dyDescent="0.2">
      <c r="A3056" s="5">
        <v>2995</v>
      </c>
      <c r="B3056" s="138">
        <f>'Expenditures 15-22'!D10</f>
        <v>6657</v>
      </c>
      <c r="D3056" s="2" t="str">
        <f t="shared" si="46"/>
        <v>Error?</v>
      </c>
    </row>
    <row r="3057" spans="1:4" x14ac:dyDescent="0.2">
      <c r="A3057" s="5">
        <v>2996</v>
      </c>
      <c r="B3057" s="138">
        <f>'Expenditures 15-22'!E10</f>
        <v>2425</v>
      </c>
      <c r="D3057" s="2" t="str">
        <f t="shared" si="46"/>
        <v>Error?</v>
      </c>
    </row>
    <row r="3058" spans="1:4" x14ac:dyDescent="0.2">
      <c r="A3058" s="5">
        <v>2997</v>
      </c>
      <c r="B3058" s="138">
        <f>'Expenditures 15-22'!F10</f>
        <v>4364</v>
      </c>
      <c r="D3058" s="2" t="str">
        <f t="shared" si="46"/>
        <v>Error?</v>
      </c>
    </row>
    <row r="3059" spans="1:4" x14ac:dyDescent="0.2">
      <c r="A3059" s="5">
        <v>2998</v>
      </c>
      <c r="B3059" s="138">
        <f>'Expenditures 15-22'!G10</f>
        <v>36325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117398</v>
      </c>
      <c r="C3062" s="2" t="s">
        <v>573</v>
      </c>
      <c r="D3062" s="2" t="str">
        <f t="shared" si="46"/>
        <v>Error?</v>
      </c>
    </row>
    <row r="3063" spans="1:4" x14ac:dyDescent="0.2">
      <c r="A3063" s="10">
        <v>3002</v>
      </c>
      <c r="D3063" s="2" t="str">
        <f t="shared" si="46"/>
        <v>OK</v>
      </c>
    </row>
    <row r="3064" spans="1:4" x14ac:dyDescent="0.2">
      <c r="A3064" s="5">
        <v>3003</v>
      </c>
      <c r="B3064" s="138">
        <f>'Expenditures 15-22'!D219</f>
        <v>2723</v>
      </c>
      <c r="D3064" s="2" t="str">
        <f t="shared" si="46"/>
        <v>Error?</v>
      </c>
    </row>
    <row r="3065" spans="1:4" x14ac:dyDescent="0.2">
      <c r="A3065" s="5">
        <v>3004</v>
      </c>
      <c r="B3065" s="138">
        <f>'Expenditures 15-22'!K219</f>
        <v>2723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24372</v>
      </c>
      <c r="C3225" s="2" t="s">
        <v>573</v>
      </c>
      <c r="D3225" s="2" t="str">
        <f t="shared" si="49"/>
        <v>Error?</v>
      </c>
    </row>
    <row r="3226" spans="1:4" x14ac:dyDescent="0.2">
      <c r="A3226" s="5">
        <v>3165</v>
      </c>
      <c r="B3226" s="138">
        <f>'Acct Summary 7-8'!I8</f>
        <v>24372</v>
      </c>
      <c r="C3226" s="2" t="s">
        <v>573</v>
      </c>
      <c r="D3226" s="2" t="str">
        <f t="shared" si="49"/>
        <v>Error?</v>
      </c>
    </row>
    <row r="3227" spans="1:4" x14ac:dyDescent="0.2">
      <c r="A3227" s="5">
        <v>3166</v>
      </c>
      <c r="B3227" s="138">
        <f>'Acct Summary 7-8'!I20</f>
        <v>24372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183246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-94670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1350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1350</v>
      </c>
      <c r="C3255" s="2" t="s">
        <v>573</v>
      </c>
      <c r="D3255" s="2" t="str">
        <f t="shared" si="49"/>
        <v>Error?</v>
      </c>
    </row>
    <row r="3256" spans="1:4" x14ac:dyDescent="0.2">
      <c r="A3256" s="5">
        <v>3195</v>
      </c>
      <c r="B3256" s="138">
        <f>'Acct Summary 7-8'!F78</f>
        <v>-175767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18460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24372</v>
      </c>
      <c r="C3320" s="2" t="s">
        <v>573</v>
      </c>
      <c r="D3320" s="2" t="str">
        <f t="shared" si="50"/>
        <v>Error?</v>
      </c>
    </row>
    <row r="3321" spans="1:4" x14ac:dyDescent="0.2">
      <c r="A3321" s="5">
        <v>3260</v>
      </c>
      <c r="B3321" s="138">
        <f>'Acct Summary 7-8'!I79</f>
        <v>338072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362444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280125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15000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296184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31357</v>
      </c>
      <c r="D3387" s="2" t="str">
        <f t="shared" si="51"/>
        <v>Error?</v>
      </c>
    </row>
    <row r="3388" spans="1:4" x14ac:dyDescent="0.2">
      <c r="A3388" s="5">
        <v>3327</v>
      </c>
      <c r="B3388" s="138">
        <f>'Expenditures 15-22'!D217</f>
        <v>8542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31357</v>
      </c>
      <c r="C3390" s="2" t="s">
        <v>573</v>
      </c>
      <c r="D3390" s="2" t="str">
        <f t="shared" si="51"/>
        <v>Error?</v>
      </c>
    </row>
    <row r="3391" spans="1:4" x14ac:dyDescent="0.2">
      <c r="A3391" s="5">
        <v>3330</v>
      </c>
      <c r="B3391" s="138">
        <f>'Expenditures 15-22'!K217</f>
        <v>8542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1862120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1121655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380234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187798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362444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119743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84987</v>
      </c>
      <c r="C3446" s="2" t="s">
        <v>573</v>
      </c>
      <c r="D3446" s="2" t="str">
        <f t="shared" si="52"/>
        <v>Error?</v>
      </c>
    </row>
    <row r="3447" spans="1:4" x14ac:dyDescent="0.2">
      <c r="A3447" s="5">
        <v>3386</v>
      </c>
      <c r="B3447" s="138">
        <f>'Tax Sched 23'!D16</f>
        <v>84987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83999</v>
      </c>
      <c r="C3449" s="2" t="s">
        <v>573</v>
      </c>
      <c r="D3449" s="2" t="str">
        <f t="shared" si="52"/>
        <v>Error?</v>
      </c>
    </row>
    <row r="3450" spans="1:4" x14ac:dyDescent="0.2">
      <c r="A3450" s="5">
        <v>3389</v>
      </c>
      <c r="B3450" s="138">
        <f>'Tax Sched 23'!E16</f>
        <v>83999</v>
      </c>
      <c r="D3450" s="2" t="str">
        <f t="shared" si="52"/>
        <v>Error?</v>
      </c>
    </row>
    <row r="3451" spans="1:4" x14ac:dyDescent="0.2">
      <c r="A3451" s="5">
        <v>3390</v>
      </c>
      <c r="B3451" s="138">
        <f>'Cap Outlay Deprec 26'!C15</f>
        <v>12066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12066</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1350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48554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48554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48554</v>
      </c>
      <c r="D3567" s="2" t="str">
        <f t="shared" si="54"/>
        <v>Error?</v>
      </c>
    </row>
    <row r="3568" spans="1:4" x14ac:dyDescent="0.2">
      <c r="A3568" s="5">
        <v>3507</v>
      </c>
      <c r="B3568" s="138">
        <f>'Assets-Liab 5-6'!K41</f>
        <v>48554</v>
      </c>
      <c r="C3568" s="2" t="s">
        <v>573</v>
      </c>
      <c r="D3568" s="2" t="str">
        <f t="shared" si="54"/>
        <v>Error?</v>
      </c>
    </row>
    <row r="3569" spans="1:4" x14ac:dyDescent="0.2">
      <c r="A3569" s="5">
        <v>3508</v>
      </c>
      <c r="B3569" s="138">
        <f>'Acct Summary 7-8'!K4</f>
        <v>16986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16986</v>
      </c>
      <c r="C3571" s="2" t="s">
        <v>573</v>
      </c>
      <c r="D3571" s="2" t="str">
        <f t="shared" si="54"/>
        <v>Error?</v>
      </c>
    </row>
    <row r="3572" spans="1:4" x14ac:dyDescent="0.2">
      <c r="A3572" s="5">
        <v>3511</v>
      </c>
      <c r="B3572" s="138">
        <f>'Acct Summary 7-8'!K13</f>
        <v>6013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6013</v>
      </c>
      <c r="C3575" s="2" t="s">
        <v>573</v>
      </c>
      <c r="D3575" s="2" t="str">
        <f t="shared" si="54"/>
        <v>Error?</v>
      </c>
    </row>
    <row r="3576" spans="1:4" x14ac:dyDescent="0.2">
      <c r="A3576" s="5">
        <v>3515</v>
      </c>
      <c r="B3576" s="138">
        <f>'Acct Summary 7-8'!K20</f>
        <v>10973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10973</v>
      </c>
      <c r="C3588" s="2" t="s">
        <v>573</v>
      </c>
      <c r="D3588" s="2" t="str">
        <f t="shared" si="55"/>
        <v>Error?</v>
      </c>
    </row>
    <row r="3589" spans="1:4" x14ac:dyDescent="0.2">
      <c r="A3589" s="5">
        <v>3528</v>
      </c>
      <c r="B3589" s="138">
        <f>'Acct Summary 7-8'!K79</f>
        <v>37581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48554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6013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6013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6013</v>
      </c>
      <c r="C3649" s="2" t="s">
        <v>573</v>
      </c>
      <c r="D3649" s="2" t="str">
        <f t="shared" si="56"/>
        <v>Error?</v>
      </c>
    </row>
    <row r="3650" spans="1:4" x14ac:dyDescent="0.2">
      <c r="A3650" s="5">
        <v>3589</v>
      </c>
      <c r="B3650" s="138">
        <f>'Expenditures 15-22'!G367</f>
        <v>6013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6013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6013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6013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6013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10973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16844</v>
      </c>
      <c r="C3725" s="2" t="s">
        <v>573</v>
      </c>
      <c r="D3725" s="2" t="str">
        <f t="shared" si="57"/>
        <v>Error?</v>
      </c>
    </row>
    <row r="3726" spans="1:4" x14ac:dyDescent="0.2">
      <c r="A3726" s="5">
        <v>3665</v>
      </c>
      <c r="B3726" s="138">
        <f>'Tax Sched 23'!D13</f>
        <v>16844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18118</v>
      </c>
      <c r="C3728" s="2" t="s">
        <v>573</v>
      </c>
      <c r="D3728" s="2" t="str">
        <f t="shared" si="57"/>
        <v>Error?</v>
      </c>
    </row>
    <row r="3729" spans="1:4" x14ac:dyDescent="0.2">
      <c r="A3729" s="5">
        <v>3668</v>
      </c>
      <c r="B3729" s="138">
        <f>'Tax Sched 23'!E13</f>
        <v>18118</v>
      </c>
      <c r="D3729" s="2" t="str">
        <f t="shared" si="57"/>
        <v>Error?</v>
      </c>
    </row>
    <row r="3730" spans="1:4" x14ac:dyDescent="0.2">
      <c r="A3730" s="5">
        <v>3669</v>
      </c>
      <c r="B3730" s="138">
        <f>'ICR Computation 30'!E10</f>
        <v>94386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1509190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5062497</v>
      </c>
      <c r="C4122" s="2" t="s">
        <v>573</v>
      </c>
      <c r="D4122" s="2" t="str">
        <f t="shared" si="63"/>
        <v>Error?</v>
      </c>
    </row>
    <row r="4123" spans="1:4" x14ac:dyDescent="0.2">
      <c r="A4123" s="5">
        <v>4062</v>
      </c>
      <c r="B4123" s="138">
        <f>'Acct Summary 7-8'!D10</f>
        <v>466389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334073</v>
      </c>
      <c r="C4125" s="2" t="s">
        <v>573</v>
      </c>
      <c r="D4125" s="2" t="str">
        <f t="shared" si="63"/>
        <v>Error?</v>
      </c>
    </row>
    <row r="4126" spans="1:4" x14ac:dyDescent="0.2">
      <c r="A4126" s="5">
        <v>4065</v>
      </c>
      <c r="B4126" s="138">
        <f>'Acct Summary 7-8'!G10</f>
        <v>148204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24372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16986</v>
      </c>
      <c r="C4130" s="2" t="s">
        <v>573</v>
      </c>
      <c r="D4130" s="2" t="str">
        <f t="shared" si="63"/>
        <v>Error?</v>
      </c>
    </row>
    <row r="4131" spans="1:4" x14ac:dyDescent="0.2">
      <c r="A4131" s="5">
        <v>4070</v>
      </c>
      <c r="B4131" s="138">
        <f>'Acct Summary 7-8'!C18</f>
        <v>1509190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4879251</v>
      </c>
      <c r="C4136" s="2" t="s">
        <v>573</v>
      </c>
      <c r="D4136" s="2" t="str">
        <f t="shared" si="63"/>
        <v>Error?</v>
      </c>
    </row>
    <row r="4137" spans="1:4" x14ac:dyDescent="0.2">
      <c r="A4137" s="5">
        <v>4076</v>
      </c>
      <c r="B4137" s="138">
        <f>'Acct Summary 7-8'!D19</f>
        <v>561059</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511190</v>
      </c>
      <c r="C4139" s="2" t="s">
        <v>573</v>
      </c>
      <c r="D4139" s="2" t="str">
        <f t="shared" si="63"/>
        <v>Error?</v>
      </c>
    </row>
    <row r="4140" spans="1:4" x14ac:dyDescent="0.2">
      <c r="A4140" s="5">
        <v>4079</v>
      </c>
      <c r="B4140" s="138">
        <f>'Acct Summary 7-8'!G19</f>
        <v>129744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6013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241</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3557.4799999999996</v>
      </c>
      <c r="C4265" s="2" t="s">
        <v>573</v>
      </c>
      <c r="D4265" s="2" t="str">
        <f t="shared" si="65"/>
        <v>Error?</v>
      </c>
      <c r="E4265" s="128"/>
    </row>
    <row r="4266" spans="1:5" x14ac:dyDescent="0.2">
      <c r="A4266" s="12">
        <v>4205</v>
      </c>
      <c r="B4266" s="138">
        <f>('FP Info 3'!F10)*100000</f>
        <v>491.37</v>
      </c>
      <c r="C4266" s="2" t="s">
        <v>573</v>
      </c>
      <c r="D4266" s="2" t="str">
        <f t="shared" si="65"/>
        <v>Error?</v>
      </c>
      <c r="E4266" s="128"/>
    </row>
    <row r="4267" spans="1:5" x14ac:dyDescent="0.2">
      <c r="A4267" s="12">
        <v>4206</v>
      </c>
      <c r="B4267" s="138">
        <f>('FP Info 3'!H10)*100000</f>
        <v>196.54999999999998</v>
      </c>
      <c r="C4267" s="2" t="s">
        <v>573</v>
      </c>
      <c r="D4267" s="2" t="str">
        <f t="shared" si="65"/>
        <v>Error?</v>
      </c>
      <c r="E4267" s="128"/>
    </row>
    <row r="4268" spans="1:5" x14ac:dyDescent="0.2">
      <c r="A4268" s="12">
        <v>4207</v>
      </c>
      <c r="B4268" s="138">
        <f>('FP Info 3'!J10)*100000</f>
        <v>4245</v>
      </c>
      <c r="C4268" s="2" t="s">
        <v>573</v>
      </c>
      <c r="D4268" s="2" t="str">
        <f t="shared" si="65"/>
        <v>Error?</v>
      </c>
    </row>
    <row r="4269" spans="1:5" x14ac:dyDescent="0.2">
      <c r="A4269" s="12">
        <v>4208</v>
      </c>
      <c r="B4269" s="138">
        <f>'FP Info 3'!J16</f>
        <v>3726453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3243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16975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684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31287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36869286</v>
      </c>
      <c r="D4995" s="2" t="str">
        <f t="shared" si="77"/>
        <v>Error?</v>
      </c>
    </row>
    <row r="4996" spans="1:4" x14ac:dyDescent="0.2">
      <c r="A4996" s="12">
        <v>4935</v>
      </c>
      <c r="B4996" s="138">
        <f>'FP Info 3'!H31</f>
        <v>5087961.4680000003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16844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1219493</v>
      </c>
      <c r="D5061" s="2" t="str">
        <f t="shared" si="78"/>
        <v>Error?</v>
      </c>
    </row>
    <row r="5062" spans="1:4" x14ac:dyDescent="0.2">
      <c r="A5062" s="10">
        <v>5001</v>
      </c>
      <c r="D5062" s="2" t="str">
        <f t="shared" si="78"/>
        <v>OK</v>
      </c>
    </row>
    <row r="5063" spans="1:4" x14ac:dyDescent="0.2">
      <c r="A5063" s="5">
        <v>5002</v>
      </c>
      <c r="B5063" s="138">
        <f>'Revenues 9-14'!C7</f>
        <v>13475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1249812</v>
      </c>
      <c r="C5066" s="2" t="s">
        <v>573</v>
      </c>
      <c r="D5066" s="2" t="str">
        <f t="shared" si="78"/>
        <v>Error?</v>
      </c>
    </row>
    <row r="5067" spans="1:4" x14ac:dyDescent="0.2">
      <c r="A5067" s="5">
        <v>5006</v>
      </c>
      <c r="B5067" s="138">
        <f>'Revenues 9-14'!C14</f>
        <v>8308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194217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202525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33603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33603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3502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7123</v>
      </c>
      <c r="D5094" s="2" t="str">
        <f t="shared" si="78"/>
        <v>Error?</v>
      </c>
    </row>
    <row r="5095" spans="1:4" x14ac:dyDescent="0.2">
      <c r="A5095" s="5">
        <v>5034</v>
      </c>
      <c r="B5095" s="138">
        <f>'Revenues 9-14'!C74</f>
        <v>1030</v>
      </c>
      <c r="D5095" s="2" t="str">
        <f t="shared" si="78"/>
        <v>Error?</v>
      </c>
    </row>
    <row r="5096" spans="1:4" x14ac:dyDescent="0.2">
      <c r="A5096" s="5">
        <v>5035</v>
      </c>
      <c r="B5096" s="138">
        <f>'Revenues 9-14'!C75</f>
        <v>69900</v>
      </c>
      <c r="C5096" s="2" t="s">
        <v>573</v>
      </c>
      <c r="D5096" s="2" t="str">
        <f t="shared" si="78"/>
        <v>Error?</v>
      </c>
    </row>
    <row r="5097" spans="1:4" x14ac:dyDescent="0.2">
      <c r="A5097" s="5">
        <v>5036</v>
      </c>
      <c r="B5097" s="138">
        <f>'Revenues 9-14'!C77</f>
        <v>12115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9960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22075</v>
      </c>
      <c r="C5102" s="2" t="s">
        <v>573</v>
      </c>
      <c r="D5102" s="2" t="str">
        <f t="shared" si="78"/>
        <v>Error?</v>
      </c>
    </row>
    <row r="5103" spans="1:4" x14ac:dyDescent="0.2">
      <c r="A5103" s="5">
        <v>5042</v>
      </c>
      <c r="B5103" s="138">
        <f>'Revenues 9-14'!C84</f>
        <v>14165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14165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19540</v>
      </c>
      <c r="D5119" s="2" t="str">
        <f t="shared" ref="D5119:D5182" si="79">IF(ISBLANK(B5119),"OK",IF(A5119-B5119=0,"OK","Error?"))</f>
        <v>Error?</v>
      </c>
    </row>
    <row r="5120" spans="1:4" x14ac:dyDescent="0.2">
      <c r="A5120" s="5">
        <v>5059</v>
      </c>
      <c r="B5120" s="138">
        <f>'Revenues 9-14'!C108</f>
        <v>20740</v>
      </c>
      <c r="C5120" s="2" t="s">
        <v>573</v>
      </c>
      <c r="D5120" s="2" t="str">
        <f t="shared" si="79"/>
        <v>Error?</v>
      </c>
    </row>
    <row r="5121" spans="1:4" x14ac:dyDescent="0.2">
      <c r="A5121" s="5">
        <v>5060</v>
      </c>
      <c r="B5121" s="138">
        <f>'Revenues 9-14'!C109</f>
        <v>1612820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1519179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1519179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3800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3800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16210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33244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1621</v>
      </c>
      <c r="D5167" s="2" t="str">
        <f t="shared" si="79"/>
        <v>Error?</v>
      </c>
    </row>
    <row r="5168" spans="1:4" x14ac:dyDescent="0.2">
      <c r="A5168" s="5">
        <v>5107</v>
      </c>
      <c r="B5168" s="138">
        <f>'Revenues 9-14'!C148</f>
        <v>6837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108739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154925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1674104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68565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25821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94386</v>
      </c>
      <c r="C5246" s="2" t="s">
        <v>573</v>
      </c>
      <c r="D5246" s="2" t="str">
        <f t="shared" si="80"/>
        <v>Error?</v>
      </c>
    </row>
    <row r="5247" spans="1:4" x14ac:dyDescent="0.2">
      <c r="A5247" s="5">
        <v>5186</v>
      </c>
      <c r="B5247" s="138">
        <f>'Revenues 9-14'!C200</f>
        <v>115963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115963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4393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4393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266383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266383</v>
      </c>
      <c r="C5326" s="2" t="s">
        <v>573</v>
      </c>
      <c r="D5326" s="2" t="str">
        <f t="shared" si="82"/>
        <v>Error?</v>
      </c>
    </row>
    <row r="5327" spans="1:5" x14ac:dyDescent="0.2">
      <c r="A5327" s="5">
        <v>5266</v>
      </c>
      <c r="B5327" s="138">
        <f>'Revenues 9-14'!C268</f>
        <v>3553307</v>
      </c>
      <c r="C5327" s="2" t="s">
        <v>573</v>
      </c>
      <c r="D5327" s="2" t="str">
        <f t="shared" si="82"/>
        <v>Error?</v>
      </c>
    </row>
    <row r="5328" spans="1:5" x14ac:dyDescent="0.2">
      <c r="A5328" s="5">
        <v>5267</v>
      </c>
      <c r="B5328" s="138">
        <f>'Revenues 9-14'!D5</f>
        <v>168438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168438</v>
      </c>
      <c r="C5334" s="2" t="s">
        <v>573</v>
      </c>
      <c r="D5334" s="2" t="str">
        <f t="shared" si="82"/>
        <v>Error?</v>
      </c>
    </row>
    <row r="5335" spans="1:4" x14ac:dyDescent="0.2">
      <c r="A5335" s="5">
        <v>5274</v>
      </c>
      <c r="B5335" s="138">
        <f>'Revenues 9-14'!D14</f>
        <v>1120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1120</v>
      </c>
      <c r="C5339" s="2" t="s">
        <v>573</v>
      </c>
      <c r="D5339" s="2" t="str">
        <f t="shared" si="82"/>
        <v>Error?</v>
      </c>
    </row>
    <row r="5340" spans="1:4" x14ac:dyDescent="0.2">
      <c r="A5340" s="5">
        <v>5279</v>
      </c>
      <c r="B5340" s="138">
        <f>'Revenues 9-14'!D65</f>
        <v>24249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24249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2582</v>
      </c>
      <c r="D5354" s="2" t="str">
        <f t="shared" si="82"/>
        <v>Error?</v>
      </c>
    </row>
    <row r="5355" spans="1:4" x14ac:dyDescent="0.2">
      <c r="A5355" s="5">
        <v>5294</v>
      </c>
      <c r="B5355" s="138">
        <f>'Revenues 9-14'!D108</f>
        <v>2582</v>
      </c>
      <c r="C5355" s="2" t="s">
        <v>573</v>
      </c>
      <c r="D5355" s="2" t="str">
        <f t="shared" si="82"/>
        <v>Error?</v>
      </c>
    </row>
    <row r="5356" spans="1:4" x14ac:dyDescent="0.2">
      <c r="A5356" s="5">
        <v>5295</v>
      </c>
      <c r="B5356" s="138">
        <f>'Revenues 9-14'!D109</f>
        <v>196389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270000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270000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270000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466389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67375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67375</v>
      </c>
      <c r="C5557" s="2" t="s">
        <v>573</v>
      </c>
      <c r="D5557" s="2" t="str">
        <f t="shared" si="85"/>
        <v>Error?</v>
      </c>
    </row>
    <row r="5558" spans="1:4" x14ac:dyDescent="0.2">
      <c r="A5558" s="5">
        <v>5497</v>
      </c>
      <c r="B5558" s="138">
        <f>'Revenues 9-14'!F14</f>
        <v>448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448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6465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6465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6470</v>
      </c>
      <c r="D5586" s="2" t="str">
        <f t="shared" si="86"/>
        <v>Error?</v>
      </c>
    </row>
    <row r="5587" spans="1:4" x14ac:dyDescent="0.2">
      <c r="A5587" s="5">
        <v>5526</v>
      </c>
      <c r="B5587" s="138">
        <f>'Revenues 9-14'!F108</f>
        <v>6470</v>
      </c>
      <c r="C5587" s="2" t="s">
        <v>573</v>
      </c>
      <c r="D5587" s="2" t="str">
        <f t="shared" si="86"/>
        <v>Error?</v>
      </c>
    </row>
    <row r="5588" spans="1:4" x14ac:dyDescent="0.2">
      <c r="A5588" s="5">
        <v>5527</v>
      </c>
      <c r="B5588" s="138">
        <f>'Revenues 9-14'!F109</f>
        <v>80758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131596</v>
      </c>
      <c r="D5615" s="2" t="str">
        <f t="shared" si="86"/>
        <v>Error?</v>
      </c>
    </row>
    <row r="5616" spans="1:4" x14ac:dyDescent="0.2">
      <c r="A5616" s="10">
        <v>5555</v>
      </c>
      <c r="D5616" s="2" t="str">
        <f t="shared" si="86"/>
        <v>OK</v>
      </c>
    </row>
    <row r="5617" spans="1:5" x14ac:dyDescent="0.2">
      <c r="A5617" s="5">
        <v>5556</v>
      </c>
      <c r="B5617" s="138">
        <f>'Revenues 9-14'!F153</f>
        <v>21719</v>
      </c>
      <c r="D5617" s="2" t="str">
        <f t="shared" si="86"/>
        <v>Error?</v>
      </c>
    </row>
    <row r="5618" spans="1:5" x14ac:dyDescent="0.2">
      <c r="A5618" s="5">
        <v>5557</v>
      </c>
      <c r="B5618" s="138">
        <f>'Revenues 9-14'!F155</f>
        <v>153315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153315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253315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334073</v>
      </c>
      <c r="C5720" s="2" t="s">
        <v>573</v>
      </c>
      <c r="D5720" s="2" t="str">
        <f t="shared" si="88"/>
        <v>Error?</v>
      </c>
    </row>
    <row r="5721" spans="1:4" x14ac:dyDescent="0.2">
      <c r="A5721" s="5">
        <v>5660</v>
      </c>
      <c r="B5721" s="138">
        <f>'Revenues 9-14'!G5</f>
        <v>39967</v>
      </c>
      <c r="D5721" s="2" t="str">
        <f t="shared" si="88"/>
        <v>Error?</v>
      </c>
    </row>
    <row r="5722" spans="1:4" x14ac:dyDescent="0.2">
      <c r="A5722" s="5">
        <v>5661</v>
      </c>
      <c r="B5722" s="138">
        <f>'Revenues 9-14'!G7</f>
        <v>0</v>
      </c>
      <c r="D5722" s="2" t="str">
        <f t="shared" si="88"/>
        <v>Error?</v>
      </c>
    </row>
    <row r="5723" spans="1:4" x14ac:dyDescent="0.2">
      <c r="A5723" s="5">
        <v>5662</v>
      </c>
      <c r="B5723" s="138">
        <f>'Revenues 9-14'!G8</f>
        <v>84987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124954</v>
      </c>
      <c r="C5725" s="2" t="s">
        <v>573</v>
      </c>
      <c r="D5725" s="2" t="str">
        <f t="shared" si="88"/>
        <v>Error?</v>
      </c>
    </row>
    <row r="5726" spans="1:4" x14ac:dyDescent="0.2">
      <c r="A5726" s="5">
        <v>5665</v>
      </c>
      <c r="B5726" s="138">
        <f>'Revenues 9-14'!G14</f>
        <v>831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18205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19036</v>
      </c>
      <c r="C5730" s="2" t="s">
        <v>573</v>
      </c>
      <c r="D5730" s="2" t="str">
        <f t="shared" si="88"/>
        <v>Error?</v>
      </c>
    </row>
    <row r="5731" spans="1:4" x14ac:dyDescent="0.2">
      <c r="A5731" s="5">
        <v>5670</v>
      </c>
      <c r="B5731" s="138">
        <f>'Revenues 9-14'!G65</f>
        <v>4214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4214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148204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16844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16844</v>
      </c>
      <c r="C5918" s="2" t="s">
        <v>573</v>
      </c>
      <c r="D5918" s="2" t="str">
        <f t="shared" si="91"/>
        <v>Error?</v>
      </c>
    </row>
    <row r="5919" spans="1:4" x14ac:dyDescent="0.2">
      <c r="A5919" s="5">
        <v>5858</v>
      </c>
      <c r="B5919" s="138">
        <f>'Revenues 9-14'!I14</f>
        <v>112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112</v>
      </c>
      <c r="C5923" s="2" t="s">
        <v>573</v>
      </c>
      <c r="D5923" s="2" t="str">
        <f t="shared" si="91"/>
        <v>Error?</v>
      </c>
    </row>
    <row r="5924" spans="1:4" x14ac:dyDescent="0.2">
      <c r="A5924" s="5">
        <v>5863</v>
      </c>
      <c r="B5924" s="138">
        <f>'Revenues 9-14'!I65</f>
        <v>7416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7416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24372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16844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16844</v>
      </c>
      <c r="C5987" s="2" t="s">
        <v>573</v>
      </c>
      <c r="D5987" s="2" t="str">
        <f t="shared" si="92"/>
        <v>Error?</v>
      </c>
    </row>
    <row r="5988" spans="1:4" x14ac:dyDescent="0.2">
      <c r="A5988" s="5">
        <v>5927</v>
      </c>
      <c r="B5988" s="138">
        <f>'Revenues 9-14'!K14</f>
        <v>112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112</v>
      </c>
      <c r="C5992" s="2" t="s">
        <v>573</v>
      </c>
      <c r="D5992" s="2" t="str">
        <f t="shared" si="92"/>
        <v>Error?</v>
      </c>
    </row>
    <row r="5993" spans="1:4" x14ac:dyDescent="0.2">
      <c r="A5993" s="5">
        <v>5932</v>
      </c>
      <c r="B5993" s="138">
        <f>'Revenues 9-14'!K65</f>
        <v>30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16986</v>
      </c>
      <c r="C6023" s="2" t="s">
        <v>573</v>
      </c>
      <c r="D6023" s="2" t="str">
        <f t="shared" si="93"/>
        <v>Error?</v>
      </c>
    </row>
    <row r="6024" spans="1:5" x14ac:dyDescent="0.2">
      <c r="A6024" s="5">
        <v>5963</v>
      </c>
      <c r="B6024" s="138">
        <f>'Revenues 9-14'!G109</f>
        <v>148204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24372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16986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58245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14146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351.1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232643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232643</v>
      </c>
      <c r="D6215" s="2" t="str">
        <f t="shared" si="96"/>
        <v>Error?</v>
      </c>
      <c r="E6215" s="2" t="s">
        <v>190</v>
      </c>
    </row>
    <row r="6216" spans="1:5" x14ac:dyDescent="0.2">
      <c r="A6216">
        <v>6155</v>
      </c>
      <c r="B6216" s="138">
        <f>'Assets-Liab 5-6'!J41</f>
        <v>232643</v>
      </c>
      <c r="D6216" s="2" t="str">
        <f t="shared" si="96"/>
        <v>Error?</v>
      </c>
      <c r="E6216" s="2" t="s">
        <v>190</v>
      </c>
    </row>
    <row r="6217" spans="1:5" x14ac:dyDescent="0.2">
      <c r="A6217">
        <v>6156</v>
      </c>
      <c r="B6217" s="138">
        <f>'Assets-Liab 5-6'!J4</f>
        <v>232643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136361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136361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136361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101357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101357</v>
      </c>
      <c r="D6229" s="2" t="str">
        <f t="shared" si="96"/>
        <v>Error?</v>
      </c>
      <c r="E6229" s="2" t="s">
        <v>190</v>
      </c>
    </row>
    <row r="6230" spans="1:5" x14ac:dyDescent="0.2">
      <c r="A6230">
        <v>6169</v>
      </c>
      <c r="B6230" s="138">
        <f>'Acct Summary 7-8'!J20</f>
        <v>35004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35004</v>
      </c>
      <c r="D6263" s="2" t="str">
        <f t="shared" si="96"/>
        <v>Error?</v>
      </c>
      <c r="E6263" s="2" t="s">
        <v>190</v>
      </c>
    </row>
    <row r="6264" spans="1:5" x14ac:dyDescent="0.2">
      <c r="A6264">
        <v>6203</v>
      </c>
      <c r="B6264" s="138">
        <f>'Acct Summary 7-8'!J79</f>
        <v>197639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232643</v>
      </c>
      <c r="D6266" s="2" t="str">
        <f t="shared" si="96"/>
        <v>Error?</v>
      </c>
      <c r="E6266" s="2" t="s">
        <v>190</v>
      </c>
    </row>
    <row r="6267" spans="1:5" x14ac:dyDescent="0.2">
      <c r="A6267">
        <v>6206</v>
      </c>
      <c r="B6267" s="138">
        <f>'Acct Summary 7-8'!C82</f>
        <v>183246</v>
      </c>
      <c r="D6267" s="2" t="str">
        <f t="shared" si="96"/>
        <v>Error?</v>
      </c>
      <c r="E6267" s="2" t="s">
        <v>190</v>
      </c>
    </row>
    <row r="6268" spans="1:5" x14ac:dyDescent="0.2">
      <c r="A6268">
        <v>6207</v>
      </c>
      <c r="B6268" s="138">
        <f>'Acct Summary 7-8'!D82</f>
        <v>-94670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-175767</v>
      </c>
      <c r="D6270" s="2" t="str">
        <f t="shared" si="96"/>
        <v>Error?</v>
      </c>
      <c r="E6270" s="2" t="s">
        <v>190</v>
      </c>
    </row>
    <row r="6271" spans="1:5" x14ac:dyDescent="0.2">
      <c r="A6271">
        <v>6210</v>
      </c>
      <c r="B6271" s="138">
        <f>'Acct Summary 7-8'!G82</f>
        <v>18460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24372</v>
      </c>
      <c r="D6273" s="2" t="str">
        <f t="shared" si="97"/>
        <v>Error?</v>
      </c>
      <c r="E6273" s="2" t="s">
        <v>190</v>
      </c>
    </row>
    <row r="6274" spans="1:5" x14ac:dyDescent="0.2">
      <c r="A6274">
        <v>6213</v>
      </c>
      <c r="B6274" s="138">
        <f>'Acct Summary 7-8'!J82</f>
        <v>35004</v>
      </c>
      <c r="D6274" s="2" t="str">
        <f t="shared" si="97"/>
        <v>Error?</v>
      </c>
      <c r="E6274" s="2" t="s">
        <v>190</v>
      </c>
    </row>
    <row r="6275" spans="1:5" x14ac:dyDescent="0.2">
      <c r="A6275">
        <v>6214</v>
      </c>
      <c r="B6275" s="138">
        <f>'Acct Summary 7-8'!K82</f>
        <v>10973</v>
      </c>
      <c r="D6275" s="2" t="str">
        <f t="shared" si="97"/>
        <v>Error?</v>
      </c>
      <c r="E6275" s="2" t="s">
        <v>190</v>
      </c>
    </row>
    <row r="6276" spans="1:5" x14ac:dyDescent="0.2">
      <c r="A6276">
        <v>6215</v>
      </c>
      <c r="B6276" s="138">
        <f>'Acct Summary 7-8'!C83</f>
        <v>9.8407191802891328E-2</v>
      </c>
      <c r="D6276" s="2" t="str">
        <f t="shared" si="97"/>
        <v>Error?</v>
      </c>
      <c r="E6276" s="2" t="s">
        <v>190</v>
      </c>
    </row>
    <row r="6277" spans="1:5" x14ac:dyDescent="0.2">
      <c r="A6277">
        <v>6216</v>
      </c>
      <c r="B6277" s="138">
        <f>'Acct Summary 7-8'!D83</f>
        <v>-8.4402066589102709E-2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-0.46226008194953633</v>
      </c>
      <c r="D6279" s="2" t="str">
        <f t="shared" si="97"/>
        <v>Error?</v>
      </c>
      <c r="E6279" s="2" t="s">
        <v>190</v>
      </c>
    </row>
    <row r="6280" spans="1:5" x14ac:dyDescent="0.2">
      <c r="A6280">
        <v>6219</v>
      </c>
      <c r="B6280" s="138">
        <f>'Acct Summary 7-8'!G83</f>
        <v>9.829710646545757E-2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6.7243491408327902E-2</v>
      </c>
      <c r="D6282" s="2" t="str">
        <f t="shared" si="97"/>
        <v>Error?</v>
      </c>
      <c r="E6282" s="2" t="s">
        <v>190</v>
      </c>
    </row>
    <row r="6283" spans="1:5" x14ac:dyDescent="0.2">
      <c r="A6283">
        <v>6222</v>
      </c>
      <c r="B6283" s="138">
        <f>'Acct Summary 7-8'!J83</f>
        <v>0.15046229630807717</v>
      </c>
      <c r="D6283" s="2" t="str">
        <f t="shared" si="97"/>
        <v>Error?</v>
      </c>
      <c r="E6283" s="2" t="s">
        <v>190</v>
      </c>
    </row>
    <row r="6284" spans="1:5" x14ac:dyDescent="0.2">
      <c r="A6284">
        <v>6223</v>
      </c>
      <c r="B6284" s="138">
        <f>'Acct Summary 7-8'!K83</f>
        <v>0.2259957984924002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129969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129969</v>
      </c>
      <c r="D6301" s="2" t="str">
        <f t="shared" si="97"/>
        <v>Error?</v>
      </c>
      <c r="E6301" s="2" t="s">
        <v>190</v>
      </c>
    </row>
    <row r="6302" spans="1:5" x14ac:dyDescent="0.2">
      <c r="A6302">
        <v>6241</v>
      </c>
      <c r="B6302" s="138">
        <f>'Revenues 9-14'!J14</f>
        <v>864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864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4326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4326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1202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1202</v>
      </c>
      <c r="D6351" s="2" t="str">
        <f t="shared" si="98"/>
        <v>Error?</v>
      </c>
      <c r="E6351" s="2" t="s">
        <v>190</v>
      </c>
    </row>
    <row r="6352" spans="1:5" x14ac:dyDescent="0.2">
      <c r="A6352">
        <v>6291</v>
      </c>
      <c r="B6352" s="138">
        <f>'Revenues 9-14'!J109</f>
        <v>136361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16793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71129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87049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17822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101357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136361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3277</v>
      </c>
      <c r="D7073" s="2" t="str">
        <f t="shared" si="109"/>
        <v>Error?</v>
      </c>
    </row>
    <row r="7074" spans="1:4" x14ac:dyDescent="0.2">
      <c r="A7074">
        <v>7013</v>
      </c>
      <c r="B7074" s="138">
        <f>'Expenditures 15-22'!K216</f>
        <v>3277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233</v>
      </c>
      <c r="D7079" s="2" t="str">
        <f t="shared" si="109"/>
        <v>Error?</v>
      </c>
    </row>
    <row r="7080" spans="1:4" x14ac:dyDescent="0.2">
      <c r="A7080">
        <v>7019</v>
      </c>
      <c r="B7080" s="138">
        <f>'Expenditures 15-22'!K226</f>
        <v>233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18103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18103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34809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34809</v>
      </c>
      <c r="D7153" s="2" t="str">
        <f t="shared" si="110"/>
        <v>Error?</v>
      </c>
    </row>
    <row r="7154" spans="1:4" x14ac:dyDescent="0.2">
      <c r="A7154">
        <v>7093</v>
      </c>
      <c r="B7154" s="138">
        <f>'Expenditures 15-22'!C323</f>
        <v>40000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6480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46480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1965</v>
      </c>
      <c r="D7198" s="2" t="str">
        <f t="shared" si="111"/>
        <v>Error?</v>
      </c>
    </row>
    <row r="7199" spans="1:4" x14ac:dyDescent="0.2">
      <c r="A7199">
        <v>7138</v>
      </c>
      <c r="B7199" s="138">
        <f>'Expenditures 15-22'!C330</f>
        <v>40000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61357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101357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61357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101357</v>
      </c>
      <c r="D7224" s="2" t="str">
        <f t="shared" si="111"/>
        <v>Error?</v>
      </c>
    </row>
    <row r="7225" spans="1:4" x14ac:dyDescent="0.2">
      <c r="A7225">
        <v>7164</v>
      </c>
      <c r="B7225" s="138">
        <f>'Expenditures 15-22'!K343</f>
        <v>35004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6215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5933</v>
      </c>
      <c r="D7248" s="2" t="str">
        <f t="shared" si="112"/>
        <v>Error?</v>
      </c>
    </row>
    <row r="7249" spans="1:4" x14ac:dyDescent="0.2">
      <c r="A7249">
        <f t="shared" si="113"/>
        <v>7188</v>
      </c>
      <c r="B7249" s="138">
        <f>'Expenditures 15-22'!G7</f>
        <v>3772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16071</v>
      </c>
      <c r="D7263" s="2" t="str">
        <f t="shared" si="112"/>
        <v>Error?</v>
      </c>
    </row>
    <row r="7264" spans="1:4" x14ac:dyDescent="0.2">
      <c r="A7264">
        <f t="shared" si="113"/>
        <v>7203</v>
      </c>
      <c r="B7264" s="138">
        <f>'Expenditures 15-22'!D17</f>
        <v>289</v>
      </c>
      <c r="D7264" s="2" t="str">
        <f t="shared" si="112"/>
        <v>Error?</v>
      </c>
    </row>
    <row r="7265" spans="1:5" x14ac:dyDescent="0.2">
      <c r="A7265">
        <f t="shared" si="113"/>
        <v>7204</v>
      </c>
      <c r="B7265" s="138">
        <f>'Expenditures 15-22'!E17</f>
        <v>65</v>
      </c>
      <c r="D7265" s="2" t="str">
        <f t="shared" si="112"/>
        <v>Error?</v>
      </c>
    </row>
    <row r="7266" spans="1:5" x14ac:dyDescent="0.2">
      <c r="A7266">
        <f t="shared" si="113"/>
        <v>7205</v>
      </c>
      <c r="B7266" s="138">
        <f>'Expenditures 15-22'!F17</f>
        <v>1397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248027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1200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6837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8037</v>
      </c>
      <c r="D7719" s="2" t="str">
        <f t="shared" si="126"/>
        <v>Error?</v>
      </c>
      <c r="E7719" s="2" t="s">
        <v>827</v>
      </c>
    </row>
    <row r="7720" spans="1:6" x14ac:dyDescent="0.2">
      <c r="A7720">
        <v>7659</v>
      </c>
      <c r="B7720" s="138">
        <f>'Rest Tax Levies-Tort Im 25'!H14</f>
        <v>13475</v>
      </c>
      <c r="D7720" s="2" t="str">
        <f t="shared" si="126"/>
        <v>Error?</v>
      </c>
      <c r="E7720" s="2" t="s">
        <v>827</v>
      </c>
    </row>
    <row r="7721" spans="1:6" x14ac:dyDescent="0.2">
      <c r="A7721">
        <v>7660</v>
      </c>
      <c r="B7721" s="138">
        <f>'Rest Tax Levies-Tort Im 25'!K14</f>
        <v>8037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102611</v>
      </c>
      <c r="D7797" s="2" t="str">
        <f t="shared" si="127"/>
        <v>Error?</v>
      </c>
      <c r="E7797" s="4" t="s">
        <v>1904</v>
      </c>
    </row>
    <row r="7798" spans="1:5" x14ac:dyDescent="0.2">
      <c r="A7798">
        <v>7737</v>
      </c>
      <c r="B7798" s="138">
        <f>'Contracts Paid in CY 29'!F141</f>
        <v>76450</v>
      </c>
      <c r="D7798" s="2" t="str">
        <f t="shared" si="127"/>
        <v>Error?</v>
      </c>
      <c r="E7798" s="4" t="s">
        <v>1904</v>
      </c>
    </row>
    <row r="7799" spans="1:5" x14ac:dyDescent="0.2">
      <c r="A7799">
        <v>7738</v>
      </c>
      <c r="B7799" s="138">
        <f>'Contracts Paid in CY 29'!G141</f>
        <v>26161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13" zoomScale="110" zoomScaleNormal="110" workbookViewId="0">
      <selection activeCell="A18" sqref="A18:F1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North Wayne CUSD 200</v>
      </c>
      <c r="B7" s="2385"/>
      <c r="C7" s="2385"/>
      <c r="D7" s="2422"/>
      <c r="E7" s="2423">
        <f>COVER!A13</f>
        <v>20096200026</v>
      </c>
      <c r="F7" s="2424"/>
      <c r="G7" s="2391">
        <f>COVER!T23</f>
        <v>65.032562999999996</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Kemper CPA Group LLP</v>
      </c>
      <c r="H9" s="2398"/>
      <c r="I9" s="2398"/>
      <c r="J9" s="2398"/>
      <c r="K9" s="2398"/>
      <c r="L9" s="2399"/>
    </row>
    <row r="10" spans="1:29" ht="13.5" customHeight="1" x14ac:dyDescent="0.2">
      <c r="A10" s="2381" t="str">
        <f>COVER!A38</f>
        <v>Lucas Schroeder</v>
      </c>
      <c r="B10" s="2382"/>
      <c r="C10" s="2382"/>
      <c r="D10" s="2382"/>
      <c r="E10" s="2382"/>
      <c r="F10" s="2383"/>
      <c r="G10" s="2397" t="str">
        <f>COVER!T17</f>
        <v>703 W. Main St</v>
      </c>
      <c r="H10" s="2410"/>
      <c r="I10" s="2410"/>
      <c r="J10" s="2410"/>
      <c r="K10" s="2410"/>
      <c r="L10" s="2411"/>
    </row>
    <row r="11" spans="1:29" ht="13.5" customHeight="1" x14ac:dyDescent="0.2">
      <c r="A11" s="1184" t="s">
        <v>1519</v>
      </c>
      <c r="B11" s="1185"/>
      <c r="C11" s="1186"/>
      <c r="D11" s="1191"/>
      <c r="E11" s="1186"/>
      <c r="F11" s="1190"/>
      <c r="G11" s="2397" t="str">
        <f>COVER!T19</f>
        <v>Olney</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kmclaren@kempercpa.com</v>
      </c>
      <c r="J13" s="2419"/>
      <c r="K13" s="2419"/>
      <c r="L13" s="2420"/>
    </row>
    <row r="14" spans="1:29" ht="13.5" customHeight="1" x14ac:dyDescent="0.2">
      <c r="A14" s="2397" t="str">
        <f>COVER!A19</f>
        <v>P.O. Box 235</v>
      </c>
      <c r="B14" s="2410"/>
      <c r="C14" s="2410"/>
      <c r="D14" s="2410"/>
      <c r="E14" s="2410"/>
      <c r="F14" s="2411"/>
      <c r="G14" s="1195" t="s">
        <v>1185</v>
      </c>
      <c r="H14" s="1193"/>
      <c r="I14" s="1193"/>
      <c r="J14" s="1193"/>
      <c r="K14" s="1193"/>
      <c r="L14" s="1194"/>
    </row>
    <row r="15" spans="1:29" ht="13.5" customHeight="1" x14ac:dyDescent="0.2">
      <c r="A15" s="2397" t="str">
        <f>COVER!A21</f>
        <v>Cisne</v>
      </c>
      <c r="B15" s="2410"/>
      <c r="C15" s="2410"/>
      <c r="D15" s="2410"/>
      <c r="E15" s="2410"/>
      <c r="F15" s="2411"/>
      <c r="G15" s="2407" t="str">
        <f>COVER!T15</f>
        <v>Krista McLaren</v>
      </c>
      <c r="H15" s="2408"/>
      <c r="I15" s="2408"/>
      <c r="J15" s="2408"/>
      <c r="K15" s="2408"/>
      <c r="L15" s="2409"/>
    </row>
    <row r="16" spans="1:29" ht="12.2" customHeight="1" x14ac:dyDescent="0.2">
      <c r="A16" s="2387">
        <f>COVER!A25</f>
        <v>62823</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618-395-2105</v>
      </c>
      <c r="H18" s="2385"/>
      <c r="I18" s="2385"/>
      <c r="J18" s="2385"/>
      <c r="K18" s="2384" t="str">
        <f>COVER!X21</f>
        <v>618-395-7079</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85" zoomScale="125" zoomScaleNormal="125" workbookViewId="0">
      <selection activeCell="D18" sqref="D18"/>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North Wayne CUSD 200</v>
      </c>
      <c r="B1" s="2421"/>
      <c r="C1" s="2421"/>
      <c r="D1" s="2421"/>
    </row>
    <row r="2" spans="1:11" s="1212" customFormat="1" ht="12.75" x14ac:dyDescent="0.2">
      <c r="A2" s="2426">
        <f>'Single Audit Cover'!E7</f>
        <v>20096200026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topLeftCell="A22" zoomScale="110" zoomScaleNormal="110" zoomScaleSheetLayoutView="100" workbookViewId="0">
      <selection activeCell="D18" sqref="D1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North Wayne CUSD 200</v>
      </c>
      <c r="B1" s="2429"/>
      <c r="C1" s="2429"/>
      <c r="D1" s="2429"/>
      <c r="E1" s="2429"/>
    </row>
    <row r="2" spans="1:5" x14ac:dyDescent="0.2">
      <c r="A2" s="2430">
        <f>'Single Audit Cover'!E7</f>
        <v>20096200026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266383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14146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-136</v>
      </c>
    </row>
    <row r="19" spans="1:4" ht="13.5" thickBot="1" x14ac:dyDescent="0.25">
      <c r="A19" s="1262" t="s">
        <v>1235</v>
      </c>
      <c r="D19" s="1263">
        <f>SUM(D10:D17)</f>
        <v>280393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280393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280393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D18" sqref="D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North Wayne CUSD 200</v>
      </c>
      <c r="C1" s="2433"/>
      <c r="D1" s="2433"/>
      <c r="E1" s="2433"/>
      <c r="F1" s="2433"/>
      <c r="G1" s="2433"/>
      <c r="H1" s="2433"/>
      <c r="I1" s="2433"/>
      <c r="J1" s="2433"/>
      <c r="K1" s="2433"/>
      <c r="L1" s="2433"/>
      <c r="M1" s="2433"/>
    </row>
    <row r="2" spans="2:14" ht="15" x14ac:dyDescent="0.2">
      <c r="B2" s="2434">
        <f>'Single Audit Cover'!E7</f>
        <v>20096200026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D18" sqref="D18:F1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North Wayne CUSD 200</v>
      </c>
      <c r="B1" s="2438"/>
      <c r="C1" s="2438"/>
      <c r="D1" s="2438"/>
      <c r="E1" s="2438"/>
      <c r="F1" s="2438"/>
    </row>
    <row r="2" spans="1:7" ht="13.5" customHeight="1" x14ac:dyDescent="0.2">
      <c r="A2" s="2434">
        <f>'Single Audit Cover'!E7</f>
        <v>20096200026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D18" sqref="D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t="s">
        <v>2081</v>
      </c>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8" zoomScale="110" zoomScaleNormal="110" workbookViewId="0">
      <selection activeCell="I49" sqref="I4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North Wayne CUSD 200</v>
      </c>
      <c r="C1" s="2454"/>
      <c r="D1" s="2454"/>
      <c r="E1" s="2454"/>
      <c r="F1" s="2454"/>
      <c r="G1" s="2454"/>
      <c r="H1" s="2454"/>
      <c r="I1" s="2454"/>
      <c r="J1" s="1406"/>
    </row>
    <row r="2" spans="2:10" s="317" customFormat="1" ht="12.75" customHeight="1" x14ac:dyDescent="0.2">
      <c r="B2" s="2455">
        <f>'Single Audit Cover'!E7</f>
        <v>20096200026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t="s">
        <v>1164</v>
      </c>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2064</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2064</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t="s">
        <v>2109</v>
      </c>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2064</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t="s">
        <v>2109</v>
      </c>
      <c r="C38" s="2449" t="s">
        <v>2110</v>
      </c>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281699</v>
      </c>
      <c r="E45" s="2472"/>
    </row>
    <row r="46" spans="2:9" ht="5.25" customHeight="1" x14ac:dyDescent="0.2">
      <c r="B46" s="1429"/>
      <c r="D46" s="1430"/>
      <c r="E46" s="1431"/>
    </row>
    <row r="47" spans="2:9" ht="12.75" customHeight="1" x14ac:dyDescent="0.2">
      <c r="B47" s="1297" t="s">
        <v>1594</v>
      </c>
      <c r="C47" s="1297"/>
      <c r="D47" s="1432">
        <f>+G43/D45</f>
        <v>0</v>
      </c>
      <c r="E47" s="1433"/>
      <c r="F47" s="1434"/>
      <c r="I47" s="1435"/>
    </row>
    <row r="48" spans="2:9" ht="9.9499999999999993" customHeight="1" x14ac:dyDescent="0.2"/>
    <row r="49" spans="1:9" x14ac:dyDescent="0.2">
      <c r="B49" s="1365" t="s">
        <v>1273</v>
      </c>
      <c r="C49" s="1279"/>
      <c r="D49" s="1279"/>
      <c r="E49" s="2473" t="s">
        <v>2111</v>
      </c>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0" zoomScale="110" zoomScaleNormal="110" workbookViewId="0">
      <selection activeCell="D18" sqref="D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North Wayne CUSD 200</v>
      </c>
      <c r="C1" s="2453"/>
      <c r="D1" s="2453"/>
      <c r="E1" s="2453"/>
      <c r="F1" s="2453"/>
      <c r="G1" s="2453"/>
      <c r="H1" s="2453"/>
      <c r="I1" s="2453"/>
      <c r="J1" s="2453"/>
      <c r="K1" s="2453"/>
      <c r="L1" s="1371"/>
      <c r="M1" s="1371"/>
    </row>
    <row r="2" spans="1:13" ht="12" customHeight="1" x14ac:dyDescent="0.2">
      <c r="B2" s="2455">
        <f>'Single Audit Cover'!E7</f>
        <v>20096200026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t="s">
        <v>2086</v>
      </c>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t="s">
        <v>2087</v>
      </c>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t="s">
        <v>2088</v>
      </c>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t="s">
        <v>2089</v>
      </c>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t="s">
        <v>2090</v>
      </c>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t="s">
        <v>2091</v>
      </c>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t="s">
        <v>2092</v>
      </c>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North Wayne CUSD 200</v>
      </c>
      <c r="C1" s="2480"/>
      <c r="D1" s="2480"/>
      <c r="E1" s="2480"/>
      <c r="F1" s="2480"/>
      <c r="G1" s="2480"/>
      <c r="H1" s="2480"/>
      <c r="I1" s="2480"/>
      <c r="J1" s="2480"/>
      <c r="K1" s="2480"/>
      <c r="L1" s="1449"/>
    </row>
    <row r="2" spans="1:12" ht="12.75" customHeight="1" x14ac:dyDescent="0.2">
      <c r="B2" s="2481">
        <f>'Single Audit Cover'!E7</f>
        <v>20096200026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C13" sqref="C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North Wayne CUSD 200</v>
      </c>
      <c r="C1" s="2453"/>
      <c r="D1" s="2453"/>
      <c r="E1" s="1469"/>
    </row>
    <row r="2" spans="2:5" s="1279" customFormat="1" ht="12.75" customHeight="1" x14ac:dyDescent="0.2">
      <c r="B2" s="2455">
        <f>'Single Audit Cover'!E7</f>
        <v>20096200026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2093</v>
      </c>
      <c r="C7" s="324" t="s">
        <v>2095</v>
      </c>
      <c r="D7" s="324" t="s">
        <v>2094</v>
      </c>
      <c r="E7" s="324"/>
    </row>
    <row r="8" spans="2:5" ht="13.5" customHeight="1" x14ac:dyDescent="0.2">
      <c r="B8" s="1474"/>
      <c r="C8" s="324" t="s">
        <v>2096</v>
      </c>
      <c r="D8" s="324"/>
      <c r="E8" s="324"/>
    </row>
    <row r="9" spans="2:5" ht="13.5" customHeight="1" x14ac:dyDescent="0.2">
      <c r="B9" s="1475"/>
      <c r="C9" s="323" t="s">
        <v>2098</v>
      </c>
      <c r="D9" s="323"/>
      <c r="E9" s="323"/>
    </row>
    <row r="10" spans="2:5" ht="13.5" customHeight="1" x14ac:dyDescent="0.2">
      <c r="B10" s="1474"/>
      <c r="C10" s="323" t="s">
        <v>2097</v>
      </c>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L29" sqref="L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36869286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3.5574799999999997E-2</v>
      </c>
      <c r="E10" s="356" t="s">
        <v>1005</v>
      </c>
      <c r="F10" s="355">
        <v>4.9137E-3</v>
      </c>
      <c r="G10" s="356" t="s">
        <v>1005</v>
      </c>
      <c r="H10" s="355">
        <v>1.9654999999999998E-3</v>
      </c>
      <c r="I10" s="356" t="s">
        <v>1006</v>
      </c>
      <c r="J10" s="1732">
        <f>ROUND(D10+F10+H10,5)</f>
        <v>4.2450000000000002E-2</v>
      </c>
      <c r="K10" s="222"/>
      <c r="L10" s="355">
        <v>4.9140000000000002E-4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4378141</v>
      </c>
      <c r="E16" s="356"/>
      <c r="F16" s="1733">
        <f>SUM('Acct Summary 7-8'!C17,'Acct Summary 7-8'!D17,'Acct Summary 7-8'!F17)</f>
        <v>4442310</v>
      </c>
      <c r="G16" s="356"/>
      <c r="H16" s="1733">
        <f>SUM(D16-F16)</f>
        <v>-64169</v>
      </c>
      <c r="I16" s="222"/>
      <c r="J16" s="1733">
        <f>SUM('Acct Summary 7-8'!C81,'Acct Summary 7-8'!D81,'Acct Summary 7-8'!F81,'Acct Summary 7-8'!I81)</f>
        <v>3726453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5087961.4680000003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7" sqref="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 Wayne CUSD 200</v>
      </c>
      <c r="E7" s="391"/>
      <c r="G7" s="252"/>
      <c r="H7" s="387"/>
      <c r="I7" s="387"/>
      <c r="J7" s="387"/>
      <c r="K7" s="387"/>
      <c r="L7" s="329"/>
      <c r="M7" s="329"/>
      <c r="N7" s="329"/>
      <c r="O7" s="329"/>
      <c r="P7" s="329"/>
    </row>
    <row r="8" spans="1:18" ht="12.75" x14ac:dyDescent="0.2">
      <c r="A8" s="329"/>
      <c r="B8" s="329"/>
      <c r="C8" s="389" t="s">
        <v>1125</v>
      </c>
      <c r="D8" s="392">
        <f>COVER!A13</f>
        <v>20096200026</v>
      </c>
      <c r="E8" s="393"/>
      <c r="G8" s="329"/>
      <c r="H8" s="329"/>
      <c r="I8" s="329"/>
      <c r="J8" s="329"/>
      <c r="K8" s="329"/>
      <c r="L8" s="329"/>
      <c r="M8" s="329"/>
      <c r="N8" s="329"/>
      <c r="O8" s="329"/>
      <c r="P8" s="329"/>
    </row>
    <row r="9" spans="1:18" ht="12.75" x14ac:dyDescent="0.2">
      <c r="A9" s="329"/>
      <c r="B9" s="329"/>
      <c r="C9" s="389" t="s">
        <v>713</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3726453</v>
      </c>
      <c r="I12" s="404"/>
      <c r="J12" s="404"/>
      <c r="K12" s="405">
        <f>TRUNC((H12/H13*100000),5)/100000</f>
        <v>0.85114960890000002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4378141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4442310</v>
      </c>
      <c r="I17" s="404"/>
      <c r="J17" s="416"/>
      <c r="K17" s="405">
        <f>TRUNC((H17/H18*100000),5)/100000</f>
        <v>1.0146566773000001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4378141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51.249651800000002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3726453</v>
      </c>
      <c r="I24" s="422"/>
      <c r="J24" s="422"/>
      <c r="K24" s="423">
        <f>TRUNC(((H24/H25*100000)/100000),2)</f>
        <v>301.98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12339.75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1330336.0120999999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5087961.4680000003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D18" sqref="D18"/>
      <selection pane="bottomLeft" activeCell="C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1862120</v>
      </c>
      <c r="D4" s="466">
        <v>1121655</v>
      </c>
      <c r="E4" s="466"/>
      <c r="F4" s="466">
        <v>380234</v>
      </c>
      <c r="G4" s="466">
        <v>187798</v>
      </c>
      <c r="H4" s="466"/>
      <c r="I4" s="466">
        <v>362444</v>
      </c>
      <c r="J4" s="467">
        <v>232643</v>
      </c>
      <c r="K4" s="466">
        <v>48554</v>
      </c>
      <c r="L4" s="466">
        <v>119743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1862120</v>
      </c>
      <c r="D13" s="1737">
        <f t="shared" ref="D13:L13" si="0">SUM(D4:D12)</f>
        <v>1121655</v>
      </c>
      <c r="E13" s="1737">
        <f t="shared" si="0"/>
        <v>0</v>
      </c>
      <c r="F13" s="1737">
        <f t="shared" si="0"/>
        <v>380234</v>
      </c>
      <c r="G13" s="1737">
        <f t="shared" si="0"/>
        <v>187798</v>
      </c>
      <c r="H13" s="1737">
        <f t="shared" si="0"/>
        <v>0</v>
      </c>
      <c r="I13" s="1737">
        <f t="shared" si="0"/>
        <v>362444</v>
      </c>
      <c r="J13" s="1737">
        <f t="shared" si="0"/>
        <v>232643</v>
      </c>
      <c r="K13" s="1737">
        <f t="shared" si="0"/>
        <v>48554</v>
      </c>
      <c r="L13" s="1737">
        <f t="shared" si="0"/>
        <v>119743</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37050</v>
      </c>
      <c r="N16" s="484"/>
    </row>
    <row r="17" spans="1:14" s="485" customFormat="1" ht="12.75" customHeight="1" x14ac:dyDescent="0.2">
      <c r="A17" s="482" t="s">
        <v>1403</v>
      </c>
      <c r="B17" s="483">
        <v>230</v>
      </c>
      <c r="C17" s="477"/>
      <c r="D17" s="477"/>
      <c r="E17" s="477"/>
      <c r="F17" s="477"/>
      <c r="G17" s="477"/>
      <c r="H17" s="477"/>
      <c r="I17" s="477"/>
      <c r="J17" s="477"/>
      <c r="K17" s="477"/>
      <c r="L17" s="477"/>
      <c r="M17" s="467">
        <v>2384276</v>
      </c>
      <c r="N17" s="484"/>
    </row>
    <row r="18" spans="1:14" s="485" customFormat="1" ht="12.75" customHeight="1" x14ac:dyDescent="0.2">
      <c r="A18" s="482" t="s">
        <v>1404</v>
      </c>
      <c r="B18" s="483">
        <v>240</v>
      </c>
      <c r="C18" s="477"/>
      <c r="D18" s="477"/>
      <c r="E18" s="477"/>
      <c r="F18" s="477"/>
      <c r="G18" s="477"/>
      <c r="H18" s="477"/>
      <c r="I18" s="477"/>
      <c r="J18" s="477"/>
      <c r="K18" s="477"/>
      <c r="L18" s="477"/>
      <c r="M18" s="467">
        <v>1630571</v>
      </c>
      <c r="N18" s="484"/>
    </row>
    <row r="19" spans="1:14" s="485" customFormat="1" ht="12.75" customHeight="1" x14ac:dyDescent="0.2">
      <c r="A19" s="482" t="s">
        <v>1405</v>
      </c>
      <c r="B19" s="483">
        <v>250</v>
      </c>
      <c r="C19" s="477"/>
      <c r="D19" s="477"/>
      <c r="E19" s="477"/>
      <c r="F19" s="477"/>
      <c r="G19" s="477"/>
      <c r="H19" s="477"/>
      <c r="I19" s="477"/>
      <c r="J19" s="477"/>
      <c r="K19" s="477"/>
      <c r="L19" s="477"/>
      <c r="M19" s="467">
        <v>1526518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5578415</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119743</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119743</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v>37933</v>
      </c>
      <c r="E38" s="466"/>
      <c r="F38" s="466"/>
      <c r="G38" s="466">
        <v>67386</v>
      </c>
      <c r="H38" s="466"/>
      <c r="I38" s="466"/>
      <c r="J38" s="467"/>
      <c r="K38" s="466"/>
      <c r="L38" s="481"/>
      <c r="M38" s="497"/>
      <c r="N38" s="497"/>
    </row>
    <row r="39" spans="1:14" s="329" customFormat="1" ht="13.5" customHeight="1" x14ac:dyDescent="0.2">
      <c r="A39" s="496" t="s">
        <v>342</v>
      </c>
      <c r="B39" s="483">
        <v>730</v>
      </c>
      <c r="C39" s="466">
        <v>1862120</v>
      </c>
      <c r="D39" s="466">
        <v>1083722</v>
      </c>
      <c r="E39" s="466"/>
      <c r="F39" s="466">
        <v>380234</v>
      </c>
      <c r="G39" s="466">
        <v>120412</v>
      </c>
      <c r="H39" s="466"/>
      <c r="I39" s="466">
        <v>362444</v>
      </c>
      <c r="J39" s="467">
        <v>232643</v>
      </c>
      <c r="K39" s="466">
        <v>48554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5578415</v>
      </c>
      <c r="N40" s="497"/>
    </row>
    <row r="41" spans="1:14" ht="13.5" customHeight="1" thickBot="1" x14ac:dyDescent="0.25">
      <c r="A41" s="1736" t="s">
        <v>655</v>
      </c>
      <c r="B41" s="1706"/>
      <c r="C41" s="1688">
        <f>(SUM(C34,C37,C38,C39))</f>
        <v>1862120</v>
      </c>
      <c r="D41" s="1688">
        <f t="shared" ref="D41:L41" si="2">SUM(D34,D37,D38:D39)</f>
        <v>1121655</v>
      </c>
      <c r="E41" s="1688">
        <f t="shared" si="2"/>
        <v>0</v>
      </c>
      <c r="F41" s="1688">
        <f t="shared" si="2"/>
        <v>380234</v>
      </c>
      <c r="G41" s="1688">
        <f t="shared" si="2"/>
        <v>187798</v>
      </c>
      <c r="H41" s="1688">
        <f t="shared" si="2"/>
        <v>0</v>
      </c>
      <c r="I41" s="1688">
        <f t="shared" si="2"/>
        <v>362444</v>
      </c>
      <c r="J41" s="1688">
        <f t="shared" si="2"/>
        <v>232643</v>
      </c>
      <c r="K41" s="1688">
        <f t="shared" si="2"/>
        <v>48554</v>
      </c>
      <c r="L41" s="1688">
        <f t="shared" si="2"/>
        <v>119743</v>
      </c>
      <c r="M41" s="1688">
        <f>SUM(M40)</f>
        <v>5578415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15" activePane="bottomLeft" state="frozen"/>
      <selection activeCell="D18" sqref="D18"/>
      <selection pane="bottomLeft" activeCell="F36" sqref="F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1612820</v>
      </c>
      <c r="D4" s="1742">
        <f>'Revenues 9-14'!D109</f>
        <v>196389</v>
      </c>
      <c r="E4" s="1742">
        <f>'Revenues 9-14'!E109</f>
        <v>0</v>
      </c>
      <c r="F4" s="1742">
        <f>'Revenues 9-14'!F109</f>
        <v>80758</v>
      </c>
      <c r="G4" s="1742">
        <f>'Revenues 9-14'!G109</f>
        <v>148204</v>
      </c>
      <c r="H4" s="1742">
        <f>'Revenues 9-14'!H109</f>
        <v>0</v>
      </c>
      <c r="I4" s="1742">
        <f>'Revenues 9-14'!I109</f>
        <v>24372</v>
      </c>
      <c r="J4" s="1742">
        <f>'Revenues 9-14'!J109</f>
        <v>136361</v>
      </c>
      <c r="K4" s="1742">
        <f>'Revenues 9-14'!K109</f>
        <v>16986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1674104</v>
      </c>
      <c r="D6" s="1743">
        <f>'Revenues 9-14'!D170</f>
        <v>270000</v>
      </c>
      <c r="E6" s="1743">
        <f>'Revenues 9-14'!E170</f>
        <v>0</v>
      </c>
      <c r="F6" s="1743">
        <f>'Revenues 9-14'!F170</f>
        <v>253315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266383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3553307</v>
      </c>
      <c r="D8" s="1688">
        <f t="shared" ref="D8:K8" si="0">SUM(D4:D7)</f>
        <v>466389</v>
      </c>
      <c r="E8" s="1688">
        <f t="shared" si="0"/>
        <v>0</v>
      </c>
      <c r="F8" s="1688">
        <f t="shared" si="0"/>
        <v>334073</v>
      </c>
      <c r="G8" s="1688">
        <f t="shared" si="0"/>
        <v>148204</v>
      </c>
      <c r="H8" s="1688">
        <f t="shared" si="0"/>
        <v>0</v>
      </c>
      <c r="I8" s="1688">
        <f t="shared" si="0"/>
        <v>24372</v>
      </c>
      <c r="J8" s="1688">
        <f t="shared" si="0"/>
        <v>136361</v>
      </c>
      <c r="K8" s="1688">
        <f t="shared" si="0"/>
        <v>16986</v>
      </c>
      <c r="L8" s="347"/>
    </row>
    <row r="9" spans="1:13" ht="15.75" thickTop="1" x14ac:dyDescent="0.2">
      <c r="A9" s="514" t="s">
        <v>1653</v>
      </c>
      <c r="B9" s="515">
        <v>3998</v>
      </c>
      <c r="C9" s="481">
        <v>1509190</v>
      </c>
      <c r="D9" s="516"/>
      <c r="E9" s="481"/>
      <c r="F9" s="481"/>
      <c r="G9" s="517"/>
      <c r="H9" s="481"/>
      <c r="I9" s="509" t="s">
        <v>1169</v>
      </c>
      <c r="J9" s="478"/>
      <c r="K9" s="481"/>
      <c r="L9" s="347"/>
    </row>
    <row r="10" spans="1:13" s="519" customFormat="1" ht="13.5" thickBot="1" x14ac:dyDescent="0.25">
      <c r="A10" s="1736" t="s">
        <v>1173</v>
      </c>
      <c r="B10" s="1709"/>
      <c r="C10" s="1688">
        <f>SUM(C8:C9)</f>
        <v>5062497</v>
      </c>
      <c r="D10" s="1688">
        <f t="shared" ref="D10:K10" si="1">SUM(D8:D9)</f>
        <v>466389</v>
      </c>
      <c r="E10" s="1688">
        <f t="shared" si="1"/>
        <v>0</v>
      </c>
      <c r="F10" s="1688">
        <f t="shared" si="1"/>
        <v>334073</v>
      </c>
      <c r="G10" s="1688">
        <f t="shared" si="1"/>
        <v>148204</v>
      </c>
      <c r="H10" s="1688">
        <f t="shared" si="1"/>
        <v>0</v>
      </c>
      <c r="I10" s="1688">
        <f t="shared" si="1"/>
        <v>24372</v>
      </c>
      <c r="J10" s="1688">
        <f t="shared" si="1"/>
        <v>136361</v>
      </c>
      <c r="K10" s="1688">
        <f t="shared" si="1"/>
        <v>16986</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2474514</v>
      </c>
      <c r="D12" s="520" t="s">
        <v>1169</v>
      </c>
      <c r="E12" s="468" t="s">
        <v>1169</v>
      </c>
      <c r="F12" s="468" t="s">
        <v>1169</v>
      </c>
      <c r="G12" s="1742">
        <f>'Expenditures 15-22'!K229</f>
        <v>51015</v>
      </c>
      <c r="H12" s="521"/>
      <c r="I12" s="468" t="s">
        <v>1169</v>
      </c>
      <c r="J12" s="468" t="s">
        <v>1169</v>
      </c>
      <c r="K12" s="521" t="s">
        <v>1169</v>
      </c>
      <c r="L12" s="347"/>
    </row>
    <row r="13" spans="1:13" ht="15.75" customHeight="1" x14ac:dyDescent="0.2">
      <c r="A13" s="1576" t="s">
        <v>457</v>
      </c>
      <c r="B13" s="1578">
        <v>2000</v>
      </c>
      <c r="C13" s="1743">
        <f>'Expenditures 15-22'!K74</f>
        <v>826226</v>
      </c>
      <c r="D13" s="1743">
        <f>'Expenditures 15-22'!K129</f>
        <v>561059</v>
      </c>
      <c r="E13" s="469" t="s">
        <v>1169</v>
      </c>
      <c r="F13" s="1743">
        <f>'Expenditures 15-22'!K184</f>
        <v>511190</v>
      </c>
      <c r="G13" s="1743">
        <f>'Expenditures 15-22'!K279</f>
        <v>78729</v>
      </c>
      <c r="H13" s="1743">
        <f>'Expenditures 15-22'!K303</f>
        <v>0</v>
      </c>
      <c r="I13" s="468" t="s">
        <v>1169</v>
      </c>
      <c r="J13" s="1743">
        <f>'Expenditures 15-22'!K330</f>
        <v>101357</v>
      </c>
      <c r="K13" s="1747">
        <f>'Expenditures 15-22'!K352</f>
        <v>6013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69321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3370061</v>
      </c>
      <c r="D17" s="1688">
        <f t="shared" si="2"/>
        <v>561059</v>
      </c>
      <c r="E17" s="1688">
        <f t="shared" si="2"/>
        <v>0</v>
      </c>
      <c r="F17" s="1688">
        <f t="shared" si="2"/>
        <v>511190</v>
      </c>
      <c r="G17" s="1688">
        <f t="shared" si="2"/>
        <v>129744</v>
      </c>
      <c r="H17" s="1688">
        <f t="shared" si="2"/>
        <v>0</v>
      </c>
      <c r="I17" s="468"/>
      <c r="J17" s="1688">
        <f>SUM(J12:J16)</f>
        <v>101357</v>
      </c>
      <c r="K17" s="1688">
        <f>SUM(K12:K16)</f>
        <v>6013</v>
      </c>
      <c r="L17" s="347"/>
    </row>
    <row r="18" spans="1:12" ht="15" customHeight="1" thickTop="1" x14ac:dyDescent="0.2">
      <c r="A18" s="1744" t="s">
        <v>1654</v>
      </c>
      <c r="B18" s="1745">
        <v>4180</v>
      </c>
      <c r="C18" s="1742">
        <f t="shared" ref="C18:H18" si="3">C9</f>
        <v>1509190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4879251</v>
      </c>
      <c r="D19" s="1688">
        <f t="shared" si="4"/>
        <v>561059</v>
      </c>
      <c r="E19" s="1688">
        <f t="shared" si="4"/>
        <v>0</v>
      </c>
      <c r="F19" s="1688">
        <f t="shared" si="4"/>
        <v>511190</v>
      </c>
      <c r="G19" s="1688">
        <f t="shared" si="4"/>
        <v>129744</v>
      </c>
      <c r="H19" s="1688">
        <f t="shared" si="4"/>
        <v>0</v>
      </c>
      <c r="I19" s="468"/>
      <c r="J19" s="1688">
        <f>SUM(J17:J18)</f>
        <v>101357</v>
      </c>
      <c r="K19" s="1688">
        <f>SUM(K17:K18)</f>
        <v>6013</v>
      </c>
      <c r="L19" s="347"/>
    </row>
    <row r="20" spans="1:12" ht="16.5" thickTop="1" thickBot="1" x14ac:dyDescent="0.25">
      <c r="A20" s="2126" t="s">
        <v>1655</v>
      </c>
      <c r="B20" s="2127"/>
      <c r="C20" s="1746">
        <f>C8-C17</f>
        <v>183246</v>
      </c>
      <c r="D20" s="1746">
        <f t="shared" ref="D20:K20" si="5">D8-D17</f>
        <v>-94670</v>
      </c>
      <c r="E20" s="1746">
        <f t="shared" si="5"/>
        <v>0</v>
      </c>
      <c r="F20" s="1746">
        <f t="shared" si="5"/>
        <v>-177117</v>
      </c>
      <c r="G20" s="1746">
        <f t="shared" si="5"/>
        <v>18460</v>
      </c>
      <c r="H20" s="1746">
        <f t="shared" si="5"/>
        <v>0</v>
      </c>
      <c r="I20" s="1746">
        <f t="shared" si="5"/>
        <v>24372</v>
      </c>
      <c r="J20" s="1746">
        <f t="shared" si="5"/>
        <v>35004</v>
      </c>
      <c r="K20" s="1746">
        <f t="shared" si="5"/>
        <v>10973</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1350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1350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1350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183246</v>
      </c>
      <c r="D78" s="1702">
        <f t="shared" si="9"/>
        <v>-94670</v>
      </c>
      <c r="E78" s="1702">
        <f t="shared" si="9"/>
        <v>0</v>
      </c>
      <c r="F78" s="1702">
        <f t="shared" si="9"/>
        <v>-175767</v>
      </c>
      <c r="G78" s="1702">
        <f t="shared" si="9"/>
        <v>18460</v>
      </c>
      <c r="H78" s="1702">
        <f t="shared" si="9"/>
        <v>0</v>
      </c>
      <c r="I78" s="1702">
        <f t="shared" si="9"/>
        <v>24372</v>
      </c>
      <c r="J78" s="1702">
        <f t="shared" si="9"/>
        <v>35004</v>
      </c>
      <c r="K78" s="1702">
        <f t="shared" si="9"/>
        <v>10973</v>
      </c>
      <c r="L78" s="533"/>
    </row>
    <row r="79" spans="1:12" ht="13.5" thickTop="1" x14ac:dyDescent="0.2">
      <c r="A79" s="1494" t="s">
        <v>1949</v>
      </c>
      <c r="B79" s="534"/>
      <c r="C79" s="478">
        <v>1678874</v>
      </c>
      <c r="D79" s="535">
        <v>1216325</v>
      </c>
      <c r="E79" s="535">
        <v>0</v>
      </c>
      <c r="F79" s="535">
        <v>556001</v>
      </c>
      <c r="G79" s="535">
        <v>169338</v>
      </c>
      <c r="H79" s="535">
        <v>0</v>
      </c>
      <c r="I79" s="535">
        <v>338072</v>
      </c>
      <c r="J79" s="535">
        <v>197639</v>
      </c>
      <c r="K79" s="535">
        <v>37581</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1862120</v>
      </c>
      <c r="D81" s="1688">
        <f>SUM(D78:D80)</f>
        <v>1121655</v>
      </c>
      <c r="E81" s="1688">
        <f t="shared" ref="E81:K81" si="10">SUM(E78:E80)</f>
        <v>0</v>
      </c>
      <c r="F81" s="1688">
        <f t="shared" si="10"/>
        <v>380234</v>
      </c>
      <c r="G81" s="1688">
        <f t="shared" si="10"/>
        <v>187798</v>
      </c>
      <c r="H81" s="1688">
        <f t="shared" si="10"/>
        <v>0</v>
      </c>
      <c r="I81" s="1688">
        <f t="shared" si="10"/>
        <v>362444</v>
      </c>
      <c r="J81" s="1688">
        <f t="shared" si="10"/>
        <v>232643</v>
      </c>
      <c r="K81" s="1688">
        <f t="shared" si="10"/>
        <v>48554</v>
      </c>
      <c r="L81" s="347"/>
    </row>
    <row r="82" spans="1:12" ht="0.75" customHeight="1" thickTop="1" thickBot="1" x14ac:dyDescent="0.25">
      <c r="A82" s="536" t="s">
        <v>343</v>
      </c>
      <c r="B82" s="537"/>
      <c r="C82" s="538">
        <f>(C81-C79)</f>
        <v>183246</v>
      </c>
      <c r="D82" s="538">
        <f t="shared" ref="D82:K82" si="11">(D81-D79)</f>
        <v>-94670</v>
      </c>
      <c r="E82" s="538">
        <f t="shared" si="11"/>
        <v>0</v>
      </c>
      <c r="F82" s="538">
        <f t="shared" si="11"/>
        <v>-175767</v>
      </c>
      <c r="G82" s="538">
        <f t="shared" si="11"/>
        <v>18460</v>
      </c>
      <c r="H82" s="538">
        <f t="shared" si="11"/>
        <v>0</v>
      </c>
      <c r="I82" s="538">
        <f t="shared" si="11"/>
        <v>24372</v>
      </c>
      <c r="J82" s="538">
        <f t="shared" si="11"/>
        <v>35004</v>
      </c>
      <c r="K82" s="538">
        <f t="shared" si="11"/>
        <v>10973</v>
      </c>
    </row>
    <row r="83" spans="1:12" ht="14.25" hidden="1" thickTop="1" thickBot="1" x14ac:dyDescent="0.25">
      <c r="A83" s="539" t="s">
        <v>344</v>
      </c>
      <c r="B83" s="464"/>
      <c r="C83" s="540">
        <f>C82/C81</f>
        <v>9.8407191802891328E-2</v>
      </c>
      <c r="D83" s="540">
        <f t="shared" ref="D83:K83" si="12">D82/D81</f>
        <v>-8.4402066589102709E-2</v>
      </c>
      <c r="E83" s="540" t="e">
        <f t="shared" si="12"/>
        <v>#DIV/0!</v>
      </c>
      <c r="F83" s="540">
        <f t="shared" si="12"/>
        <v>-0.46226008194953633</v>
      </c>
      <c r="G83" s="540">
        <f t="shared" si="12"/>
        <v>9.829710646545757E-2</v>
      </c>
      <c r="H83" s="540" t="e">
        <f t="shared" si="12"/>
        <v>#DIV/0!</v>
      </c>
      <c r="I83" s="540">
        <f t="shared" si="12"/>
        <v>6.7243491408327902E-2</v>
      </c>
      <c r="J83" s="540">
        <f t="shared" si="12"/>
        <v>0.15046229630807717</v>
      </c>
      <c r="K83" s="540">
        <f t="shared" si="12"/>
        <v>0.2259957984924002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71" activePane="bottomLeft" state="frozen"/>
      <selection activeCell="D18" sqref="D18"/>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1219493</v>
      </c>
      <c r="D5" s="481">
        <v>168438</v>
      </c>
      <c r="E5" s="466"/>
      <c r="F5" s="548">
        <v>67375</v>
      </c>
      <c r="G5" s="466">
        <v>39967</v>
      </c>
      <c r="H5" s="466"/>
      <c r="I5" s="466">
        <v>16844</v>
      </c>
      <c r="J5" s="467">
        <v>129969</v>
      </c>
      <c r="K5" s="466">
        <v>16844</v>
      </c>
    </row>
    <row r="6" spans="1:12" ht="15" x14ac:dyDescent="0.2">
      <c r="A6" s="463" t="s">
        <v>1662</v>
      </c>
      <c r="B6" s="470">
        <v>1130</v>
      </c>
      <c r="C6" s="466">
        <v>16844</v>
      </c>
      <c r="D6" s="466"/>
      <c r="E6" s="475"/>
      <c r="F6" s="475"/>
      <c r="G6" s="468"/>
      <c r="H6" s="468"/>
      <c r="I6" s="468"/>
      <c r="J6" s="468"/>
      <c r="K6" s="468"/>
    </row>
    <row r="7" spans="1:12" x14ac:dyDescent="0.2">
      <c r="A7" s="463" t="s">
        <v>110</v>
      </c>
      <c r="B7" s="549">
        <v>1140</v>
      </c>
      <c r="C7" s="466">
        <v>13475</v>
      </c>
      <c r="D7" s="466"/>
      <c r="E7" s="468"/>
      <c r="F7" s="467"/>
      <c r="G7" s="467"/>
      <c r="H7" s="467"/>
      <c r="I7" s="468"/>
      <c r="J7" s="468"/>
      <c r="K7" s="468"/>
    </row>
    <row r="8" spans="1:12" x14ac:dyDescent="0.2">
      <c r="A8" s="463" t="s">
        <v>413</v>
      </c>
      <c r="B8" s="470">
        <v>1150</v>
      </c>
      <c r="C8" s="475"/>
      <c r="D8" s="475"/>
      <c r="E8" s="477"/>
      <c r="F8" s="477"/>
      <c r="G8" s="481">
        <v>84987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1249812</v>
      </c>
      <c r="D12" s="1707">
        <f t="shared" si="0"/>
        <v>168438</v>
      </c>
      <c r="E12" s="1707">
        <f t="shared" si="0"/>
        <v>0</v>
      </c>
      <c r="F12" s="1707">
        <f t="shared" si="0"/>
        <v>67375</v>
      </c>
      <c r="G12" s="1707">
        <f t="shared" si="0"/>
        <v>124954</v>
      </c>
      <c r="H12" s="1707">
        <f t="shared" si="0"/>
        <v>0</v>
      </c>
      <c r="I12" s="1707">
        <f t="shared" si="0"/>
        <v>16844</v>
      </c>
      <c r="J12" s="1707">
        <f t="shared" si="0"/>
        <v>129969</v>
      </c>
      <c r="K12" s="1688">
        <f t="shared" si="0"/>
        <v>16844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8308</v>
      </c>
      <c r="D14" s="466">
        <v>1120</v>
      </c>
      <c r="E14" s="466"/>
      <c r="F14" s="466">
        <v>448</v>
      </c>
      <c r="G14" s="466">
        <v>831</v>
      </c>
      <c r="H14" s="466"/>
      <c r="I14" s="466">
        <v>112</v>
      </c>
      <c r="J14" s="467">
        <v>864</v>
      </c>
      <c r="K14" s="466">
        <v>112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194217</v>
      </c>
      <c r="D16" s="466"/>
      <c r="E16" s="466"/>
      <c r="F16" s="466"/>
      <c r="G16" s="466">
        <v>18205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202525</v>
      </c>
      <c r="D18" s="1710">
        <f t="shared" ref="D18:K18" si="1">SUM(D14:D17)</f>
        <v>1120</v>
      </c>
      <c r="E18" s="1710">
        <f t="shared" si="1"/>
        <v>0</v>
      </c>
      <c r="F18" s="1710">
        <f t="shared" si="1"/>
        <v>448</v>
      </c>
      <c r="G18" s="1710">
        <f t="shared" si="1"/>
        <v>19036</v>
      </c>
      <c r="H18" s="1710">
        <f t="shared" si="1"/>
        <v>0</v>
      </c>
      <c r="I18" s="1710">
        <f t="shared" si="1"/>
        <v>112</v>
      </c>
      <c r="J18" s="1710">
        <f t="shared" si="1"/>
        <v>864</v>
      </c>
      <c r="K18" s="1711">
        <f t="shared" si="1"/>
        <v>112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33603</v>
      </c>
      <c r="D65" s="466">
        <v>24249</v>
      </c>
      <c r="E65" s="466"/>
      <c r="F65" s="467">
        <v>6465</v>
      </c>
      <c r="G65" s="466">
        <v>4214</v>
      </c>
      <c r="H65" s="466"/>
      <c r="I65" s="466">
        <v>7416</v>
      </c>
      <c r="J65" s="467">
        <v>4326</v>
      </c>
      <c r="K65" s="466">
        <v>30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33603</v>
      </c>
      <c r="D67" s="1688">
        <f t="shared" ref="D67:K67" si="2">SUM(D65:D66)</f>
        <v>24249</v>
      </c>
      <c r="E67" s="1688">
        <f t="shared" si="2"/>
        <v>0</v>
      </c>
      <c r="F67" s="1688">
        <f t="shared" si="2"/>
        <v>6465</v>
      </c>
      <c r="G67" s="1688">
        <f t="shared" si="2"/>
        <v>4214</v>
      </c>
      <c r="H67" s="1688">
        <f t="shared" si="2"/>
        <v>0</v>
      </c>
      <c r="I67" s="1688">
        <f t="shared" si="2"/>
        <v>7416</v>
      </c>
      <c r="J67" s="1688">
        <f t="shared" si="2"/>
        <v>4326</v>
      </c>
      <c r="K67" s="1688">
        <f t="shared" si="2"/>
        <v>30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58245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3502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7123</v>
      </c>
      <c r="D73" s="468"/>
      <c r="E73" s="468"/>
      <c r="F73" s="468"/>
      <c r="G73" s="468"/>
      <c r="H73" s="468"/>
      <c r="I73" s="468"/>
      <c r="J73" s="468"/>
      <c r="K73" s="468"/>
    </row>
    <row r="74" spans="1:11" ht="12.75" customHeight="1" x14ac:dyDescent="0.2">
      <c r="A74" s="463" t="s">
        <v>25</v>
      </c>
      <c r="B74" s="470">
        <v>1690</v>
      </c>
      <c r="C74" s="551">
        <v>1030</v>
      </c>
      <c r="D74" s="468"/>
      <c r="E74" s="468"/>
      <c r="F74" s="468"/>
      <c r="G74" s="468"/>
      <c r="H74" s="468"/>
      <c r="I74" s="468"/>
      <c r="J74" s="468"/>
      <c r="K74" s="468"/>
    </row>
    <row r="75" spans="1:11" ht="12.75" customHeight="1" thickBot="1" x14ac:dyDescent="0.25">
      <c r="A75" s="1708" t="s">
        <v>548</v>
      </c>
      <c r="B75" s="1709"/>
      <c r="C75" s="1688">
        <f>SUM(C69:C74)</f>
        <v>69900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12115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9960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22075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14165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14165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1202</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1200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19540</v>
      </c>
      <c r="D107" s="466">
        <v>2582</v>
      </c>
      <c r="E107" s="466"/>
      <c r="F107" s="466">
        <v>6470</v>
      </c>
      <c r="G107" s="466"/>
      <c r="H107" s="466"/>
      <c r="I107" s="466"/>
      <c r="J107" s="467"/>
      <c r="K107" s="466"/>
    </row>
    <row r="108" spans="1:12" ht="12.75" customHeight="1" thickBot="1" x14ac:dyDescent="0.25">
      <c r="A108" s="1708" t="s">
        <v>487</v>
      </c>
      <c r="B108" s="1712"/>
      <c r="C108" s="1707">
        <f>SUM(C95:C107)</f>
        <v>20740</v>
      </c>
      <c r="D108" s="1707">
        <f t="shared" ref="D108:K108" si="3">SUM(D95:D107)</f>
        <v>2582</v>
      </c>
      <c r="E108" s="1707">
        <f t="shared" si="3"/>
        <v>0</v>
      </c>
      <c r="F108" s="1707">
        <f t="shared" si="3"/>
        <v>6470</v>
      </c>
      <c r="G108" s="1707">
        <f t="shared" si="3"/>
        <v>0</v>
      </c>
      <c r="H108" s="1707">
        <f t="shared" si="3"/>
        <v>0</v>
      </c>
      <c r="I108" s="1707">
        <f t="shared" si="3"/>
        <v>0</v>
      </c>
      <c r="J108" s="1707">
        <f t="shared" si="3"/>
        <v>1202</v>
      </c>
      <c r="K108" s="1688">
        <f t="shared" si="3"/>
        <v>0</v>
      </c>
    </row>
    <row r="109" spans="1:12" ht="14.25" thickTop="1" thickBot="1" x14ac:dyDescent="0.25">
      <c r="A109" s="1713" t="s">
        <v>248</v>
      </c>
      <c r="B109" s="1714" t="s">
        <v>570</v>
      </c>
      <c r="C109" s="1715">
        <f t="shared" ref="C109:K109" si="4">SUM(C12,C18,C40,C63,C67,C75,C82,C93,C108,)</f>
        <v>1612820</v>
      </c>
      <c r="D109" s="1715">
        <f t="shared" si="4"/>
        <v>196389</v>
      </c>
      <c r="E109" s="1715">
        <f t="shared" si="4"/>
        <v>0</v>
      </c>
      <c r="F109" s="1715">
        <f t="shared" si="4"/>
        <v>80758</v>
      </c>
      <c r="G109" s="1715">
        <f t="shared" si="4"/>
        <v>148204</v>
      </c>
      <c r="H109" s="1715">
        <f t="shared" si="4"/>
        <v>0</v>
      </c>
      <c r="I109" s="1715">
        <f t="shared" si="4"/>
        <v>24372</v>
      </c>
      <c r="J109" s="1715">
        <f t="shared" si="4"/>
        <v>136361</v>
      </c>
      <c r="K109" s="1702">
        <f t="shared" si="4"/>
        <v>16986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1519179</v>
      </c>
      <c r="D117" s="481">
        <v>270000</v>
      </c>
      <c r="E117" s="466"/>
      <c r="F117" s="481">
        <v>100000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1519179</v>
      </c>
      <c r="D122" s="1707">
        <f t="shared" si="5"/>
        <v>270000</v>
      </c>
      <c r="E122" s="1707">
        <f t="shared" si="5"/>
        <v>0</v>
      </c>
      <c r="F122" s="1707">
        <f t="shared" si="5"/>
        <v>100000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3800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3800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16210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16793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241</v>
      </c>
      <c r="D140" s="466"/>
      <c r="E140" s="561"/>
      <c r="F140" s="477"/>
      <c r="G140" s="467"/>
      <c r="H140" s="468"/>
      <c r="I140" s="468"/>
      <c r="J140" s="468"/>
      <c r="K140" s="468"/>
    </row>
    <row r="141" spans="1:11" ht="12.75" customHeight="1" thickBot="1" x14ac:dyDescent="0.25">
      <c r="A141" s="1708" t="s">
        <v>603</v>
      </c>
      <c r="B141" s="1720"/>
      <c r="C141" s="1707">
        <f>SUM(C134:C140)</f>
        <v>33244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1621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6837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131596</v>
      </c>
      <c r="G152" s="467"/>
      <c r="H152" s="468"/>
      <c r="I152" s="468"/>
      <c r="J152" s="468"/>
      <c r="K152" s="468"/>
    </row>
    <row r="153" spans="1:11" ht="12.75" customHeight="1" x14ac:dyDescent="0.2">
      <c r="A153" s="463" t="s">
        <v>1057</v>
      </c>
      <c r="B153" s="562">
        <v>3510</v>
      </c>
      <c r="C153" s="551"/>
      <c r="D153" s="466"/>
      <c r="E153" s="561"/>
      <c r="F153" s="466">
        <v>21719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153315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108739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684</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154925</v>
      </c>
      <c r="D169" s="1722">
        <f t="shared" si="6"/>
        <v>0</v>
      </c>
      <c r="E169" s="1722">
        <f t="shared" si="6"/>
        <v>0</v>
      </c>
      <c r="F169" s="1722">
        <f t="shared" si="6"/>
        <v>153315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1674104</v>
      </c>
      <c r="D170" s="1715">
        <f t="shared" si="7"/>
        <v>270000</v>
      </c>
      <c r="E170" s="1715">
        <f t="shared" si="7"/>
        <v>0</v>
      </c>
      <c r="F170" s="1715">
        <f t="shared" si="7"/>
        <v>253315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68565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25821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94386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115963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115963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4393</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4393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16975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3243</v>
      </c>
      <c r="D263" s="576"/>
      <c r="E263" s="468"/>
      <c r="F263" s="576"/>
      <c r="G263" s="576"/>
      <c r="H263" s="468"/>
      <c r="I263" s="468"/>
      <c r="J263" s="468"/>
      <c r="K263" s="468"/>
    </row>
    <row r="264" spans="1:11" ht="12.75" customHeight="1" thickTop="1" thickBot="1" x14ac:dyDescent="0.25">
      <c r="A264" s="463" t="s">
        <v>377</v>
      </c>
      <c r="B264" s="470">
        <v>4992</v>
      </c>
      <c r="C264" s="575">
        <v>136</v>
      </c>
      <c r="D264" s="576"/>
      <c r="E264" s="468"/>
      <c r="F264" s="576"/>
      <c r="G264" s="576"/>
      <c r="H264" s="468"/>
      <c r="I264" s="468"/>
      <c r="J264" s="468"/>
      <c r="K264" s="468"/>
    </row>
    <row r="265" spans="1:11" s="593" customFormat="1" ht="12.75" customHeight="1" thickTop="1" thickBot="1" x14ac:dyDescent="0.25">
      <c r="A265" s="563" t="s">
        <v>75</v>
      </c>
      <c r="B265" s="557">
        <v>4999</v>
      </c>
      <c r="C265" s="575">
        <v>31287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266383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266383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3553307</v>
      </c>
      <c r="D268" s="1715">
        <f t="shared" si="12"/>
        <v>466389</v>
      </c>
      <c r="E268" s="1715">
        <f t="shared" si="12"/>
        <v>0</v>
      </c>
      <c r="F268" s="1715">
        <f t="shared" si="12"/>
        <v>334073</v>
      </c>
      <c r="G268" s="1715">
        <f t="shared" si="12"/>
        <v>148204</v>
      </c>
      <c r="H268" s="1715">
        <f t="shared" si="12"/>
        <v>0</v>
      </c>
      <c r="I268" s="1715">
        <f t="shared" si="12"/>
        <v>24372</v>
      </c>
      <c r="J268" s="1715">
        <f t="shared" si="12"/>
        <v>136361</v>
      </c>
      <c r="K268" s="1702">
        <f t="shared" si="12"/>
        <v>16986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65"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3" activePane="bottomLeft" state="frozen"/>
      <selection activeCell="D18" sqref="D18"/>
      <selection pane="bottomLeft" activeCell="E63" sqref="E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1424295</v>
      </c>
      <c r="D5" s="466">
        <v>85506</v>
      </c>
      <c r="E5" s="466">
        <v>10639</v>
      </c>
      <c r="F5" s="466">
        <v>68007</v>
      </c>
      <c r="G5" s="466">
        <v>16781</v>
      </c>
      <c r="H5" s="466"/>
      <c r="I5" s="467"/>
      <c r="J5" s="467"/>
      <c r="K5" s="1671">
        <f>SUM(C5:J5)</f>
        <v>1605228</v>
      </c>
      <c r="L5" s="466">
        <v>1709224</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71129</v>
      </c>
      <c r="D7" s="467">
        <v>6215</v>
      </c>
      <c r="E7" s="467"/>
      <c r="F7" s="467">
        <v>5933</v>
      </c>
      <c r="G7" s="467">
        <v>3772</v>
      </c>
      <c r="H7" s="467"/>
      <c r="I7" s="467"/>
      <c r="J7" s="467"/>
      <c r="K7" s="1671">
        <f t="shared" ref="K7:K32" si="0">SUM(C7:J7)</f>
        <v>87049</v>
      </c>
      <c r="L7" s="466">
        <v>90730</v>
      </c>
    </row>
    <row r="8" spans="1:14" x14ac:dyDescent="0.2">
      <c r="A8" s="1504" t="s">
        <v>164</v>
      </c>
      <c r="B8" s="614">
        <v>1200</v>
      </c>
      <c r="C8" s="466">
        <v>280125</v>
      </c>
      <c r="D8" s="466">
        <v>15000</v>
      </c>
      <c r="E8" s="466">
        <v>45</v>
      </c>
      <c r="F8" s="466">
        <v>1014</v>
      </c>
      <c r="G8" s="466"/>
      <c r="H8" s="466"/>
      <c r="I8" s="467"/>
      <c r="J8" s="467"/>
      <c r="K8" s="1671">
        <f t="shared" si="0"/>
        <v>296184</v>
      </c>
      <c r="L8" s="466">
        <v>298828</v>
      </c>
    </row>
    <row r="9" spans="1:14" x14ac:dyDescent="0.2">
      <c r="A9" s="1504" t="s">
        <v>721</v>
      </c>
      <c r="B9" s="614" t="s">
        <v>968</v>
      </c>
      <c r="C9" s="467"/>
      <c r="D9" s="467"/>
      <c r="E9" s="467"/>
      <c r="F9" s="467"/>
      <c r="G9" s="467"/>
      <c r="H9" s="467"/>
      <c r="I9" s="467"/>
      <c r="J9" s="467"/>
      <c r="K9" s="1671">
        <f t="shared" si="0"/>
        <v>0</v>
      </c>
      <c r="L9" s="466">
        <v>450</v>
      </c>
    </row>
    <row r="10" spans="1:14" x14ac:dyDescent="0.2">
      <c r="A10" s="1504" t="s">
        <v>722</v>
      </c>
      <c r="B10" s="614">
        <v>1250</v>
      </c>
      <c r="C10" s="466">
        <v>67627</v>
      </c>
      <c r="D10" s="466">
        <v>6657</v>
      </c>
      <c r="E10" s="466">
        <v>2425</v>
      </c>
      <c r="F10" s="466">
        <v>4364</v>
      </c>
      <c r="G10" s="466">
        <v>36325</v>
      </c>
      <c r="H10" s="466"/>
      <c r="I10" s="467"/>
      <c r="J10" s="467"/>
      <c r="K10" s="1671">
        <f t="shared" si="0"/>
        <v>117398</v>
      </c>
      <c r="L10" s="466">
        <v>85335</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219089</v>
      </c>
      <c r="D13" s="466">
        <v>18611</v>
      </c>
      <c r="E13" s="466">
        <v>7450</v>
      </c>
      <c r="F13" s="466">
        <v>21872</v>
      </c>
      <c r="G13" s="466">
        <v>6588</v>
      </c>
      <c r="H13" s="466"/>
      <c r="I13" s="467"/>
      <c r="J13" s="467"/>
      <c r="K13" s="1671">
        <f t="shared" si="0"/>
        <v>273610</v>
      </c>
      <c r="L13" s="466">
        <v>273074</v>
      </c>
    </row>
    <row r="14" spans="1:14" x14ac:dyDescent="0.2">
      <c r="A14" s="1504" t="s">
        <v>963</v>
      </c>
      <c r="B14" s="614">
        <v>1500</v>
      </c>
      <c r="C14" s="466">
        <v>50583</v>
      </c>
      <c r="D14" s="466">
        <v>500</v>
      </c>
      <c r="E14" s="466">
        <v>12592</v>
      </c>
      <c r="F14" s="466">
        <v>10368</v>
      </c>
      <c r="G14" s="466">
        <v>1500</v>
      </c>
      <c r="H14" s="466"/>
      <c r="I14" s="467"/>
      <c r="J14" s="467"/>
      <c r="K14" s="1671">
        <f t="shared" si="0"/>
        <v>75543</v>
      </c>
      <c r="L14" s="466">
        <v>81006</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v>1600</v>
      </c>
      <c r="D16" s="466">
        <v>24</v>
      </c>
      <c r="E16" s="466"/>
      <c r="F16" s="466">
        <v>56</v>
      </c>
      <c r="G16" s="466"/>
      <c r="H16" s="466"/>
      <c r="I16" s="467"/>
      <c r="J16" s="467"/>
      <c r="K16" s="1671">
        <f t="shared" si="0"/>
        <v>1680</v>
      </c>
      <c r="L16" s="466">
        <v>2541</v>
      </c>
    </row>
    <row r="17" spans="1:12" x14ac:dyDescent="0.2">
      <c r="A17" s="1504" t="s">
        <v>724</v>
      </c>
      <c r="B17" s="614" t="s">
        <v>162</v>
      </c>
      <c r="C17" s="467">
        <v>16071</v>
      </c>
      <c r="D17" s="467">
        <v>289</v>
      </c>
      <c r="E17" s="467">
        <v>65</v>
      </c>
      <c r="F17" s="467">
        <v>1397</v>
      </c>
      <c r="G17" s="467"/>
      <c r="H17" s="467"/>
      <c r="I17" s="467"/>
      <c r="J17" s="467"/>
      <c r="K17" s="1671">
        <f t="shared" si="0"/>
        <v>17822</v>
      </c>
      <c r="L17" s="466">
        <v>21224</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2130519</v>
      </c>
      <c r="D33" s="1670">
        <f t="shared" ref="D33:L33" si="1">SUM(D5:D32)</f>
        <v>132802</v>
      </c>
      <c r="E33" s="1670">
        <f t="shared" si="1"/>
        <v>33216</v>
      </c>
      <c r="F33" s="1670">
        <f t="shared" si="1"/>
        <v>113011</v>
      </c>
      <c r="G33" s="1670">
        <f t="shared" si="1"/>
        <v>64966</v>
      </c>
      <c r="H33" s="1670">
        <f t="shared" si="1"/>
        <v>0</v>
      </c>
      <c r="I33" s="1670">
        <f t="shared" si="1"/>
        <v>0</v>
      </c>
      <c r="J33" s="1670">
        <f t="shared" si="1"/>
        <v>0</v>
      </c>
      <c r="K33" s="1670">
        <f t="shared" si="1"/>
        <v>2474514</v>
      </c>
      <c r="L33" s="1670">
        <f t="shared" si="1"/>
        <v>2562412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63604</v>
      </c>
      <c r="D37" s="466">
        <v>11088</v>
      </c>
      <c r="E37" s="466">
        <v>4631</v>
      </c>
      <c r="F37" s="466">
        <v>875</v>
      </c>
      <c r="G37" s="466"/>
      <c r="H37" s="466"/>
      <c r="I37" s="467"/>
      <c r="J37" s="467"/>
      <c r="K37" s="1671">
        <f t="shared" si="2"/>
        <v>80198</v>
      </c>
      <c r="L37" s="466">
        <v>80377</v>
      </c>
    </row>
    <row r="38" spans="1:14" x14ac:dyDescent="0.2">
      <c r="A38" s="1504" t="s">
        <v>198</v>
      </c>
      <c r="B38" s="614">
        <v>2130</v>
      </c>
      <c r="C38" s="466">
        <v>23823</v>
      </c>
      <c r="D38" s="466">
        <v>3880</v>
      </c>
      <c r="E38" s="466">
        <v>973</v>
      </c>
      <c r="F38" s="466">
        <v>3859</v>
      </c>
      <c r="G38" s="466"/>
      <c r="H38" s="466"/>
      <c r="I38" s="467"/>
      <c r="J38" s="467"/>
      <c r="K38" s="1671">
        <f t="shared" si="2"/>
        <v>32535</v>
      </c>
      <c r="L38" s="466">
        <v>36196</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v>40427</v>
      </c>
      <c r="D40" s="466">
        <v>981</v>
      </c>
      <c r="E40" s="466">
        <v>892</v>
      </c>
      <c r="F40" s="466">
        <v>465</v>
      </c>
      <c r="G40" s="466"/>
      <c r="H40" s="466"/>
      <c r="I40" s="467"/>
      <c r="J40" s="467"/>
      <c r="K40" s="1671">
        <f t="shared" si="2"/>
        <v>42765</v>
      </c>
      <c r="L40" s="466">
        <v>44142</v>
      </c>
    </row>
    <row r="41" spans="1:14" x14ac:dyDescent="0.2">
      <c r="A41" s="1504" t="s">
        <v>1669</v>
      </c>
      <c r="B41" s="614">
        <v>2190</v>
      </c>
      <c r="C41" s="466">
        <v>6221</v>
      </c>
      <c r="D41" s="466"/>
      <c r="E41" s="466"/>
      <c r="F41" s="466"/>
      <c r="G41" s="466"/>
      <c r="H41" s="466"/>
      <c r="I41" s="467"/>
      <c r="J41" s="467"/>
      <c r="K41" s="1671">
        <f t="shared" si="2"/>
        <v>6221</v>
      </c>
      <c r="L41" s="466">
        <v>6342</v>
      </c>
    </row>
    <row r="42" spans="1:14" ht="12.75" customHeight="1" thickBot="1" x14ac:dyDescent="0.25">
      <c r="A42" s="1668" t="s">
        <v>560</v>
      </c>
      <c r="B42" s="1669" t="s">
        <v>716</v>
      </c>
      <c r="C42" s="1670">
        <f>SUM(C36:C41)</f>
        <v>134075</v>
      </c>
      <c r="D42" s="1670">
        <f t="shared" ref="D42:L42" si="3">SUM(D36:D41)</f>
        <v>15949</v>
      </c>
      <c r="E42" s="1670">
        <f t="shared" si="3"/>
        <v>6496</v>
      </c>
      <c r="F42" s="1670">
        <f t="shared" si="3"/>
        <v>5199</v>
      </c>
      <c r="G42" s="1670">
        <f t="shared" si="3"/>
        <v>0</v>
      </c>
      <c r="H42" s="1670">
        <f t="shared" si="3"/>
        <v>0</v>
      </c>
      <c r="I42" s="1670">
        <f t="shared" si="3"/>
        <v>0</v>
      </c>
      <c r="J42" s="1670">
        <f t="shared" si="3"/>
        <v>0</v>
      </c>
      <c r="K42" s="1670">
        <f t="shared" si="3"/>
        <v>161719</v>
      </c>
      <c r="L42" s="1670">
        <f t="shared" si="3"/>
        <v>167057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2288</v>
      </c>
      <c r="D44" s="481">
        <v>260</v>
      </c>
      <c r="E44" s="481">
        <v>400</v>
      </c>
      <c r="F44" s="481">
        <v>842</v>
      </c>
      <c r="G44" s="481"/>
      <c r="H44" s="481"/>
      <c r="I44" s="467"/>
      <c r="J44" s="467"/>
      <c r="K44" s="1672">
        <f>SUM(C44:J44)</f>
        <v>3790</v>
      </c>
      <c r="L44" s="481">
        <v>3230</v>
      </c>
    </row>
    <row r="45" spans="1:14" x14ac:dyDescent="0.2">
      <c r="A45" s="1504" t="s">
        <v>815</v>
      </c>
      <c r="B45" s="614">
        <v>2220</v>
      </c>
      <c r="C45" s="466"/>
      <c r="D45" s="466"/>
      <c r="E45" s="466"/>
      <c r="F45" s="466">
        <v>2139</v>
      </c>
      <c r="G45" s="466"/>
      <c r="H45" s="466"/>
      <c r="I45" s="467"/>
      <c r="J45" s="467"/>
      <c r="K45" s="1672">
        <f>SUM(C45:J45)</f>
        <v>2139</v>
      </c>
      <c r="L45" s="466">
        <v>3245</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2288</v>
      </c>
      <c r="D47" s="1670">
        <f t="shared" ref="D47:K47" si="4">SUM(D44:D46)</f>
        <v>260</v>
      </c>
      <c r="E47" s="1670">
        <f t="shared" si="4"/>
        <v>400</v>
      </c>
      <c r="F47" s="1670">
        <f t="shared" si="4"/>
        <v>2981</v>
      </c>
      <c r="G47" s="1670">
        <f t="shared" si="4"/>
        <v>0</v>
      </c>
      <c r="H47" s="1670">
        <f t="shared" si="4"/>
        <v>0</v>
      </c>
      <c r="I47" s="1670">
        <f t="shared" si="4"/>
        <v>0</v>
      </c>
      <c r="J47" s="1670">
        <f t="shared" si="4"/>
        <v>0</v>
      </c>
      <c r="K47" s="1670">
        <f t="shared" si="4"/>
        <v>5929</v>
      </c>
      <c r="L47" s="1670">
        <f>SUM(L44:L46)</f>
        <v>6475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3157</v>
      </c>
      <c r="D49" s="481"/>
      <c r="E49" s="481">
        <v>14993</v>
      </c>
      <c r="F49" s="481">
        <v>1887</v>
      </c>
      <c r="G49" s="481"/>
      <c r="H49" s="481"/>
      <c r="I49" s="467"/>
      <c r="J49" s="467"/>
      <c r="K49" s="1672">
        <f>SUM(C49:J49)</f>
        <v>20037</v>
      </c>
      <c r="L49" s="481">
        <v>24282</v>
      </c>
    </row>
    <row r="50" spans="1:14" x14ac:dyDescent="0.2">
      <c r="A50" s="1504" t="s">
        <v>818</v>
      </c>
      <c r="B50" s="614">
        <v>2320</v>
      </c>
      <c r="C50" s="466">
        <v>35000</v>
      </c>
      <c r="D50" s="466">
        <v>2886</v>
      </c>
      <c r="E50" s="466">
        <v>848</v>
      </c>
      <c r="F50" s="466">
        <v>26</v>
      </c>
      <c r="G50" s="466"/>
      <c r="H50" s="466"/>
      <c r="I50" s="467"/>
      <c r="J50" s="467"/>
      <c r="K50" s="1672">
        <f>SUM(C50:J50)</f>
        <v>38760</v>
      </c>
      <c r="L50" s="466">
        <v>41077</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38157</v>
      </c>
      <c r="D53" s="1670">
        <f t="shared" ref="D53:L53" si="5">SUM(D49:D52)</f>
        <v>2886</v>
      </c>
      <c r="E53" s="1670">
        <f t="shared" si="5"/>
        <v>15841</v>
      </c>
      <c r="F53" s="1670">
        <f t="shared" si="5"/>
        <v>1913</v>
      </c>
      <c r="G53" s="1670">
        <f t="shared" si="5"/>
        <v>0</v>
      </c>
      <c r="H53" s="1670">
        <f t="shared" si="5"/>
        <v>0</v>
      </c>
      <c r="I53" s="1670">
        <f t="shared" si="5"/>
        <v>0</v>
      </c>
      <c r="J53" s="1670">
        <f t="shared" si="5"/>
        <v>0</v>
      </c>
      <c r="K53" s="1670">
        <f t="shared" si="5"/>
        <v>58797</v>
      </c>
      <c r="L53" s="1670">
        <f t="shared" si="5"/>
        <v>65359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291082</v>
      </c>
      <c r="D55" s="481">
        <v>24583</v>
      </c>
      <c r="E55" s="481">
        <v>4606</v>
      </c>
      <c r="F55" s="481">
        <v>21516</v>
      </c>
      <c r="G55" s="481"/>
      <c r="H55" s="481"/>
      <c r="I55" s="467"/>
      <c r="J55" s="467"/>
      <c r="K55" s="1672">
        <f>SUM(C55:J55)</f>
        <v>341787</v>
      </c>
      <c r="L55" s="481">
        <v>353242</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291082</v>
      </c>
      <c r="D57" s="1674">
        <f t="shared" ref="D57:K57" si="6">SUM(D55:D56)</f>
        <v>24583</v>
      </c>
      <c r="E57" s="1674">
        <f t="shared" si="6"/>
        <v>4606</v>
      </c>
      <c r="F57" s="1674">
        <f t="shared" si="6"/>
        <v>21516</v>
      </c>
      <c r="G57" s="1674">
        <f t="shared" si="6"/>
        <v>0</v>
      </c>
      <c r="H57" s="1674">
        <f t="shared" si="6"/>
        <v>0</v>
      </c>
      <c r="I57" s="1674">
        <f t="shared" si="6"/>
        <v>0</v>
      </c>
      <c r="J57" s="1674">
        <f t="shared" si="6"/>
        <v>0</v>
      </c>
      <c r="K57" s="1674">
        <f t="shared" si="6"/>
        <v>341787</v>
      </c>
      <c r="L57" s="1670">
        <f>SUM(L55:L56)</f>
        <v>353242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45614</v>
      </c>
      <c r="D60" s="466">
        <v>12</v>
      </c>
      <c r="E60" s="466">
        <v>12506</v>
      </c>
      <c r="F60" s="466">
        <v>2691</v>
      </c>
      <c r="G60" s="466"/>
      <c r="H60" s="466"/>
      <c r="I60" s="467"/>
      <c r="J60" s="467"/>
      <c r="K60" s="1672">
        <f t="shared" si="7"/>
        <v>60823</v>
      </c>
      <c r="L60" s="466">
        <v>62386</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86441</v>
      </c>
      <c r="D63" s="466">
        <v>771</v>
      </c>
      <c r="E63" s="466">
        <v>3366</v>
      </c>
      <c r="F63" s="466">
        <v>98205</v>
      </c>
      <c r="G63" s="466">
        <v>8388</v>
      </c>
      <c r="H63" s="466"/>
      <c r="I63" s="467"/>
      <c r="J63" s="467"/>
      <c r="K63" s="1672">
        <f t="shared" si="7"/>
        <v>197171</v>
      </c>
      <c r="L63" s="466">
        <v>215938</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132055</v>
      </c>
      <c r="D65" s="1670">
        <f t="shared" ref="D65:L65" si="8">SUM(D59:D64)</f>
        <v>783</v>
      </c>
      <c r="E65" s="1670">
        <f t="shared" si="8"/>
        <v>15872</v>
      </c>
      <c r="F65" s="1670">
        <f t="shared" si="8"/>
        <v>100896</v>
      </c>
      <c r="G65" s="1670">
        <f t="shared" si="8"/>
        <v>8388</v>
      </c>
      <c r="H65" s="1670">
        <f t="shared" si="8"/>
        <v>0</v>
      </c>
      <c r="I65" s="1670">
        <f t="shared" si="8"/>
        <v>0</v>
      </c>
      <c r="J65" s="1670">
        <f t="shared" si="8"/>
        <v>0</v>
      </c>
      <c r="K65" s="1670">
        <f t="shared" si="8"/>
        <v>257994</v>
      </c>
      <c r="L65" s="1670">
        <f t="shared" si="8"/>
        <v>278324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597657</v>
      </c>
      <c r="D74" s="1677">
        <f t="shared" ref="D74:K74" si="10">SUM(D42,D47,D53,D57,D65,D72,D73)</f>
        <v>44461</v>
      </c>
      <c r="E74" s="1677">
        <f t="shared" si="10"/>
        <v>43215</v>
      </c>
      <c r="F74" s="1677">
        <f t="shared" si="10"/>
        <v>132505</v>
      </c>
      <c r="G74" s="1677">
        <f t="shared" si="10"/>
        <v>8388</v>
      </c>
      <c r="H74" s="1677">
        <f t="shared" si="10"/>
        <v>0</v>
      </c>
      <c r="I74" s="1677">
        <f t="shared" si="10"/>
        <v>0</v>
      </c>
      <c r="J74" s="1677">
        <f t="shared" si="10"/>
        <v>0</v>
      </c>
      <c r="K74" s="1677">
        <f t="shared" si="10"/>
        <v>826226</v>
      </c>
      <c r="L74" s="1677">
        <f>SUM(L42,L47,L53,L57,L65,L72,L73)</f>
        <v>870457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11081</v>
      </c>
      <c r="F79" s="616"/>
      <c r="G79" s="616"/>
      <c r="H79" s="466">
        <v>58240</v>
      </c>
      <c r="I79" s="477"/>
      <c r="J79" s="477"/>
      <c r="K79" s="1671">
        <f t="shared" si="11"/>
        <v>69321</v>
      </c>
      <c r="L79" s="466">
        <v>97500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11081</v>
      </c>
      <c r="F84" s="616"/>
      <c r="G84" s="616"/>
      <c r="H84" s="1670">
        <f>SUM(H78:H83)</f>
        <v>58240</v>
      </c>
      <c r="I84" s="477"/>
      <c r="J84" s="477"/>
      <c r="K84" s="1670">
        <f>SUM(K78:K83)</f>
        <v>69321</v>
      </c>
      <c r="L84" s="1670">
        <f>SUM(L78:L83)</f>
        <v>97500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11081</v>
      </c>
      <c r="F102" s="616"/>
      <c r="G102" s="616"/>
      <c r="H102" s="1677">
        <f>SUM(H84,H92,H100,H101)</f>
        <v>58240</v>
      </c>
      <c r="I102" s="477"/>
      <c r="J102" s="477"/>
      <c r="K102" s="1677">
        <f>SUM(K84,K92,K100,K101)</f>
        <v>69321</v>
      </c>
      <c r="L102" s="1677">
        <f>SUM(L84,L92,L100,L101)</f>
        <v>97500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2728176</v>
      </c>
      <c r="D114" s="1670">
        <f t="shared" ref="D114:K114" si="13">SUM(D33,D74,D75,D102,D112,D113)</f>
        <v>177263</v>
      </c>
      <c r="E114" s="1670">
        <f t="shared" si="13"/>
        <v>87512</v>
      </c>
      <c r="F114" s="1670">
        <f t="shared" si="13"/>
        <v>245516</v>
      </c>
      <c r="G114" s="1670">
        <f t="shared" si="13"/>
        <v>73354</v>
      </c>
      <c r="H114" s="1670">
        <f>SUM(H33,H74,H75,H102,H112,H113)</f>
        <v>58240</v>
      </c>
      <c r="I114" s="1670">
        <f t="shared" si="13"/>
        <v>0</v>
      </c>
      <c r="J114" s="1670">
        <f t="shared" si="13"/>
        <v>0</v>
      </c>
      <c r="K114" s="1670">
        <f t="shared" si="13"/>
        <v>3370061</v>
      </c>
      <c r="L114" s="1670">
        <f>SUM(L33,L74,L75,L102,L112,L113)</f>
        <v>3540369</v>
      </c>
    </row>
    <row r="115" spans="1:14" ht="13.5" thickTop="1" x14ac:dyDescent="0.2">
      <c r="A115" s="2156" t="s">
        <v>996</v>
      </c>
      <c r="B115" s="2157"/>
      <c r="C115" s="618"/>
      <c r="D115" s="618"/>
      <c r="E115" s="618"/>
      <c r="F115" s="618"/>
      <c r="G115" s="618"/>
      <c r="H115" s="618"/>
      <c r="I115" s="618"/>
      <c r="J115" s="618"/>
      <c r="K115" s="1684">
        <f>'Revenues 9-14'!C268-'Expenditures 15-22'!K114</f>
        <v>183246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v>114206</v>
      </c>
      <c r="H123" s="466"/>
      <c r="I123" s="467"/>
      <c r="J123" s="467"/>
      <c r="K123" s="1670">
        <f>SUM(C123:J123)</f>
        <v>114206</v>
      </c>
      <c r="L123" s="466">
        <v>114206</v>
      </c>
    </row>
    <row r="124" spans="1:14" ht="14.25" thickTop="1" thickBot="1" x14ac:dyDescent="0.25">
      <c r="A124" s="1504" t="s">
        <v>197</v>
      </c>
      <c r="B124" s="614">
        <v>2540</v>
      </c>
      <c r="C124" s="466">
        <v>160296</v>
      </c>
      <c r="D124" s="466">
        <v>15481</v>
      </c>
      <c r="E124" s="466">
        <v>80060</v>
      </c>
      <c r="F124" s="466">
        <v>125356</v>
      </c>
      <c r="G124" s="466">
        <v>65660</v>
      </c>
      <c r="H124" s="466"/>
      <c r="I124" s="467"/>
      <c r="J124" s="467"/>
      <c r="K124" s="1670">
        <f>SUM(C124:J124)</f>
        <v>446853</v>
      </c>
      <c r="L124" s="466">
        <v>493152</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160296</v>
      </c>
      <c r="D127" s="1670">
        <f t="shared" ref="D127:L127" si="14">SUM(D122:D126)</f>
        <v>15481</v>
      </c>
      <c r="E127" s="1670">
        <f t="shared" si="14"/>
        <v>80060</v>
      </c>
      <c r="F127" s="1670">
        <f t="shared" si="14"/>
        <v>125356</v>
      </c>
      <c r="G127" s="1670">
        <f t="shared" si="14"/>
        <v>179866</v>
      </c>
      <c r="H127" s="1670">
        <f t="shared" si="14"/>
        <v>0</v>
      </c>
      <c r="I127" s="1670">
        <f t="shared" si="14"/>
        <v>0</v>
      </c>
      <c r="J127" s="1670">
        <f t="shared" si="14"/>
        <v>0</v>
      </c>
      <c r="K127" s="1670">
        <f t="shared" si="14"/>
        <v>561059</v>
      </c>
      <c r="L127" s="1670">
        <f t="shared" si="14"/>
        <v>607358</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160296</v>
      </c>
      <c r="D129" s="1677">
        <f t="shared" ref="D129:L129" si="15">SUM(D120,D127,D128)</f>
        <v>15481</v>
      </c>
      <c r="E129" s="1677">
        <f t="shared" si="15"/>
        <v>80060</v>
      </c>
      <c r="F129" s="1677">
        <f t="shared" si="15"/>
        <v>125356</v>
      </c>
      <c r="G129" s="1677">
        <f t="shared" si="15"/>
        <v>179866</v>
      </c>
      <c r="H129" s="1677">
        <f t="shared" si="15"/>
        <v>0</v>
      </c>
      <c r="I129" s="1677">
        <f t="shared" si="15"/>
        <v>0</v>
      </c>
      <c r="J129" s="1677">
        <f t="shared" si="15"/>
        <v>0</v>
      </c>
      <c r="K129" s="1677">
        <f t="shared" si="15"/>
        <v>561059</v>
      </c>
      <c r="L129" s="1677">
        <f t="shared" si="15"/>
        <v>607358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10000</v>
      </c>
    </row>
    <row r="151" spans="1:14" ht="12.75" customHeight="1" thickTop="1" thickBot="1" x14ac:dyDescent="0.25">
      <c r="A151" s="2173" t="s">
        <v>620</v>
      </c>
      <c r="B151" s="2153"/>
      <c r="C151" s="1670">
        <f>SUM(C129,C130,C139,C149,C150)</f>
        <v>160296</v>
      </c>
      <c r="D151" s="1670">
        <f t="shared" ref="D151:K151" si="16">SUM(D129,D130,D139,D149,D150)</f>
        <v>15481</v>
      </c>
      <c r="E151" s="1670">
        <f t="shared" si="16"/>
        <v>80060</v>
      </c>
      <c r="F151" s="1670">
        <f t="shared" si="16"/>
        <v>125356</v>
      </c>
      <c r="G151" s="1670">
        <f t="shared" si="16"/>
        <v>179866</v>
      </c>
      <c r="H151" s="1670">
        <f t="shared" si="16"/>
        <v>0</v>
      </c>
      <c r="I151" s="1670">
        <f t="shared" si="16"/>
        <v>0</v>
      </c>
      <c r="J151" s="1670">
        <f t="shared" si="16"/>
        <v>0</v>
      </c>
      <c r="K151" s="1670">
        <f t="shared" si="16"/>
        <v>561059</v>
      </c>
      <c r="L151" s="1670">
        <f>SUM(L129,L130,L139,L149,L150)</f>
        <v>617358</v>
      </c>
    </row>
    <row r="152" spans="1:14" ht="12.75" customHeight="1" thickTop="1" x14ac:dyDescent="0.2">
      <c r="A152" s="2176" t="s">
        <v>1178</v>
      </c>
      <c r="B152" s="2177"/>
      <c r="C152" s="618"/>
      <c r="D152" s="618"/>
      <c r="E152" s="618"/>
      <c r="F152" s="618"/>
      <c r="G152" s="618"/>
      <c r="H152" s="618"/>
      <c r="I152" s="618"/>
      <c r="J152" s="616"/>
      <c r="K152" s="1684">
        <f>'Revenues 9-14'!D268-'Expenditures 15-22'!K151</f>
        <v>-94670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6" t="s">
        <v>996</v>
      </c>
      <c r="B175" s="215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182675</v>
      </c>
      <c r="D182" s="466">
        <v>15667</v>
      </c>
      <c r="E182" s="466">
        <v>14459</v>
      </c>
      <c r="F182" s="466">
        <v>65697</v>
      </c>
      <c r="G182" s="466">
        <v>232692</v>
      </c>
      <c r="H182" s="466"/>
      <c r="I182" s="467"/>
      <c r="J182" s="467"/>
      <c r="K182" s="1671">
        <f>SUM(C182:J182)</f>
        <v>511190</v>
      </c>
      <c r="L182" s="466">
        <v>513034</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182675</v>
      </c>
      <c r="D184" s="1677">
        <f t="shared" ref="D184:J184" si="17">SUM(D180,D182,D183)</f>
        <v>15667</v>
      </c>
      <c r="E184" s="1677">
        <f t="shared" si="17"/>
        <v>14459</v>
      </c>
      <c r="F184" s="1677">
        <f t="shared" si="17"/>
        <v>65697</v>
      </c>
      <c r="G184" s="1677">
        <f t="shared" si="17"/>
        <v>232692</v>
      </c>
      <c r="H184" s="1677">
        <f t="shared" si="17"/>
        <v>0</v>
      </c>
      <c r="I184" s="1677">
        <f t="shared" si="17"/>
        <v>0</v>
      </c>
      <c r="J184" s="1677">
        <f t="shared" si="17"/>
        <v>0</v>
      </c>
      <c r="K184" s="1677">
        <f>SUM(K180,K182,K183)</f>
        <v>511190</v>
      </c>
      <c r="L184" s="1677">
        <f>SUM(L180, L182:L183)</f>
        <v>513034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10000</v>
      </c>
    </row>
    <row r="210" spans="1:14" ht="12.75" customHeight="1" thickTop="1" thickBot="1" x14ac:dyDescent="0.25">
      <c r="A210" s="1692" t="s">
        <v>277</v>
      </c>
      <c r="B210" s="1693"/>
      <c r="C210" s="1670">
        <f>SUM(C184,C185)</f>
        <v>182675</v>
      </c>
      <c r="D210" s="1670">
        <f>SUM(D184,D185)</f>
        <v>15667</v>
      </c>
      <c r="E210" s="1670">
        <f>SUM(E184,E185,E196)</f>
        <v>14459</v>
      </c>
      <c r="F210" s="1670">
        <f>SUM(F184,F185)</f>
        <v>65697</v>
      </c>
      <c r="G210" s="1670">
        <f>SUM(G184,G185)</f>
        <v>232692</v>
      </c>
      <c r="H210" s="1670">
        <f>SUM(H184,H185,H196,H208,H209)</f>
        <v>0</v>
      </c>
      <c r="I210" s="1670">
        <f>SUM(I184,I185)</f>
        <v>0</v>
      </c>
      <c r="J210" s="1670">
        <f>SUM(J184,J185)</f>
        <v>0</v>
      </c>
      <c r="K210" s="1671">
        <f>SUM(K184,K185,K196,K208,K209)</f>
        <v>511190</v>
      </c>
      <c r="L210" s="1670">
        <f>SUM(L184,L185,L196,L208,L209)</f>
        <v>523034</v>
      </c>
    </row>
    <row r="211" spans="1:14" ht="13.5" thickTop="1" x14ac:dyDescent="0.2">
      <c r="A211" s="2156" t="s">
        <v>996</v>
      </c>
      <c r="B211" s="2157"/>
      <c r="C211" s="618"/>
      <c r="D211" s="618"/>
      <c r="E211" s="618"/>
      <c r="F211" s="618"/>
      <c r="G211" s="618"/>
      <c r="H211" s="618"/>
      <c r="I211" s="616"/>
      <c r="J211" s="616"/>
      <c r="K211" s="1684">
        <f>'Revenues 9-14'!F268-'Expenditures 15-22'!K210</f>
        <v>-177117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31357</v>
      </c>
      <c r="E215" s="616"/>
      <c r="F215" s="616"/>
      <c r="G215" s="616"/>
      <c r="H215" s="616"/>
      <c r="I215" s="616"/>
      <c r="J215" s="616"/>
      <c r="K215" s="1671">
        <f>D215</f>
        <v>31357</v>
      </c>
      <c r="L215" s="466">
        <v>36746</v>
      </c>
    </row>
    <row r="216" spans="1:14" x14ac:dyDescent="0.2">
      <c r="A216" s="1504" t="s">
        <v>163</v>
      </c>
      <c r="B216" s="614" t="s">
        <v>967</v>
      </c>
      <c r="C216" s="616"/>
      <c r="D216" s="467">
        <v>3277</v>
      </c>
      <c r="E216" s="616"/>
      <c r="F216" s="616"/>
      <c r="G216" s="616"/>
      <c r="H216" s="616"/>
      <c r="I216" s="616"/>
      <c r="J216" s="616"/>
      <c r="K216" s="1671">
        <f t="shared" ref="K216:K228" si="19">D216</f>
        <v>3277</v>
      </c>
      <c r="L216" s="466">
        <v>3502</v>
      </c>
    </row>
    <row r="217" spans="1:14" x14ac:dyDescent="0.2">
      <c r="A217" s="1504" t="s">
        <v>164</v>
      </c>
      <c r="B217" s="614">
        <v>1200</v>
      </c>
      <c r="C217" s="616"/>
      <c r="D217" s="466">
        <v>8542</v>
      </c>
      <c r="E217" s="616"/>
      <c r="F217" s="616"/>
      <c r="G217" s="616"/>
      <c r="H217" s="616"/>
      <c r="I217" s="616"/>
      <c r="J217" s="616"/>
      <c r="K217" s="1671">
        <f t="shared" si="19"/>
        <v>8542</v>
      </c>
      <c r="L217" s="466">
        <v>9708</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2723</v>
      </c>
      <c r="E219" s="616"/>
      <c r="F219" s="616"/>
      <c r="G219" s="616"/>
      <c r="H219" s="616"/>
      <c r="I219" s="616"/>
      <c r="J219" s="616"/>
      <c r="K219" s="1671">
        <f t="shared" si="19"/>
        <v>2723</v>
      </c>
      <c r="L219" s="466">
        <v>3373</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2859</v>
      </c>
      <c r="E222" s="616"/>
      <c r="F222" s="616"/>
      <c r="G222" s="616"/>
      <c r="H222" s="616"/>
      <c r="I222" s="616"/>
      <c r="J222" s="616"/>
      <c r="K222" s="1671">
        <f t="shared" si="19"/>
        <v>2859</v>
      </c>
      <c r="L222" s="466">
        <v>2856</v>
      </c>
    </row>
    <row r="223" spans="1:14" x14ac:dyDescent="0.2">
      <c r="A223" s="1504" t="s">
        <v>963</v>
      </c>
      <c r="B223" s="614">
        <v>1500</v>
      </c>
      <c r="C223" s="616"/>
      <c r="D223" s="466">
        <v>2001</v>
      </c>
      <c r="E223" s="616"/>
      <c r="F223" s="616"/>
      <c r="G223" s="616"/>
      <c r="H223" s="616"/>
      <c r="I223" s="616"/>
      <c r="J223" s="616"/>
      <c r="K223" s="1671">
        <f t="shared" si="19"/>
        <v>2001</v>
      </c>
      <c r="L223" s="466">
        <v>1724</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v>23</v>
      </c>
      <c r="E225" s="616"/>
      <c r="F225" s="616"/>
      <c r="G225" s="616"/>
      <c r="H225" s="616"/>
      <c r="I225" s="616"/>
      <c r="J225" s="616"/>
      <c r="K225" s="1671">
        <f t="shared" si="19"/>
        <v>23</v>
      </c>
      <c r="L225" s="466">
        <v>23</v>
      </c>
    </row>
    <row r="226" spans="1:12" x14ac:dyDescent="0.2">
      <c r="A226" s="1504" t="s">
        <v>724</v>
      </c>
      <c r="B226" s="614" t="s">
        <v>162</v>
      </c>
      <c r="C226" s="616"/>
      <c r="D226" s="467">
        <v>233</v>
      </c>
      <c r="E226" s="616"/>
      <c r="F226" s="616"/>
      <c r="G226" s="616"/>
      <c r="H226" s="616"/>
      <c r="I226" s="616"/>
      <c r="J226" s="616"/>
      <c r="K226" s="1671">
        <f t="shared" si="19"/>
        <v>233</v>
      </c>
      <c r="L226" s="466">
        <v>280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51015</v>
      </c>
      <c r="E229" s="616"/>
      <c r="F229" s="616"/>
      <c r="G229" s="616"/>
      <c r="H229" s="616"/>
      <c r="I229" s="616"/>
      <c r="J229" s="616"/>
      <c r="K229" s="1670">
        <f>SUM(K215:K228)</f>
        <v>51015</v>
      </c>
      <c r="L229" s="1670">
        <f>SUM(L215:L228)</f>
        <v>58212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3074</v>
      </c>
      <c r="E233" s="616"/>
      <c r="F233" s="616"/>
      <c r="G233" s="616"/>
      <c r="H233" s="616"/>
      <c r="I233" s="616"/>
      <c r="J233" s="616"/>
      <c r="K233" s="1671">
        <f t="shared" si="20"/>
        <v>3074</v>
      </c>
      <c r="L233" s="466">
        <v>3151</v>
      </c>
    </row>
    <row r="234" spans="1:12" x14ac:dyDescent="0.2">
      <c r="A234" s="1504" t="s">
        <v>198</v>
      </c>
      <c r="B234" s="614">
        <v>2130</v>
      </c>
      <c r="C234" s="616"/>
      <c r="D234" s="466">
        <v>1866</v>
      </c>
      <c r="E234" s="616"/>
      <c r="F234" s="616"/>
      <c r="G234" s="616"/>
      <c r="H234" s="616"/>
      <c r="I234" s="616"/>
      <c r="J234" s="616"/>
      <c r="K234" s="1671">
        <f t="shared" si="20"/>
        <v>1866</v>
      </c>
      <c r="L234" s="466">
        <v>3542</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v>577</v>
      </c>
      <c r="E236" s="616"/>
      <c r="F236" s="616"/>
      <c r="G236" s="616"/>
      <c r="H236" s="616"/>
      <c r="I236" s="616"/>
      <c r="J236" s="616"/>
      <c r="K236" s="1671">
        <f t="shared" si="20"/>
        <v>577</v>
      </c>
      <c r="L236" s="466">
        <v>592</v>
      </c>
    </row>
    <row r="237" spans="1:12" x14ac:dyDescent="0.2">
      <c r="A237" s="1504" t="s">
        <v>165</v>
      </c>
      <c r="B237" s="614">
        <v>2190</v>
      </c>
      <c r="C237" s="616"/>
      <c r="D237" s="466">
        <v>767</v>
      </c>
      <c r="E237" s="616"/>
      <c r="F237" s="616"/>
      <c r="G237" s="616"/>
      <c r="H237" s="616"/>
      <c r="I237" s="616"/>
      <c r="J237" s="616"/>
      <c r="K237" s="1671">
        <f t="shared" si="20"/>
        <v>767</v>
      </c>
      <c r="L237" s="466">
        <v>944</v>
      </c>
    </row>
    <row r="238" spans="1:12" ht="12.75" customHeight="1" thickBot="1" x14ac:dyDescent="0.25">
      <c r="A238" s="1668" t="s">
        <v>560</v>
      </c>
      <c r="B238" s="1675" t="s">
        <v>716</v>
      </c>
      <c r="C238" s="616"/>
      <c r="D238" s="1670">
        <f>SUM(D232:D237)</f>
        <v>6284</v>
      </c>
      <c r="E238" s="616"/>
      <c r="F238" s="616"/>
      <c r="G238" s="616"/>
      <c r="H238" s="616"/>
      <c r="I238" s="616"/>
      <c r="J238" s="616"/>
      <c r="K238" s="1670">
        <f>SUM(K232:K237)</f>
        <v>6284</v>
      </c>
      <c r="L238" s="1670">
        <f>SUM(L232:L237)</f>
        <v>8229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33</v>
      </c>
      <c r="E240" s="616"/>
      <c r="F240" s="616"/>
      <c r="G240" s="616"/>
      <c r="H240" s="616"/>
      <c r="I240" s="616"/>
      <c r="J240" s="616"/>
      <c r="K240" s="1672">
        <f>D240</f>
        <v>33</v>
      </c>
      <c r="L240" s="481">
        <v>32</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33</v>
      </c>
      <c r="E243" s="616"/>
      <c r="F243" s="616"/>
      <c r="G243" s="616"/>
      <c r="H243" s="616"/>
      <c r="I243" s="616"/>
      <c r="J243" s="616"/>
      <c r="K243" s="1670">
        <f>SUM(K240:K242)</f>
        <v>33</v>
      </c>
      <c r="L243" s="1670">
        <f>SUM(L240:L242)</f>
        <v>32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241</v>
      </c>
      <c r="E245" s="616"/>
      <c r="F245" s="616"/>
      <c r="G245" s="616"/>
      <c r="H245" s="616"/>
      <c r="I245" s="616"/>
      <c r="J245" s="616"/>
      <c r="K245" s="1672">
        <f>D245</f>
        <v>241</v>
      </c>
      <c r="L245" s="481">
        <v>242</v>
      </c>
    </row>
    <row r="246" spans="1:12" x14ac:dyDescent="0.2">
      <c r="A246" s="1504" t="s">
        <v>818</v>
      </c>
      <c r="B246" s="614">
        <v>2320</v>
      </c>
      <c r="C246" s="616"/>
      <c r="D246" s="466">
        <v>607</v>
      </c>
      <c r="E246" s="616"/>
      <c r="F246" s="616"/>
      <c r="G246" s="616"/>
      <c r="H246" s="616"/>
      <c r="I246" s="616"/>
      <c r="J246" s="616"/>
      <c r="K246" s="1672">
        <f t="shared" ref="K246:K256" si="21">D246</f>
        <v>607</v>
      </c>
      <c r="L246" s="466">
        <v>610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848</v>
      </c>
      <c r="E257" s="616"/>
      <c r="F257" s="616"/>
      <c r="G257" s="616"/>
      <c r="H257" s="616"/>
      <c r="I257" s="616"/>
      <c r="J257" s="616"/>
      <c r="K257" s="1670">
        <f>SUM(K245:K256)</f>
        <v>848</v>
      </c>
      <c r="L257" s="1670">
        <f>SUM(L245:L256)</f>
        <v>852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15631</v>
      </c>
      <c r="E259" s="616"/>
      <c r="F259" s="616"/>
      <c r="G259" s="616"/>
      <c r="H259" s="616"/>
      <c r="I259" s="616"/>
      <c r="J259" s="616"/>
      <c r="K259" s="1672">
        <f>D259</f>
        <v>15631</v>
      </c>
      <c r="L259" s="481">
        <v>18717</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15631</v>
      </c>
      <c r="E261" s="616"/>
      <c r="F261" s="616"/>
      <c r="G261" s="616"/>
      <c r="H261" s="616"/>
      <c r="I261" s="616"/>
      <c r="J261" s="616"/>
      <c r="K261" s="1670">
        <f>SUM(K259:K260)</f>
        <v>15631</v>
      </c>
      <c r="L261" s="1670">
        <f>SUM(L259:L260)</f>
        <v>18717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5941</v>
      </c>
      <c r="E264" s="616"/>
      <c r="F264" s="616"/>
      <c r="G264" s="616"/>
      <c r="H264" s="616"/>
      <c r="I264" s="616"/>
      <c r="J264" s="616"/>
      <c r="K264" s="1672">
        <f t="shared" ref="K264:K269" si="22">D264</f>
        <v>5941</v>
      </c>
      <c r="L264" s="466">
        <v>6988</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18312</v>
      </c>
      <c r="E266" s="616"/>
      <c r="F266" s="616"/>
      <c r="G266" s="616"/>
      <c r="H266" s="616"/>
      <c r="I266" s="616"/>
      <c r="J266" s="616"/>
      <c r="K266" s="1672">
        <f t="shared" si="22"/>
        <v>18312</v>
      </c>
      <c r="L266" s="466">
        <v>21507</v>
      </c>
    </row>
    <row r="267" spans="1:14" x14ac:dyDescent="0.2">
      <c r="A267" s="1504" t="s">
        <v>953</v>
      </c>
      <c r="B267" s="614">
        <v>2550</v>
      </c>
      <c r="C267" s="616"/>
      <c r="D267" s="466">
        <v>21894</v>
      </c>
      <c r="E267" s="616"/>
      <c r="F267" s="616"/>
      <c r="G267" s="616"/>
      <c r="H267" s="616"/>
      <c r="I267" s="616"/>
      <c r="J267" s="616"/>
      <c r="K267" s="1672">
        <f t="shared" si="22"/>
        <v>21894</v>
      </c>
      <c r="L267" s="466">
        <v>26024</v>
      </c>
    </row>
    <row r="268" spans="1:14" x14ac:dyDescent="0.2">
      <c r="A268" s="1504" t="s">
        <v>100</v>
      </c>
      <c r="B268" s="614">
        <v>2560</v>
      </c>
      <c r="C268" s="616"/>
      <c r="D268" s="466">
        <v>9786</v>
      </c>
      <c r="E268" s="616"/>
      <c r="F268" s="616"/>
      <c r="G268" s="616"/>
      <c r="H268" s="616"/>
      <c r="I268" s="616"/>
      <c r="J268" s="616"/>
      <c r="K268" s="1672">
        <f t="shared" si="22"/>
        <v>9786</v>
      </c>
      <c r="L268" s="466">
        <v>11181</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55933</v>
      </c>
      <c r="E270" s="616"/>
      <c r="F270" s="616"/>
      <c r="G270" s="616"/>
      <c r="H270" s="616"/>
      <c r="I270" s="616"/>
      <c r="J270" s="616"/>
      <c r="K270" s="1670">
        <f>SUM(K263:K269)</f>
        <v>55933</v>
      </c>
      <c r="L270" s="1670">
        <f>SUM(L263:L269)</f>
        <v>65700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78729</v>
      </c>
      <c r="E279" s="616"/>
      <c r="F279" s="616"/>
      <c r="G279" s="616"/>
      <c r="H279" s="616"/>
      <c r="I279" s="616"/>
      <c r="J279" s="616"/>
      <c r="K279" s="1677">
        <f>SUM(K238,K243,K257,K261,K270,K277,K278)</f>
        <v>78729</v>
      </c>
      <c r="L279" s="1677">
        <f>SUM(L238,L243,L257,L261,L270,L277,L278)</f>
        <v>93530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129744</v>
      </c>
      <c r="E295" s="616"/>
      <c r="F295" s="616"/>
      <c r="G295" s="616"/>
      <c r="H295" s="1670">
        <f>H293</f>
        <v>0</v>
      </c>
      <c r="I295" s="616"/>
      <c r="J295" s="616"/>
      <c r="K295" s="1670">
        <f>SUM(K229,K279,K280,K285,K293,K294)</f>
        <v>129744</v>
      </c>
      <c r="L295" s="1670">
        <f>SUM(L229,L279,L280,L285,L293,L294)</f>
        <v>151742</v>
      </c>
    </row>
    <row r="296" spans="1:14" ht="13.5" thickTop="1" x14ac:dyDescent="0.2">
      <c r="A296" s="2156" t="s">
        <v>996</v>
      </c>
      <c r="B296" s="2157"/>
      <c r="C296" s="616"/>
      <c r="D296" s="618"/>
      <c r="E296" s="616"/>
      <c r="F296" s="616"/>
      <c r="G296" s="616"/>
      <c r="H296" s="687"/>
      <c r="I296" s="616"/>
      <c r="J296" s="616"/>
      <c r="K296" s="1684">
        <f>'Revenues 9-14'!G268-'Expenditures 15-22'!K295</f>
        <v>18460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18103</v>
      </c>
      <c r="F320" s="467"/>
      <c r="G320" s="467"/>
      <c r="H320" s="467"/>
      <c r="I320" s="467"/>
      <c r="J320" s="467"/>
      <c r="K320" s="1671">
        <f t="shared" ref="K320:K327" si="24">SUM(C320:J320)</f>
        <v>18103</v>
      </c>
      <c r="L320" s="467">
        <v>18103</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2000</v>
      </c>
      <c r="M321" s="665"/>
      <c r="N321" s="665"/>
    </row>
    <row r="322" spans="1:14" s="674" customFormat="1" x14ac:dyDescent="0.2">
      <c r="A322" s="1519" t="s">
        <v>238</v>
      </c>
      <c r="B322" s="697" t="s">
        <v>284</v>
      </c>
      <c r="C322" s="467"/>
      <c r="D322" s="467"/>
      <c r="E322" s="467">
        <v>34809</v>
      </c>
      <c r="F322" s="467"/>
      <c r="G322" s="467"/>
      <c r="H322" s="467"/>
      <c r="I322" s="467"/>
      <c r="J322" s="467"/>
      <c r="K322" s="1671">
        <f t="shared" si="24"/>
        <v>34809</v>
      </c>
      <c r="L322" s="467">
        <v>34809</v>
      </c>
      <c r="M322" s="665"/>
      <c r="N322" s="665"/>
    </row>
    <row r="323" spans="1:14" s="674" customFormat="1" x14ac:dyDescent="0.2">
      <c r="A323" s="1519" t="s">
        <v>702</v>
      </c>
      <c r="B323" s="697" t="s">
        <v>285</v>
      </c>
      <c r="C323" s="467">
        <v>40000</v>
      </c>
      <c r="D323" s="467"/>
      <c r="E323" s="467">
        <v>6480</v>
      </c>
      <c r="F323" s="467"/>
      <c r="G323" s="467"/>
      <c r="H323" s="467"/>
      <c r="I323" s="467"/>
      <c r="J323" s="467"/>
      <c r="K323" s="1671">
        <f t="shared" si="24"/>
        <v>46480</v>
      </c>
      <c r="L323" s="467">
        <v>46480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1965</v>
      </c>
      <c r="F327" s="467"/>
      <c r="G327" s="467"/>
      <c r="H327" s="467"/>
      <c r="I327" s="467"/>
      <c r="J327" s="467"/>
      <c r="K327" s="1671">
        <f t="shared" si="24"/>
        <v>1965</v>
      </c>
      <c r="L327" s="467">
        <v>6000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40000</v>
      </c>
      <c r="D330" s="1670">
        <f t="shared" ref="D330:J330" si="25">SUM(D319:D329)</f>
        <v>0</v>
      </c>
      <c r="E330" s="1670">
        <f t="shared" si="25"/>
        <v>61357</v>
      </c>
      <c r="F330" s="1670">
        <f t="shared" si="25"/>
        <v>0</v>
      </c>
      <c r="G330" s="1670">
        <f t="shared" si="25"/>
        <v>0</v>
      </c>
      <c r="H330" s="1670">
        <f t="shared" si="25"/>
        <v>0</v>
      </c>
      <c r="I330" s="1670">
        <f t="shared" si="25"/>
        <v>0</v>
      </c>
      <c r="J330" s="1670">
        <f t="shared" si="25"/>
        <v>0</v>
      </c>
      <c r="K330" s="1670">
        <f>SUM(K319:K329)</f>
        <v>101357</v>
      </c>
      <c r="L330" s="1670">
        <f>SUM(L319:L329)</f>
        <v>107392</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40000</v>
      </c>
      <c r="D342" s="1670">
        <f>SUM(D330)</f>
        <v>0</v>
      </c>
      <c r="E342" s="1670">
        <f>SUM(E330)</f>
        <v>61357</v>
      </c>
      <c r="F342" s="1670">
        <f>SUM(F330)</f>
        <v>0</v>
      </c>
      <c r="G342" s="1670">
        <f>SUM(G330)</f>
        <v>0</v>
      </c>
      <c r="H342" s="1670">
        <f>SUM(H330,H334,H340)</f>
        <v>0</v>
      </c>
      <c r="I342" s="1670">
        <f>SUM(I330)</f>
        <v>0</v>
      </c>
      <c r="J342" s="1670">
        <f>SUM(J330)</f>
        <v>0</v>
      </c>
      <c r="K342" s="1670">
        <f>SUM(K330,K334,K340)</f>
        <v>101357</v>
      </c>
      <c r="L342" s="1677">
        <f>SUM(L330,L340,L341)</f>
        <v>107392</v>
      </c>
    </row>
    <row r="343" spans="1:14" ht="12.75" customHeight="1" thickTop="1" x14ac:dyDescent="0.2">
      <c r="A343" s="2169" t="s">
        <v>996</v>
      </c>
      <c r="B343" s="2170"/>
      <c r="C343" s="616"/>
      <c r="D343" s="616"/>
      <c r="E343" s="616"/>
      <c r="F343" s="616"/>
      <c r="G343" s="616"/>
      <c r="H343" s="616"/>
      <c r="I343" s="616"/>
      <c r="J343" s="616"/>
      <c r="K343" s="1684">
        <f>'Revenues 9-14'!J268-'Expenditures 15-22'!K342</f>
        <v>35004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6013</v>
      </c>
      <c r="H348" s="466"/>
      <c r="I348" s="467"/>
      <c r="J348" s="467"/>
      <c r="K348" s="1671">
        <f>SUM(C348:J348)</f>
        <v>6013</v>
      </c>
      <c r="L348" s="466">
        <v>16000</v>
      </c>
    </row>
    <row r="349" spans="1:14" x14ac:dyDescent="0.2">
      <c r="A349" s="1504" t="s">
        <v>197</v>
      </c>
      <c r="B349" s="614">
        <v>2540</v>
      </c>
      <c r="C349" s="466"/>
      <c r="D349" s="466"/>
      <c r="E349" s="466"/>
      <c r="F349" s="466"/>
      <c r="G349" s="466"/>
      <c r="H349" s="466"/>
      <c r="I349" s="467"/>
      <c r="J349" s="467"/>
      <c r="K349" s="1671">
        <f>SUM(C349:J349)</f>
        <v>0</v>
      </c>
      <c r="L349" s="466">
        <v>10600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6013</v>
      </c>
      <c r="H350" s="1670">
        <f t="shared" si="26"/>
        <v>0</v>
      </c>
      <c r="I350" s="1670">
        <f t="shared" si="26"/>
        <v>0</v>
      </c>
      <c r="J350" s="1670">
        <f t="shared" si="26"/>
        <v>0</v>
      </c>
      <c r="K350" s="1670">
        <f t="shared" si="26"/>
        <v>6013</v>
      </c>
      <c r="L350" s="1670">
        <f t="shared" si="26"/>
        <v>26600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6013</v>
      </c>
      <c r="H352" s="1670">
        <f t="shared" si="27"/>
        <v>0</v>
      </c>
      <c r="I352" s="1670">
        <f t="shared" si="27"/>
        <v>0</v>
      </c>
      <c r="J352" s="1670">
        <f t="shared" si="27"/>
        <v>0</v>
      </c>
      <c r="K352" s="1670">
        <f t="shared" si="27"/>
        <v>6013</v>
      </c>
      <c r="L352" s="1670">
        <f t="shared" si="27"/>
        <v>26600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6013</v>
      </c>
      <c r="H367" s="1670">
        <f t="shared" si="28"/>
        <v>0</v>
      </c>
      <c r="I367" s="1670">
        <f t="shared" si="28"/>
        <v>0</v>
      </c>
      <c r="J367" s="1670">
        <f t="shared" si="28"/>
        <v>0</v>
      </c>
      <c r="K367" s="1670">
        <f t="shared" si="28"/>
        <v>6013</v>
      </c>
      <c r="L367" s="1670">
        <f t="shared" si="28"/>
        <v>26600</v>
      </c>
    </row>
    <row r="368" spans="1:14" ht="13.5" thickTop="1" x14ac:dyDescent="0.2">
      <c r="A368" s="2156" t="s">
        <v>996</v>
      </c>
      <c r="B368" s="2157"/>
      <c r="C368" s="654"/>
      <c r="D368" s="654"/>
      <c r="E368" s="626"/>
      <c r="F368" s="626"/>
      <c r="G368" s="626"/>
      <c r="H368" s="626"/>
      <c r="I368" s="626"/>
      <c r="J368" s="623"/>
      <c r="K368" s="1671">
        <f>'Revenues 9-14'!K268-'Expenditures 15-22'!K367</f>
        <v>10973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schemas.openxmlformats.org/package/2006/metadata/core-properties"/>
    <ds:schemaRef ds:uri="http://schemas.microsoft.com/office/2006/documentManagement/types"/>
    <ds:schemaRef ds:uri="6ce3111e-7420-4802-b50a-75d4e9a0b980"/>
    <ds:schemaRef ds:uri="http://purl.org/dc/elements/1.1/"/>
    <ds:schemaRef ds:uri="http://www.w3.org/XML/1998/namespace"/>
    <ds:schemaRef ds:uri="http://purl.org/dc/terms/"/>
    <ds:schemaRef ds:uri="http://schemas.microsoft.com/office/infopath/2007/PartnerControls"/>
    <ds:schemaRef ds:uri="4d435f69-8686-490b-bd6d-b153bf22ab50"/>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2019-09-14T18:58:29Z</cp:lastPrinted>
  <dcterms:created xsi:type="dcterms:W3CDTF">2003-10-29T19:06:34Z</dcterms:created>
  <dcterms:modified xsi:type="dcterms:W3CDTF">2019-11-08T22:21:57Z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03-01c</vt:lpwstr>
  </property>
</Properties>
</file>